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71" windowWidth="13020" windowHeight="12120" tabRatio="924" activeTab="0"/>
  </bookViews>
  <sheets>
    <sheet name="OZEN FİLM SİNEMALARI" sheetId="1" r:id="rId1"/>
    <sheet name="Recep İvedik 3" sheetId="2" r:id="rId2"/>
    <sheet name="KUTSAL DAMACANA2" sheetId="3" r:id="rId3"/>
    <sheet name="DABBE2" sheetId="4" r:id="rId4"/>
  </sheets>
  <definedNames/>
  <calcPr fullCalcOnLoad="1"/>
</workbook>
</file>

<file path=xl/sharedStrings.xml><?xml version="1.0" encoding="utf-8"?>
<sst xmlns="http://schemas.openxmlformats.org/spreadsheetml/2006/main" count="2714" uniqueCount="1161">
  <si>
    <t>16 30 - 18 45 - 21 00 C/CMT 24 45 - 01 30</t>
  </si>
  <si>
    <t>10 45 - 12 45 - 15 00 - 17 15 - 19 30 - 21 45 C/CMT 24 00</t>
  </si>
  <si>
    <t>11 45 - 14 00 - 16 15 - 18 30 - 20 45 C/CMT 23 00 - 01 15</t>
  </si>
  <si>
    <t>11 00 - 13 00 - 15 15 - 17 30 - 19 45 - 22 00 C/CMT 23 15 - 24 15</t>
  </si>
  <si>
    <t>12 15 - 22 15</t>
  </si>
  <si>
    <t>11 15 - 13 30 - 15 45 - 18 00 - 20 15 - 22 30 C/CMT 24 45</t>
  </si>
  <si>
    <t>11 00 - 13 30 - 16 00 - 18 30 - 21 00 C/CMT 23 30</t>
  </si>
  <si>
    <t>13 50 - 16 10 - 18 30 - 20 50 C/CMT 23 10</t>
  </si>
  <si>
    <t>10 45 - 13 00 - 15 15 - 17 30 - 19 45 - 22 00 C/CMT 24 30</t>
  </si>
  <si>
    <t>10 30 - 12 45 - 15 00 - 17 15 - 19 30 - 21 45 C/CMT 24 15</t>
  </si>
  <si>
    <t>11 45 - 14 00 - 16 15 - 18 30 - 20 45 C/CMT 23 00</t>
  </si>
  <si>
    <t>12 00 - 14 00 - 16 00 - 18 15 - 20 30 C/CMT 22 45</t>
  </si>
  <si>
    <t>11 30 - 13 30 - 15 30 - 17 45 - 20 00 - 22 15</t>
  </si>
  <si>
    <t>11 00 - 13 00 - 15 00 - 17 15 - 19 30 - 21 45</t>
  </si>
  <si>
    <t>14 30 - 16 30 - 18 45 - 21 00 C/CMT 23 30</t>
  </si>
  <si>
    <t>12 15 - 16 00</t>
  </si>
  <si>
    <t>11 00 - 13 10 - 15 20 - 17 30 - 19 45 - 21 50 C/CMT 24 00</t>
  </si>
  <si>
    <t>11 15 - 13 30 - 15 45 - 18 00 - 20 15 - 22 30</t>
  </si>
  <si>
    <t>16 30 - 18 40 - 20 50</t>
  </si>
  <si>
    <t>11 45 - 14 15 - 22 00</t>
  </si>
  <si>
    <t>İZMİR CINEBONUS YKM</t>
  </si>
  <si>
    <t xml:space="preserve">11 30 - 13 45 - 16 00 - 18 15 - 20 30 - 22 45 </t>
  </si>
  <si>
    <t>12 30 - 14 45 - 17 00 - 19 15 - 21 30 C/CMT 23 45</t>
  </si>
  <si>
    <t>14 15 - 16 30 - 18 45</t>
  </si>
  <si>
    <t>11 45 - 13 45 - 16 00 - 18 15 - 20 30 C/CMT 22 30</t>
  </si>
  <si>
    <t>12 15 - 14 45 - 17 15 - 19 45 - 22 15 C/CMT 24 15</t>
  </si>
  <si>
    <t>11 00 - 13 30 - 16 00 - 18 30 - 21 00 C/CMT 23 30 - 01 00</t>
  </si>
  <si>
    <t>11 10 - 13 15 - 15 30 - 17 45 - 20 00 - 22 20 C/CMT 24 50</t>
  </si>
  <si>
    <t>11 30 - 13 30 - 15 45 - 17 00 - 20 15 - 22 30 C/CMT 24 45</t>
  </si>
  <si>
    <t xml:space="preserve">11 30 - 13 30 - 15 30 - 17 45 - 20 00 - 22 15 </t>
  </si>
  <si>
    <t>12 30 - 14 30 - 16 30 - 18 45 - 21 00 C/CMT 23 30</t>
  </si>
  <si>
    <t>11 00 - 13 00 - 15 00 - 17 15 - 19 30 - 21 45 C/CMT 23 45</t>
  </si>
  <si>
    <t>11 15 - 13 15 - 15 15 - 17 30 - 19 45 - 22 00</t>
  </si>
  <si>
    <t>11 30 - 13 30 - 15 45 - 18 00 - 20 15 - 22 30</t>
  </si>
  <si>
    <t>16 45 - 19 15 - 21 30</t>
  </si>
  <si>
    <t>12 00 - 14 15 - 16 30 - 18 45 - 22 00 C/CMT 23 15</t>
  </si>
  <si>
    <t>12 15 - 14 30 - 16 45 - 18 00 - 21 15 C/CMT 23 30</t>
  </si>
  <si>
    <t>14 30 - 21 30 C/CMT 23 45</t>
  </si>
  <si>
    <t>11 10 - 13 10 - 15 20 - 17 40 - 19 50 - 22 00</t>
  </si>
  <si>
    <t>12 10 - 14 10 - 16 30 - 18 50 - 21 00 C/CMT 23 30</t>
  </si>
  <si>
    <t>11 00 - 13 00 - 15 15 - 17 30 - 19 45 - 22 00 C/CMT 24 10</t>
  </si>
  <si>
    <t>12 00 - 14 10 - 16 20 - 18 40 - 20 50 C/CMT 23 10</t>
  </si>
  <si>
    <t>10 30 - 12 30 - 14 45 - 17 00 - 19 15 - 21 30 C/CMT 23 45</t>
  </si>
  <si>
    <t>11 30 - 13 45 - 16 00 - 18 15 - 20 30 C/CMT 22 45</t>
  </si>
  <si>
    <t>11 00 - 13 15 - 15 30 - 17 45 - 20 00 - 22 00 C/CMT 24 30</t>
  </si>
  <si>
    <t>11 00 - 16 45 - 19 00 - 21 15 C/CMT 23 30</t>
  </si>
  <si>
    <t>17 45 - 20 00 - 22 15 C/CMT 24 30</t>
  </si>
  <si>
    <t>11 15 - 13 15 - 15 30 - 17 45 - 20 00 - 22 15 C/CMT 24 30</t>
  </si>
  <si>
    <t>12 00 - 14 00 - 16 15 - 18 30 - 20 45 C/CMT 23 15</t>
  </si>
  <si>
    <t>10 45 - 13 00 - 15 15 - 17 30 - 19 45 - 22 00 C/CMT 23 30</t>
  </si>
  <si>
    <t xml:space="preserve">14 10 - 16 25 - 18 40 - 20 55 </t>
  </si>
  <si>
    <t>12 00 - 14 15 - 16 30 - 19 45 - 21 00 C/CMT 23 15</t>
  </si>
  <si>
    <t xml:space="preserve">10 45 - 13 00 - 15 15 - 17 30 - 19 45 - 22 00 </t>
  </si>
  <si>
    <t>12 15 - 14 30 - 16 45 - 19 00 - 21 15 C/CMT 24 00</t>
  </si>
  <si>
    <t xml:space="preserve">11 00 - 13 00 - 15 00 - 17 15 - 19 30 - 21 45 </t>
  </si>
  <si>
    <t>11 30 - 13 3 0- 15 30 - 17 45 - 20 00 - 22 15</t>
  </si>
  <si>
    <t>11 00 - 13 00 - 15 00 - 15 45 - 18 15 - 20 45</t>
  </si>
  <si>
    <t>12 45 - 15 00 - 17 15 - 19 30 - 21 30</t>
  </si>
  <si>
    <t>0288-214 82 88</t>
  </si>
  <si>
    <t>0288-412 39 09</t>
  </si>
  <si>
    <t>12 00 - 14 15 - 16 30 - 19 00 - 21 15</t>
  </si>
  <si>
    <t>11 00 - 13 00 - 15 00 - 18 00 - 19 00 - 21 00 C/CMT 23 15</t>
  </si>
  <si>
    <t>11 15 - 13 15 - 15 1 5- 17 15 - 19 15 - 21 15</t>
  </si>
  <si>
    <t>12 00 - 14 15 - 16 30 - 18 45 - 21 00 C/CMT 23 00</t>
  </si>
  <si>
    <t>11 00 - 13 00 - 15 30 - 17 45 - 20 00</t>
  </si>
  <si>
    <t>10 40 - 13 00 - 15 20 - 17 40 - 20 00</t>
  </si>
  <si>
    <t>11 50 - 14 10 - 16 30 - 18 50 - 21 10</t>
  </si>
  <si>
    <t>0352-322 13 13</t>
  </si>
  <si>
    <t>11 15 - 13 15 - 15 15 - 17 15 - 19 15 - 21 00</t>
  </si>
  <si>
    <t>12 30 - 14 30 - 16 30 - 18 30 - 20 30 C/CMT 22 30</t>
  </si>
  <si>
    <t>11 30 - 13 3 0- 15 30 - 17 30 - 19 30 - 21 30</t>
  </si>
  <si>
    <t>11 00 - 12 00 - 13 00 - 14 00 - 16 00 - 18 00 - 20 00 C/CMT 22 00</t>
  </si>
  <si>
    <t>11 30 - 13 45 - 16 45 - 21 00</t>
  </si>
  <si>
    <t>12 00 - 14 15 - 16 30 - 19 00 - 21 00</t>
  </si>
  <si>
    <t>12 30 - 14 30 - 16 45 - 18 45 - 20 45</t>
  </si>
  <si>
    <t xml:space="preserve">12 00 - 14 00 - 16 00 - 18 00 - 20 15 </t>
  </si>
  <si>
    <t>13 00 - 15 00 - 17 00 - 19 00 - 21 30</t>
  </si>
  <si>
    <t>13 00 - 15 00 - 17 00 - 19 00 - 21 00 - 23 00</t>
  </si>
  <si>
    <t>11 30 - 13 30 - 17 30 - 19 30 - 21 30</t>
  </si>
  <si>
    <t>11 15 - 13 15 - 15 15 - 17 15 - 19 15</t>
  </si>
  <si>
    <t>11 00 - 12 45 - 17 30 - 19 15 - 21 00</t>
  </si>
  <si>
    <t>10 30 - 12 30 - 14 45 - 17 00 - 19 00 - 21 00</t>
  </si>
  <si>
    <t>11 30 - 13 30 - 15 45 - 18 00 - 20 00 - 22 00</t>
  </si>
  <si>
    <t>11 00 - 13 05 - 15 15 - 17 20 - 19 25 - 21 35</t>
  </si>
  <si>
    <t>14 20 - 16 15 - 18 20 - 20 35</t>
  </si>
  <si>
    <t>11 00 - 12 45</t>
  </si>
  <si>
    <t>12 15 - 14 30 - 16 30 - 18 45 - 21 15</t>
  </si>
  <si>
    <t>11 00 - 13 05 - 15 10 - 17 15 - 19 20 - 21 30</t>
  </si>
  <si>
    <t>12 00 - 14 15 - 16 10 - 18 15 - 20 30</t>
  </si>
  <si>
    <t>12 45 - 15 15 - 17 45 - 20 15 - 22 30</t>
  </si>
  <si>
    <t>11 30 - 13 30 - 15 30 - 17 30 - 19 30 - 21 15</t>
  </si>
  <si>
    <t>11 45 - 14 05 - 16 25 - 18 45 - 21 05</t>
  </si>
  <si>
    <t>12 55 - 15 15 - 17 35 - 19 55</t>
  </si>
  <si>
    <t>11 00 - 13 40 - 18 20</t>
  </si>
  <si>
    <t>11 40 - 14 00 - 16 20 - 18 40 - 21 00 C/CMT 23 20</t>
  </si>
  <si>
    <t>11 20 - 14 50 - 16 00 - 17 10 - 20 40 C/CMT 23 00</t>
  </si>
  <si>
    <t>12 50 - 15 10 - 17 30 - 19 50 - 22 10 C/CMT 24 30</t>
  </si>
  <si>
    <t>12 10 - 14 30 - 16 50 - 19 10 - 21 30 C/CMT 23 50</t>
  </si>
  <si>
    <t>11 45 - 14 00 - 16 30 - 18 45 - 21 05</t>
  </si>
  <si>
    <t>11 15 - 13 15 - 17 15 - 19 15 - 21 15</t>
  </si>
  <si>
    <t>11 30 - 13 30 - 18 30</t>
  </si>
  <si>
    <t>İST.  ACARKENT COLISEUM SİTE</t>
  </si>
  <si>
    <t>11 45 - 13 45 - 15 45 - 17 45 - 19 45 - 21 15</t>
  </si>
  <si>
    <t>16 45 - 18 45 - 20 45 C/CMT 22 45</t>
  </si>
  <si>
    <t>12 45 - 14 45 - 16 45 - 18 45 - 20 45 C/CMT 22 45</t>
  </si>
  <si>
    <t>12 45 - 14 45 - 16 45 - 19 00 - 21 15</t>
  </si>
  <si>
    <t>12 15 - 14 00 - 16 45 - 17 30 - 19 15</t>
  </si>
  <si>
    <t>0262-311 77 43</t>
  </si>
  <si>
    <t>13 10 - 15 30 - 17 50 - 20 10 C/CMT 22 30</t>
  </si>
  <si>
    <t>0222-220 66 60</t>
  </si>
  <si>
    <t>ESKİŞEHİR KÜLTÜR MERKEZİ</t>
  </si>
  <si>
    <t>11 40 - 14 00 - 16 20 - 18 40 - 21 00</t>
  </si>
  <si>
    <t>12 20 - 14 40 - 17 00 - 19 20 - 21 40 C/CMT 24 00</t>
  </si>
  <si>
    <t>13 30 - 15 50 - 18 10 - 20 30 C/CMT 22 50</t>
  </si>
  <si>
    <t>12 50 - 15 10 - 17 30 - 19 50 - 22 10</t>
  </si>
  <si>
    <t>0312-230 43 03</t>
  </si>
  <si>
    <t>12 50 - 15 10 - 17 30 - 18 40 - 19 50 - 21 00</t>
  </si>
  <si>
    <t>0366-212 57 77</t>
  </si>
  <si>
    <t>0366-212 97 57</t>
  </si>
  <si>
    <t>12 50 - 15 101 - 17 30 - 19 50 - 22 10</t>
  </si>
  <si>
    <t>0256-214 11 96</t>
  </si>
  <si>
    <t>12 00 - 14 15 - 17 00 - 21 00 C/CMT 23 15 - 01 30</t>
  </si>
  <si>
    <t>12 30 - 14 45 - 17 30 - 21 30 C/CMT 23 45</t>
  </si>
  <si>
    <t>13 00 - 16 30 - 18 45 - 19 15 - 22 00 C/CMT 24 15 - 02 00</t>
  </si>
  <si>
    <t>11 00 - 13 00 - 15 00 - 17 15 - 19 30 - 21 45 C/CMT 24 00</t>
  </si>
  <si>
    <t>12 00 - 14 15 - 16 30 - 18 45 - 21 00 C/CMT 23 00 - 01 15</t>
  </si>
  <si>
    <t>12 30 - 14 45 - 17 00 - 19 15 - 21 30 C/CMT 23 30 - 01 45</t>
  </si>
  <si>
    <t>10 30 - 12 40 - 14 50 - 17 00 - 19 10 - 21 20 C/CMT 23 30</t>
  </si>
  <si>
    <t>11 35 - 13 45 - 15 55 - 18 05 - 20 15 - 22 25 C/CMT 24 30</t>
  </si>
  <si>
    <t>0464-612 28 68</t>
  </si>
  <si>
    <t>13 00 - 15 30 - 19 00</t>
  </si>
  <si>
    <t>10 30 - 13 00 - 15 30 - 18 00 - 20 30</t>
  </si>
  <si>
    <t>12 30 - 14 30 - 16 30 - 20 00</t>
  </si>
  <si>
    <t>14 00 - 18 00 - 20 00 - 22 00</t>
  </si>
  <si>
    <t>12 00 - 16 00</t>
  </si>
  <si>
    <t>İZMİR ÖDEMİŞ CEP</t>
  </si>
  <si>
    <t>14 00 - 16 15 - 18 30 - 21 00</t>
  </si>
  <si>
    <t>11 30 - 13 50 - 16 10 - 18 30 - 20 50</t>
  </si>
  <si>
    <t>12 40 - 15 00 - 17 20 - 19 40 - 22 00</t>
  </si>
  <si>
    <t>ŞANLIURFA EMEK SARAY ÖNÜ</t>
  </si>
  <si>
    <t>0452-323 91 91</t>
  </si>
  <si>
    <t>11 40 - 14 15 - 16 40 - 19 15 - 21 45 C/CMT 24 00</t>
  </si>
  <si>
    <t>12 15 - 14 45 - 17 15 - 19 45 - 22 15 C/CMT 24 45</t>
  </si>
  <si>
    <t>11 00 - 13 30 - 16 00 - 18 40 - 21 15 C/CMT 23 45</t>
  </si>
  <si>
    <t>10 30 - 13 00 - 15 30 - 18 10 - 20 50 C/CMT 23 30</t>
  </si>
  <si>
    <t>11 00 - 12 15 - 14 45 - 17 20 - 20 00 - 22 30 C/CMT 01 00</t>
  </si>
  <si>
    <t>11 45 - 13 30 - 14 15 - 16 50 - 19 30 - 22 10 C/CMT 24 45</t>
  </si>
  <si>
    <t>11 10 - 13 40 - 16 10 - 18 40 - 21 10 C/CMT 23 40</t>
  </si>
  <si>
    <t>12 05 - 14 35 - 17 05 - 19 35 - 22 10 C/CMT 24 40</t>
  </si>
  <si>
    <t>11 00 - 13 20 - 15 50 - 18 20 - 20 50 C/CMT 23 20</t>
  </si>
  <si>
    <t>10 40 - 13 05 - 15 35 - 18 05 - 20 35 C/CMT 23 05</t>
  </si>
  <si>
    <t>19 20 - 21 50 C/CMT 24 20</t>
  </si>
  <si>
    <t>10 45 - 13 15 - 15 45 - 18 15 - 20 45 C/CMT 23 15</t>
  </si>
  <si>
    <t>12 00 - 14 30 - 17 00 - 19 30 - 22 00 C/CMT 24 30</t>
  </si>
  <si>
    <t>10 40 - 13 00 - 15 10 - 17 20 - 20 30 C/CMT 23 20</t>
  </si>
  <si>
    <t>19 00 - 22 00</t>
  </si>
  <si>
    <t>12 05 - 14 30 - 17 00 - 19 25 - 21 50 C/CMT 24 30</t>
  </si>
  <si>
    <t>10 50 - 13 15 - 15 45 - 18 15 - 20 45 C/CMT 23 15</t>
  </si>
  <si>
    <t>12 10 - 14 35 - 17 05 - 19 35 - 22 00</t>
  </si>
  <si>
    <t>10 630 - 12 50 - 15 10 - 17 30 - 19 50 - 22 10</t>
  </si>
  <si>
    <t>11 00 - 14 35 - 17 10 - 19 30 - 21 50 C/CMT 24 10</t>
  </si>
  <si>
    <t>12 00 - 14 30 - 17 00 - 19 30 - 22 00 C/CMT 24 35</t>
  </si>
  <si>
    <t>12 45 - 15 15 - 17 45 - 20 15 - 22 45 C/CMT 01 05</t>
  </si>
  <si>
    <t>İST. ETİLER HILLSIDE CINECITY</t>
  </si>
  <si>
    <t>15 00 - 17 30 - 20 00 - 22 30 C/CMT 01 00</t>
  </si>
  <si>
    <t>11 20 - 13 45 - 16 15 - 18 45 - 21 15 C/CMT 23 45</t>
  </si>
  <si>
    <t>10 40 - 13 00 - 15 20 - 18 00 - 20 30 C/CMT 23 00</t>
  </si>
  <si>
    <t>16 40 - 19 15 - 21 45 C/CMT 24 15</t>
  </si>
  <si>
    <t>11 20 - 13 50 - 16 20 - 18 50 - 21 20 C/CMT 24 00</t>
  </si>
  <si>
    <t>17 50 - 20 10 - 22 30</t>
  </si>
  <si>
    <t>18 20 - 20 20 - 22 25 C/CMT 24 40</t>
  </si>
  <si>
    <t>12 30 - 15 00 - 17 30 - 20 00 - 22 30 C/CMT 01 00</t>
  </si>
  <si>
    <t>12 10 - 14 35 - 17 05 - 19 35 - 22 05 C/CMT 24 35</t>
  </si>
  <si>
    <t>11 20 - 13 45 - 16 15 - 18 45 - 21 15 C/CMT 23 40</t>
  </si>
  <si>
    <t>10 40 - 13 00 - 15 30 - 18 00 - 20 30 C/CMT 23 00</t>
  </si>
  <si>
    <t>11 50 - 14 15 - 16 45 - 19 15 - 21 45 C/CMT 24 15</t>
  </si>
  <si>
    <t>12 25 - 14 55 - 17 25 - 19 55 - 22 20</t>
  </si>
  <si>
    <t>11 00 - 13 00 - 15 20 - 17 40 - 20 00 C/CMT 22 20</t>
  </si>
  <si>
    <t>12 10 - 14 30 - 16 50 - 19 10 - 21 30 C/CMT 23 45</t>
  </si>
  <si>
    <t>11 20 - 13 40 - 16 00 - 18 20 - 20 40 C/CMT 23 00</t>
  </si>
  <si>
    <t>12 30 - 14 50 - 17 10 - 19 30 - 22 00</t>
  </si>
  <si>
    <t>11 00 - 13 15 - 15 45 - 18 15 - 20 45</t>
  </si>
  <si>
    <t>10 30 - 12 45 - 15 15 - 17 45 - 20 15 C/CMT 22 45</t>
  </si>
  <si>
    <t>10 00 - 12 00 - 14 00 - 16 00 - 18 00 - 20 00 - 22 00 - 24 00</t>
  </si>
  <si>
    <t>14 00 - 16 00 - 18 00 - 20 00 - 22 00</t>
  </si>
  <si>
    <t>11 45 - 14 15 - 16 45 - 19 30 - 22 00 C/CMT 24 30</t>
  </si>
  <si>
    <t>10 45 - 13 00 - 15 30 - 18 15 - 20 45 C/CMT 23 15</t>
  </si>
  <si>
    <t>11 00 - 13 15 - 15 45 - 18 15 - 20 45 C/CMT 23 30</t>
  </si>
  <si>
    <t>12 00 - 14 30 - 17 00 - 19 30 - 22 00 C/CMT 24 45</t>
  </si>
  <si>
    <t>12 00 - 14 30 - 17 10 - 19 50 - 22 30</t>
  </si>
  <si>
    <t>10 50 - 13 15 - 16 00 - 18 45 - 21 20 C/CMT 24 00</t>
  </si>
  <si>
    <t>11 00 - 13 20 - 15 40 - 18 00 - 20 20 - 22 40 C/CMT 01 00</t>
  </si>
  <si>
    <t>13 00 - 15 30 - 17 30 - 19 30 - 21 30</t>
  </si>
  <si>
    <t>10 45 - 12 30 - 17 45 - 19 30 - 21 15 C/CMT 23 00</t>
  </si>
  <si>
    <t>11 00 - 13 30 - 15 45 - 18 00 - 20 15 - 22 45</t>
  </si>
  <si>
    <t>11 45 - 14 15 - 16 30 - 18 45 - 21 00 C/CMT 23 45</t>
  </si>
  <si>
    <t>12 30 - 15 00 - 17 15 - 19 30 - 21 45 C/CMT 24 45</t>
  </si>
  <si>
    <t>0322-612 22 80</t>
  </si>
  <si>
    <t>0416-214 99 11</t>
  </si>
  <si>
    <t>0272 246 30 22</t>
  </si>
  <si>
    <t>0332-813 52 57</t>
  </si>
  <si>
    <t>0242-515 21 69</t>
  </si>
  <si>
    <t>0242-513 26 71</t>
  </si>
  <si>
    <t>0312-266 16 27</t>
  </si>
  <si>
    <t>0312-425 53 93</t>
  </si>
  <si>
    <t>0266-312 16 65</t>
  </si>
  <si>
    <t>0256-213 02 08</t>
  </si>
  <si>
    <t>0266-412 00 80</t>
  </si>
  <si>
    <t>0266-396 88 96</t>
  </si>
  <si>
    <t>0378-227 60 90</t>
  </si>
  <si>
    <t>0228-213 01 31</t>
  </si>
  <si>
    <t>0426-213 65 79</t>
  </si>
  <si>
    <t>0374 212 67 24</t>
  </si>
  <si>
    <t>0248 234 45 55</t>
  </si>
  <si>
    <t>0224 221 23 50</t>
  </si>
  <si>
    <t>0224-366 08 36</t>
  </si>
  <si>
    <t>0224 676 40 70</t>
  </si>
  <si>
    <t>0376-213 94 15</t>
  </si>
  <si>
    <t>0282 726 23 06</t>
  </si>
  <si>
    <t>0412-252 52 34</t>
  </si>
  <si>
    <t>0412 228 21 88</t>
  </si>
  <si>
    <t>0284 712 27 07</t>
  </si>
  <si>
    <t>0344 415 49 49</t>
  </si>
  <si>
    <t>0342-328 91 70</t>
  </si>
  <si>
    <t>0454-216 35 80</t>
  </si>
  <si>
    <t>0262-412-46-19</t>
  </si>
  <si>
    <t>0224-715 15 20</t>
  </si>
  <si>
    <t>215 27 27</t>
  </si>
  <si>
    <t>352 16 66</t>
  </si>
  <si>
    <t>662 98 40</t>
  </si>
  <si>
    <t>345 81 91</t>
  </si>
  <si>
    <t>315 10 10</t>
  </si>
  <si>
    <t>353 08 53</t>
  </si>
  <si>
    <t>232 44 40</t>
  </si>
  <si>
    <t>0232-347 58 25</t>
  </si>
  <si>
    <t>0232-381 64 61</t>
  </si>
  <si>
    <t>0232-446 90 40</t>
  </si>
  <si>
    <t>0232-483 75 11</t>
  </si>
  <si>
    <t>0232-545 35 49</t>
  </si>
  <si>
    <t>0232-512 18 15</t>
  </si>
  <si>
    <t>0232-754 40 10</t>
  </si>
  <si>
    <t>0262-322 69 29</t>
  </si>
  <si>
    <t>0344 235 33 10</t>
  </si>
  <si>
    <t>0370-424 58 94</t>
  </si>
  <si>
    <t>0262-452 49 14</t>
  </si>
  <si>
    <t>0392 228 96 98</t>
  </si>
  <si>
    <t>0392-822 35 65</t>
  </si>
  <si>
    <t>0392 223 53 95</t>
  </si>
  <si>
    <t>0274-614 44 14</t>
  </si>
  <si>
    <t>0274-216 66 06</t>
  </si>
  <si>
    <t>0422-321 16 74</t>
  </si>
  <si>
    <t>0236-413 59 93</t>
  </si>
  <si>
    <t>0236 232 05 62</t>
  </si>
  <si>
    <t>0252-413 75 84</t>
  </si>
  <si>
    <t>0358-513 14 44</t>
  </si>
  <si>
    <t>0252-513 11 26</t>
  </si>
  <si>
    <t>0256-313 18 88</t>
  </si>
  <si>
    <t>0384-341 40 80</t>
  </si>
  <si>
    <t>0388-232 07 09</t>
  </si>
  <si>
    <t>0452-212 04 58</t>
  </si>
  <si>
    <t>0370-712 60 10</t>
  </si>
  <si>
    <t>0324 712 30 61</t>
  </si>
  <si>
    <t>0368-261 06 43</t>
  </si>
  <si>
    <t>0346-224 12 01</t>
  </si>
  <si>
    <t>0414-316 12 03</t>
  </si>
  <si>
    <t>0414 217 13 13</t>
  </si>
  <si>
    <t>0276-223 67 25</t>
  </si>
  <si>
    <t>0354-217 55 58</t>
  </si>
  <si>
    <t>0372-615 19 23</t>
  </si>
  <si>
    <t>11 00 - 19 00 - 21 00</t>
  </si>
  <si>
    <t>GEMLİK VENÜS</t>
  </si>
  <si>
    <t>0224-513 33 21</t>
  </si>
  <si>
    <t>11 00 - 14 00 - 16 30 - 19 00 - 21 30</t>
  </si>
  <si>
    <t>12 15 - 15 15 - 17 45 - 20 15 - 22 30</t>
  </si>
  <si>
    <t xml:space="preserve">12 00 - 14 15 - 17 00 - 19 45 - 22 00 C/CMT 24 15 </t>
  </si>
  <si>
    <t>12 30 - 14 45 - 18 45 - 21 00 C/CMT 23 15 - 01 30</t>
  </si>
  <si>
    <t>13 00 - 16 30 - 19 15 - 21 30 - 23 45 - 02 00</t>
  </si>
  <si>
    <t>11 15 - 13 15 - 15 15</t>
  </si>
  <si>
    <t>21 00 C/CMT 23 15</t>
  </si>
  <si>
    <t>12 00 - 14 30 - 17 00 - 19 00</t>
  </si>
  <si>
    <t>12 00 - 14 15 - 16 30 - 18 45 - 21 15</t>
  </si>
  <si>
    <t>11 00 - 130 0 - 15 15 - 17 15 - 19 30 - 21 30</t>
  </si>
  <si>
    <t>VALENTINE DAY</t>
  </si>
  <si>
    <t>11 00 - 15 00 - 21 00</t>
  </si>
  <si>
    <t>12 00 (DB) -14 00 (ORJ)</t>
  </si>
  <si>
    <t>17 30 - 19 30 - 21 30 C/CMT 23 30</t>
  </si>
  <si>
    <t>11 00 - 13 00 - 15 00 - 17 00 - 19 15 - 21 15 C/CMT 24 00</t>
  </si>
  <si>
    <t>11 30 - 13 30 - 15 30 - 17 45 - 19 45 - 21 45 C/CMT 23 45</t>
  </si>
  <si>
    <t>VALENTINE'S DAY</t>
  </si>
  <si>
    <t xml:space="preserve">11 15 - 13 15 - 15 15 </t>
  </si>
  <si>
    <t>17 30 - 19 45 - 22 00 C/CMT 24 15</t>
  </si>
  <si>
    <t>12 00 (DUB) - 15 00 (DB) - 18 00 (ORJ)</t>
  </si>
  <si>
    <t>YEDEK KOPYA</t>
  </si>
  <si>
    <t>TATVAN CINEMED</t>
  </si>
  <si>
    <t>390 09 70</t>
  </si>
  <si>
    <t>729 01 20</t>
  </si>
  <si>
    <t>465 49 90</t>
  </si>
  <si>
    <t>İZMİT N CITY</t>
  </si>
  <si>
    <t>KONYA CINENS</t>
  </si>
  <si>
    <t>MERSİN CEP</t>
  </si>
  <si>
    <t>0332-247 22 25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</si>
  <si>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</si>
  <si>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</si>
  <si>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</si>
  <si>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</si>
  <si>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</si>
  <si>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</si>
  <si>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</si>
  <si>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</si>
  <si>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</si>
  <si>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</si>
  <si>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560 72 66</t>
  </si>
  <si>
    <t>11 30 - 13 30 - 15 30 - 17 30 - 19 30 - 21 30</t>
  </si>
  <si>
    <t>251 11 76</t>
  </si>
  <si>
    <t>.</t>
  </si>
  <si>
    <t>BALIKESİR EMEK</t>
  </si>
  <si>
    <t>İST. ÇEKMEKÖY ATLANTİS</t>
  </si>
  <si>
    <t>0266-245 94 74</t>
  </si>
  <si>
    <t>642 50 61</t>
  </si>
  <si>
    <t>0232-853 27 25</t>
  </si>
  <si>
    <t>12 00 - 14 00 - 16 00 - 18 00 - 20 00</t>
  </si>
  <si>
    <t>SIRA</t>
  </si>
  <si>
    <t>NO</t>
  </si>
  <si>
    <t>GAZİANTEP PRESTIGE</t>
  </si>
  <si>
    <t>İST. EYÜP BELEDİYE</t>
  </si>
  <si>
    <t>İZMİR BALÇOVA AGORA</t>
  </si>
  <si>
    <t>MALATYA YEŞİL</t>
  </si>
  <si>
    <t>SAMSUN KONAK</t>
  </si>
  <si>
    <t>MERSİN CINEMALL</t>
  </si>
  <si>
    <t>0324-331 00 77</t>
  </si>
  <si>
    <t>SAMSUN OSCAR</t>
  </si>
  <si>
    <t>616 00 66</t>
  </si>
  <si>
    <t>0356-213 32 09</t>
  </si>
  <si>
    <t>0362-465 63 33</t>
  </si>
  <si>
    <t>0488-215 44 40</t>
  </si>
  <si>
    <t>11 00 - 13 00 - 15 00 - 17 00 - 19 00 - 21 00</t>
  </si>
  <si>
    <t>VAN CINEVAN</t>
  </si>
  <si>
    <t>0432-210 22 66</t>
  </si>
  <si>
    <t>KAYSERİ ONAY</t>
  </si>
  <si>
    <t>0352-222 13 13</t>
  </si>
  <si>
    <t>0312-280 82 00</t>
  </si>
  <si>
    <t>11 45 - 13 45 - 15 45 - 17 45 - 19 45 - 21 45</t>
  </si>
  <si>
    <t>0342-220 76 58</t>
  </si>
  <si>
    <t>0264-282 19 99</t>
  </si>
  <si>
    <t>0242-345 90 00</t>
  </si>
  <si>
    <t>0362-431 24 71</t>
  </si>
  <si>
    <t>0464-214 65 11</t>
  </si>
  <si>
    <t>ADANA METROPOL</t>
  </si>
  <si>
    <t>ANTAKYA KONAK</t>
  </si>
  <si>
    <t>ANTALYA DEEPO</t>
  </si>
  <si>
    <t>BALIKESİR AKÇAY ATLAS</t>
  </si>
  <si>
    <t>ÇORUM MB</t>
  </si>
  <si>
    <t>ÇORUM ÖZDOĞANLAR</t>
  </si>
  <si>
    <t>İST. BAĞCILAR CINEHAT</t>
  </si>
  <si>
    <t>İST. PENDİK OSCAR</t>
  </si>
  <si>
    <t>İST. YENİBOSNA AIRPORT PRESTIGE</t>
  </si>
  <si>
    <t>İZMİR TORBALI KİPA SİNEVİZYON</t>
  </si>
  <si>
    <t>KAHRAMANMARAŞ CINEMALL</t>
  </si>
  <si>
    <t>KAYSERİ KASSERIA</t>
  </si>
  <si>
    <t>KAYSERİ PARK CINEBONUS</t>
  </si>
  <si>
    <t>KIRIKKALE MAKRO</t>
  </si>
  <si>
    <t>MANİSA ÇINAR</t>
  </si>
  <si>
    <t>RİZE PEMBE KÖŞK</t>
  </si>
  <si>
    <t>TRABZON ROYAL</t>
  </si>
  <si>
    <t>0242-743 05 24</t>
  </si>
  <si>
    <t>0322-233 27 00</t>
  </si>
  <si>
    <t>0272-215 99 10</t>
  </si>
  <si>
    <t>433 23 84</t>
  </si>
  <si>
    <t>613 14 77</t>
  </si>
  <si>
    <t>442 60 30</t>
  </si>
  <si>
    <t>0344-221 77 70</t>
  </si>
  <si>
    <t>0352-223 20 10</t>
  </si>
  <si>
    <t>İZMİT OUTLET</t>
  </si>
  <si>
    <t>0262-335 39 39</t>
  </si>
  <si>
    <t>488 59 55</t>
  </si>
  <si>
    <t>0264-274 73 17</t>
  </si>
  <si>
    <t>0326-216 30 09</t>
  </si>
  <si>
    <t>0258-212 32 62</t>
  </si>
  <si>
    <t>0284-212 00 86</t>
  </si>
  <si>
    <t>0454-212 35 17</t>
  </si>
  <si>
    <t>0232-278 10 10</t>
  </si>
  <si>
    <t>0352-223 11 53</t>
  </si>
  <si>
    <t>0318 218 88 55</t>
  </si>
  <si>
    <t>0462-323 33 77</t>
  </si>
  <si>
    <t>BOLU KARDELEN</t>
  </si>
  <si>
    <t>0374-215 09 27</t>
  </si>
  <si>
    <t>0312-358 06 07</t>
  </si>
  <si>
    <t>0266-241 16 50</t>
  </si>
  <si>
    <t>EDİRNE OSCAR</t>
  </si>
  <si>
    <t>0342-220 37 57</t>
  </si>
  <si>
    <t>11 15 - 13 15 - 15 15 - 17 15 - 19 15 - 21 15</t>
  </si>
  <si>
    <t>0266-384 31 18</t>
  </si>
  <si>
    <t>0362-230 68 30</t>
  </si>
  <si>
    <t>12 15 - 14 30 - 16 45 - 19 00 - 21 15</t>
  </si>
  <si>
    <t>AVATAR (3D)</t>
  </si>
  <si>
    <t>0380-524 43 40</t>
  </si>
  <si>
    <t>İST. ALTUNİZADE CAPITOL</t>
  </si>
  <si>
    <t>İST. SEFAKÖY ARMONİPARK PRESTIGE</t>
  </si>
  <si>
    <t>DABBE 2</t>
  </si>
  <si>
    <t>ANKARA ERYAMAN KC GÖKSU</t>
  </si>
  <si>
    <t>ANKARA MOVIECITY</t>
  </si>
  <si>
    <t>BALIKESİR CINEMARINE</t>
  </si>
  <si>
    <t>BALIKESİR ŞAN</t>
  </si>
  <si>
    <t>BANDIRMA GÜLEZ</t>
  </si>
  <si>
    <t>BODRUM CINEMARINE</t>
  </si>
  <si>
    <t>BURSA PRESTIGE</t>
  </si>
  <si>
    <t>ÇORLU PRESTIGE</t>
  </si>
  <si>
    <t>DENİZLİ BEYAZSAHNE</t>
  </si>
  <si>
    <t>EDİRNE CINEMARINE</t>
  </si>
  <si>
    <t>ELAZIĞ SARAY</t>
  </si>
  <si>
    <t>ESKİŞEHİR YAPAY</t>
  </si>
  <si>
    <t>FETHİYE HAYAL</t>
  </si>
  <si>
    <t>İST. AVCILAR AVŞAR</t>
  </si>
  <si>
    <t>İST. BAKIRKÖY AVŞAR</t>
  </si>
  <si>
    <t>İST. BEYLİKDÜZÜ BEYLICIUM FAVORİ</t>
  </si>
  <si>
    <t>İST. ÇEMBERLİTAŞ ŞAFAK MOVIEPLEX</t>
  </si>
  <si>
    <t>İST. ESENKENT SUN FLOWER</t>
  </si>
  <si>
    <t>İST. PENDİK GÜNEY</t>
  </si>
  <si>
    <t>İST. ŞİŞLİ MOVİEPLEX</t>
  </si>
  <si>
    <t>İST. ZEYTİNBURNU OLIVIUM CINECITY</t>
  </si>
  <si>
    <t>İZMİR ÇİĞLİ KİPA CINECITY</t>
  </si>
  <si>
    <t>İZMİR GAZİEMİR KİPA HOLLYWOOD</t>
  </si>
  <si>
    <t>İZMİT DOLPHIN</t>
  </si>
  <si>
    <t>KUŞADASI CINEMARINE</t>
  </si>
  <si>
    <t>ORDU CINEVİZYON</t>
  </si>
  <si>
    <t>SAMSUN GALAXI</t>
  </si>
  <si>
    <t>ZONGULDAK BELEDİYE</t>
  </si>
  <si>
    <t>GAZİANTEP BEDESTEN HAYRİ EŞKİN</t>
  </si>
  <si>
    <t>İST. BEYKENT PARADISE FAVORİ</t>
  </si>
  <si>
    <t>İST. BEYLİKDÜZÜ FOX SİTE</t>
  </si>
  <si>
    <t>İST. GÜNEŞLİ HAYATPARK SİTE</t>
  </si>
  <si>
    <t>11 00 - 13 00 - 15 00 - 17 00 - 19 15 - 21 30</t>
  </si>
  <si>
    <t>0262-325 20 00</t>
  </si>
  <si>
    <t>0342-371 01 20</t>
  </si>
  <si>
    <t>GAZİANTEP SİNEPARK NAKIPALİ</t>
  </si>
  <si>
    <t>871 42 44</t>
  </si>
  <si>
    <t>651 06 66</t>
  </si>
  <si>
    <t>610 47 20</t>
  </si>
  <si>
    <t>421 08 55</t>
  </si>
  <si>
    <t>0312-280 34 94</t>
  </si>
  <si>
    <t>0332-233 28 72</t>
  </si>
  <si>
    <t>0342-336 86 86</t>
  </si>
  <si>
    <t>0222-231 42 92</t>
  </si>
  <si>
    <t>0286-316 30 37</t>
  </si>
  <si>
    <t>0252-317 00 01</t>
  </si>
  <si>
    <t>0224-224 99 39</t>
  </si>
  <si>
    <t>0282-673 46 87</t>
  </si>
  <si>
    <t>0258-264 44 80</t>
  </si>
  <si>
    <t>0424-247 77 55</t>
  </si>
  <si>
    <t>0442-234 40 59</t>
  </si>
  <si>
    <t>0252-612 13 14</t>
  </si>
  <si>
    <t>554 77 77</t>
  </si>
  <si>
    <t>855 00 53</t>
  </si>
  <si>
    <t>873 62 62</t>
  </si>
  <si>
    <t>516 26 60</t>
  </si>
  <si>
    <t>605 02 22</t>
  </si>
  <si>
    <t>336 06 22</t>
  </si>
  <si>
    <t>296 42 60</t>
  </si>
  <si>
    <t>546 96 96</t>
  </si>
  <si>
    <t>0372-253 67 39</t>
  </si>
  <si>
    <t>0452-225 49 44</t>
  </si>
  <si>
    <t>0324 327 87 87</t>
  </si>
  <si>
    <t>0262-323 50 24</t>
  </si>
  <si>
    <t>0232-252 56 66</t>
  </si>
  <si>
    <t>0232-386 58 88</t>
  </si>
  <si>
    <t>0224-221 23 50</t>
  </si>
  <si>
    <t>540 20 94</t>
  </si>
  <si>
    <t>0372-257 87 72</t>
  </si>
  <si>
    <t>0284-236 40 01</t>
  </si>
  <si>
    <t>0256-622 34 34</t>
  </si>
  <si>
    <t>İST. SARIGAZİ ATLANTİS</t>
  </si>
  <si>
    <t>698 12 00</t>
  </si>
  <si>
    <t>İST. BAYRAMPAŞA COŞKUN SABAH</t>
  </si>
  <si>
    <t>SİVAS KLAS 2</t>
  </si>
  <si>
    <t>11 00 - 13 00 - 15 00 - 17 00 - 19 00 - 21 15</t>
  </si>
  <si>
    <t>12 00 - 14 15 - 16 30 - 18 45 - 21 00</t>
  </si>
  <si>
    <t>11 10 - 13 10 - 15 10 - 17 10 - 19 10 - 21 10</t>
  </si>
  <si>
    <t>DENİZLİ BELEDİYE SANAT</t>
  </si>
  <si>
    <t>12 15 - 14 15 - 16 15 - 18 15 - 20 15</t>
  </si>
  <si>
    <t>0436-212 00 03</t>
  </si>
  <si>
    <t>0382-212 95 95</t>
  </si>
  <si>
    <t>AKSARAY ALPHAN PARKSİTE</t>
  </si>
  <si>
    <t>AYDIN SÖKE DİCLE</t>
  </si>
  <si>
    <t>13 00 - 15 00 - 17 00 - 19 00 - 21 00</t>
  </si>
  <si>
    <t>İST. BAĞCILAR SİNEMA MERKEZİ</t>
  </si>
  <si>
    <t>436 08 08</t>
  </si>
  <si>
    <t>KIRŞEHİR KLAS</t>
  </si>
  <si>
    <t>442 13 86</t>
  </si>
  <si>
    <t>0224-261 57 67</t>
  </si>
  <si>
    <t>11 15 - 13 15 - 15 15 - 17 15 - 19 15 - 21 15 C/CMT 23 15</t>
  </si>
  <si>
    <t>0256-512 49 99</t>
  </si>
  <si>
    <t>0386-213 13 44</t>
  </si>
  <si>
    <t>11 15 - 13 45 - 16 15 - 18 45 - 21 15 C/CMT 23 45</t>
  </si>
  <si>
    <t>12 00 - 14 30 - 16 45 - 19 00 - 21 00</t>
  </si>
  <si>
    <t>UŞAK CINENS</t>
  </si>
  <si>
    <t>KÜTAHYA CINENS</t>
  </si>
  <si>
    <t>0274-224 75 57</t>
  </si>
  <si>
    <t>KUTSAL DAMACANA 2, İT MEN</t>
  </si>
  <si>
    <t>İST. SUADİYE MOVIEPLEX</t>
  </si>
  <si>
    <t>İST. BEYOĞLU BEYOĞLU</t>
  </si>
  <si>
    <t>DÜZCE AS MARTI</t>
  </si>
  <si>
    <t>İST. KADIKÖY ATLANTİS</t>
  </si>
  <si>
    <t>İST. BAĞCILAR SİTE</t>
  </si>
  <si>
    <t>ADAPAZARI PRESTIGE</t>
  </si>
  <si>
    <t>BİGA GÜLEZ</t>
  </si>
  <si>
    <t>İST. MASLAK TİM</t>
  </si>
  <si>
    <t>İST. KAVACIK BOĞAZİÇİ</t>
  </si>
  <si>
    <t>BATMAN WORDMAR</t>
  </si>
  <si>
    <t>İST. GÖKTÜRK CINEPORT</t>
  </si>
  <si>
    <t>YALOVA ÖZDİLEK</t>
  </si>
  <si>
    <t>DİYARBAKIR CINEMALL</t>
  </si>
  <si>
    <t>KARADENİZ EREĞLİ AKM</t>
  </si>
  <si>
    <t>İST. KADIKÖY REXX</t>
  </si>
  <si>
    <t>AFYON CINEMOVIE</t>
  </si>
  <si>
    <t>İST. KOZYATAĞI CINEPOL</t>
  </si>
  <si>
    <t>İST. ÜMRANİYE CARREFOUR AFM</t>
  </si>
  <si>
    <t>İST. MALTEPE CARREFOUR AFM</t>
  </si>
  <si>
    <t>İST. GÜNGÖREN KALE CINEBONUS</t>
  </si>
  <si>
    <t>İST. ÜMRANİYE MEYDAN CINEBONUS</t>
  </si>
  <si>
    <t>İST. BAKIRKÖY CAPACITY CINEBONUS</t>
  </si>
  <si>
    <t>İST. KOZYATAĞI PALLADIUM CINEBONUS</t>
  </si>
  <si>
    <t>İST. FATİH HISTORIA CINEBONUS</t>
  </si>
  <si>
    <t>İZMİR BALÇOVA KİPA CINEBONUS</t>
  </si>
  <si>
    <t>ANKARA ARCADIUM CINEBONUS</t>
  </si>
  <si>
    <t>ADANA TEPE M1 CINEBONUS</t>
  </si>
  <si>
    <t>ANTALYA MİGROS CINEBONUS</t>
  </si>
  <si>
    <t>ESKİŞEHİR NEO CINEBONUS</t>
  </si>
  <si>
    <t>ANKARA PANORA CINEBONUS</t>
  </si>
  <si>
    <t>ADAPAZARI ADA CENTER CINEBONUS</t>
  </si>
  <si>
    <t>DENİZLİ FORUM ÇAMLIK CINEBONUS</t>
  </si>
  <si>
    <t>MERSİN FORUM CINEBONUS</t>
  </si>
  <si>
    <t>AYDIN FORUM CINEBONUS</t>
  </si>
  <si>
    <t>ERZURUM CINEBONUS</t>
  </si>
  <si>
    <t>ANTALYA PRESTIJ</t>
  </si>
  <si>
    <t>ANKARA GORDION CINEBONUS</t>
  </si>
  <si>
    <t>TRABZON FORUM CINEBONUS</t>
  </si>
  <si>
    <t>İST. MECİDİYEKÖY CEVAHİR MEGAPLEX</t>
  </si>
  <si>
    <t>ANTALYA (ÖZDİLEK) CINETIME</t>
  </si>
  <si>
    <t>ERZURUM DADAŞ KLAS</t>
  </si>
  <si>
    <t>ESKİŞEHİR ESPARK CINEBONUS</t>
  </si>
  <si>
    <t>İST. SİLİVRİ KİPA CINEPINK</t>
  </si>
  <si>
    <t>ÇERKEZKÖY LEMAR</t>
  </si>
  <si>
    <t>İST. ATAŞEHİR ATAŞEHİR</t>
  </si>
  <si>
    <t>İZMİR BERGAMA ATLAS</t>
  </si>
  <si>
    <t>İZMİT BELSA</t>
  </si>
  <si>
    <t>MANİSA TURGUTLU POLLYWOOD</t>
  </si>
  <si>
    <t>MUŞ SİNEPORT</t>
  </si>
  <si>
    <t>TOKAT KARİZMA</t>
  </si>
  <si>
    <t>TRABZON LARA</t>
  </si>
  <si>
    <t>380 15 15</t>
  </si>
  <si>
    <t>ZONGULDAK DEMİRPARK PRESTIGE</t>
  </si>
  <si>
    <t>12 00 - 14 00 - 16 00 - 18 00 - 20 00 - 22 00</t>
  </si>
  <si>
    <t>0242-311 10 50</t>
  </si>
  <si>
    <t>0242-312 62 96</t>
  </si>
  <si>
    <t>0242-237 01 31</t>
  </si>
  <si>
    <t>ANKARA BÜYÜLÜ FENER BAHÇELİEVLER</t>
  </si>
  <si>
    <t>ANKARA BÜYÜLÜ FENER KIZILAY</t>
  </si>
  <si>
    <t>0312-425 01 00</t>
  </si>
  <si>
    <t>11 05 - 13 10 - 15 15 - 17 20 - 19 25 - 21 30</t>
  </si>
  <si>
    <t>0312-212 92 96</t>
  </si>
  <si>
    <t>0242-513 23 92</t>
  </si>
  <si>
    <t>12 15 - 14 45 - 17 15 - 19 45 - 22 15</t>
  </si>
  <si>
    <t>11 00 - 13 00 - 15 00 - 17 00 - 19 00 - 21 00 C/CMT 23 00</t>
  </si>
  <si>
    <t>MERSİN ÇARŞI</t>
  </si>
  <si>
    <t>11 00 - 13 15 - 15 30 - 17 45 - 20 00 - 22 15</t>
  </si>
  <si>
    <t>0224-243 73 43</t>
  </si>
  <si>
    <t>12 00 - 14 00 - 16 00 - 18 00 - 20 00 - 22 00 C/CMT 24 00</t>
  </si>
  <si>
    <t>602 34 34</t>
  </si>
  <si>
    <t>0266-234 03 03</t>
  </si>
  <si>
    <t>583 46 42</t>
  </si>
  <si>
    <t>0312-219 16 00</t>
  </si>
  <si>
    <t>0312-425 74 78</t>
  </si>
  <si>
    <t>0224-255 30 84</t>
  </si>
  <si>
    <t>0332-710 02 30</t>
  </si>
  <si>
    <t>0258-374 10 00</t>
  </si>
  <si>
    <t>ISPARTA BELEDİYE K.M.</t>
  </si>
  <si>
    <t>0246-232 53 84</t>
  </si>
  <si>
    <t>11 30 - 13 15 - 15 15 - 17 15 - 19 15 - 21 15</t>
  </si>
  <si>
    <t>362 51 00</t>
  </si>
  <si>
    <t>286 66 04</t>
  </si>
  <si>
    <t>İST. BAHÇELİEVLER CINE VIP METROPORT</t>
  </si>
  <si>
    <t>441 49 75</t>
  </si>
  <si>
    <t>0364-227 67 00</t>
  </si>
  <si>
    <t>462 20 21</t>
  </si>
  <si>
    <t>538 38 48</t>
  </si>
  <si>
    <t>0224-242 93 83</t>
  </si>
  <si>
    <t>0372-316 14 84</t>
  </si>
  <si>
    <t>0266-715 01 79</t>
  </si>
  <si>
    <t>11 40 - 13 40 - 15 40 - 17 40 - 21 40 C/CMT 23 40</t>
  </si>
  <si>
    <t>FATSA KLAS</t>
  </si>
  <si>
    <t>0262- 324 58 38</t>
  </si>
  <si>
    <t>TOKAT ASBERK</t>
  </si>
  <si>
    <t>0356-214 11 96</t>
  </si>
  <si>
    <t>İST. MALTEPE GRANDHAUS</t>
  </si>
  <si>
    <t>322 02 33</t>
  </si>
  <si>
    <t>11 00 - 13 00 - 15 15 - 17 30 - 19 45 - 22 00</t>
  </si>
  <si>
    <t>11 00 - 13 00 - 15 15 - 17 30 - 19 45 - 22 00 C/CMT 24 15</t>
  </si>
  <si>
    <t>11 00 - 13 00 - 15 15 - 17 30 - 19 45 - 22 00 C/CMT 24 30</t>
  </si>
  <si>
    <t>11 00 - 13 00 - 15 15 - 17 30 - 19 45 - 22 00 C/CMT 24 00</t>
  </si>
  <si>
    <t>BURSA ORHANGAZİ TUTKU</t>
  </si>
  <si>
    <t>0322-457 81 43</t>
  </si>
  <si>
    <t>0322-271 02 62</t>
  </si>
  <si>
    <t>0264-242 15 00</t>
  </si>
  <si>
    <t>0312-541 14 44</t>
  </si>
  <si>
    <t>0312-219 64 44</t>
  </si>
  <si>
    <t>0312-325 90 60</t>
  </si>
  <si>
    <t>0312-441 14 14</t>
  </si>
  <si>
    <t>0312-241 12 41</t>
  </si>
  <si>
    <t>0312-236 70 77</t>
  </si>
  <si>
    <t xml:space="preserve">0312 491 64 65 </t>
  </si>
  <si>
    <t>0242-340 54 70</t>
  </si>
  <si>
    <t>0242-324 40 00</t>
  </si>
  <si>
    <t>0242-230 14 14</t>
  </si>
  <si>
    <t>0256-232 03 00</t>
  </si>
  <si>
    <t>0224-452 83 00</t>
  </si>
  <si>
    <t>0224-225 45 60</t>
  </si>
  <si>
    <t>0224-572 33 34</t>
  </si>
  <si>
    <t>0286-214 10 66</t>
  </si>
  <si>
    <t>0282-725 01 94</t>
  </si>
  <si>
    <t>0364-221 39 04</t>
  </si>
  <si>
    <t>0258-215 15 38</t>
  </si>
  <si>
    <t>0412-252 52 35</t>
  </si>
  <si>
    <t>11 15 - 14 15 - 16 15 - 18 30 - 21 00</t>
  </si>
  <si>
    <t>0422-316 63 63</t>
  </si>
  <si>
    <t>0222 333 05 15</t>
  </si>
  <si>
    <t>0222-225 35 91</t>
  </si>
  <si>
    <t>0222 310 12 22</t>
  </si>
  <si>
    <t>0326-613 38 65</t>
  </si>
  <si>
    <t>456 82 20</t>
  </si>
  <si>
    <t xml:space="preserve">559 49 49 </t>
  </si>
  <si>
    <t>466 23 45</t>
  </si>
  <si>
    <t>640 66 33</t>
  </si>
  <si>
    <t>853 66 95</t>
  </si>
  <si>
    <t>871 53 66</t>
  </si>
  <si>
    <t>251 32 40</t>
  </si>
  <si>
    <t>251 20 20</t>
  </si>
  <si>
    <t>358 02 02</t>
  </si>
  <si>
    <t>523 10 88</t>
  </si>
  <si>
    <t>564 25 25</t>
  </si>
  <si>
    <t>677 59 59</t>
  </si>
  <si>
    <t>345 62 45</t>
  </si>
  <si>
    <t>336 01 12</t>
  </si>
  <si>
    <t>339 85 85</t>
  </si>
  <si>
    <t>425 19 15</t>
  </si>
  <si>
    <t>663 11 41</t>
  </si>
  <si>
    <t>354 13 88</t>
  </si>
  <si>
    <t>464 09 56</t>
  </si>
  <si>
    <t>515 12 12</t>
  </si>
  <si>
    <t>212 56 12</t>
  </si>
  <si>
    <t>525 14 44</t>
  </si>
  <si>
    <t>685 11 03</t>
  </si>
  <si>
    <t>466 58 00</t>
  </si>
  <si>
    <t>0232-278 87 87</t>
  </si>
  <si>
    <t>0232-373 73 20</t>
  </si>
  <si>
    <t>0232-373 03 50</t>
  </si>
  <si>
    <t>0232-324 42 64</t>
  </si>
  <si>
    <t>0232-489 22 00</t>
  </si>
  <si>
    <t>0232 425 01 25</t>
  </si>
  <si>
    <t>0392-365 12 70</t>
  </si>
  <si>
    <t>0422-321 12 22</t>
  </si>
  <si>
    <t>0452-425 01 12</t>
  </si>
  <si>
    <t>0236-232 05 62</t>
  </si>
  <si>
    <t>0324 331 51 51</t>
  </si>
  <si>
    <t>0452-233 86 40</t>
  </si>
  <si>
    <t>0282-264 22 20</t>
  </si>
  <si>
    <t>0462-330 10 01</t>
  </si>
  <si>
    <t>0462 321 00 06</t>
  </si>
  <si>
    <t>0276-227 72 22</t>
  </si>
  <si>
    <t>0226-352 77 26</t>
  </si>
  <si>
    <t>670 21 31</t>
  </si>
  <si>
    <t>0422-212 83 87</t>
  </si>
  <si>
    <t>0346-224 23 54</t>
  </si>
  <si>
    <t>KUTSAL DAMACANA 2</t>
  </si>
  <si>
    <t>EJDER KAPANI</t>
  </si>
  <si>
    <t>11 30 - 14 00 - 16 30 - 19 00 - 21 30 C/CMT 24 00</t>
  </si>
  <si>
    <t>11 45 - 14 15 - 16 45 - 19 15 - 21 45 C/CMT 24 15</t>
  </si>
  <si>
    <t>11 00 - 13 00 - 15 15 - 17 15 - 19 30 - 21 30</t>
  </si>
  <si>
    <t>11 00 - 13 00 - 15 15 - 17 15 - 19 30 - 21 30 C/CMT 23 45</t>
  </si>
  <si>
    <t>11 15 - 13 00 - 15 00 - 17 00 - 19 00 - 21 00</t>
  </si>
  <si>
    <t>11 00 - 13 10 - 15 20 - 17 30 - 19 40 - 21 50 C/CMT 24 00</t>
  </si>
  <si>
    <t>12 00 - 13 55 - 15 50 - 17 45 - 19 40 - 21 35</t>
  </si>
  <si>
    <t>ALANYA ÖRNEK BELEDİYE</t>
  </si>
  <si>
    <t>11 00 - 12 45 - 14 30 - 16 15 - 18 00 - 19 45 - 21 30</t>
  </si>
  <si>
    <t>KARAMAN MAKRO</t>
  </si>
  <si>
    <t>0338-213 61 31</t>
  </si>
  <si>
    <t>ANKARA FORUM CINEMA PINK</t>
  </si>
  <si>
    <t>0312-578 00 22</t>
  </si>
  <si>
    <t>YALOVA KİPA CINEMA PINK</t>
  </si>
  <si>
    <t>0226-812 72 72</t>
  </si>
  <si>
    <t>12 30 - 15 00 - 17 00 - 19 00 - 21 00</t>
  </si>
  <si>
    <t>11 00 - 13 00 - 15 00 - 17 00 - 19 00</t>
  </si>
  <si>
    <t>İST. ESENLER ESPRİ SİTE</t>
  </si>
  <si>
    <t>ERZURUM CAFÉ DE CINEMA ÜNİVERSİTE</t>
  </si>
  <si>
    <t>11 30 - 13 30 - 15 30 - 17 30 - 19 30 - 21 30 C/CMT 23 30</t>
  </si>
  <si>
    <t>ADANA ARIPLEX CEMALPAŞA</t>
  </si>
  <si>
    <t>0236-234 47 55</t>
  </si>
  <si>
    <t>10 45 - 13 00 - 15 15 - 17 30 - 19 45 - 22 00 C/CMT 24 15</t>
  </si>
  <si>
    <t>10 45 - 13 00 - 15 15 - 17 30 - 19 45 - 22 00</t>
  </si>
  <si>
    <t>11 00 - 13 30 - 16 00 - 18 30 - 21 15</t>
  </si>
  <si>
    <t>İNTİKAM PEŞİNDE</t>
  </si>
  <si>
    <t>11 30 - 14 00 - 16 30 - 18 45 - 21 00</t>
  </si>
  <si>
    <t>THE EDGE OF DARKNESS</t>
  </si>
  <si>
    <t>11 30 - 14 00 - 16 30 - 19 00 - 21 30 C/CMT 23 45</t>
  </si>
  <si>
    <t>0322-458 35 34</t>
  </si>
  <si>
    <t>0442-231 31 31</t>
  </si>
  <si>
    <t>0414-313 55 05</t>
  </si>
  <si>
    <t>11 00 - 13 00 - 15 15 - 17 30 - 19 45 - 22 15 C/CMT 24 15</t>
  </si>
  <si>
    <t xml:space="preserve">12 30 - 14 30 - 16 30 - 18 30 - 20 30 </t>
  </si>
  <si>
    <t xml:space="preserve">11 00 - 13 00 - 15 00 - 17 00 - 19 00 - 21 00 </t>
  </si>
  <si>
    <t>KAHRAMANMARAŞ ARSAN CENTER</t>
  </si>
  <si>
    <t xml:space="preserve">11 30 - 13 30 - 15 30 - 17 30 - 19 30 - 21 30 </t>
  </si>
  <si>
    <t>0 344 235 33 10</t>
  </si>
  <si>
    <t>BURSA KORUPARK CINETECH</t>
  </si>
  <si>
    <t>BURDUR OSCAR</t>
  </si>
  <si>
    <t xml:space="preserve">ANTALYA MEGAPOL </t>
  </si>
  <si>
    <t>ANTALYA PLAZA</t>
  </si>
  <si>
    <t>İST. BEYLİKDÜZÜ CİNE MARKA</t>
  </si>
  <si>
    <t xml:space="preserve">11 15 - 13 15 - 15 15 - 17 15 - 19 15 - 21 15 - C/CMT 23 15 </t>
  </si>
  <si>
    <t>İST. BAŞAKŞEHİR VADİ CENTER SİTE</t>
  </si>
  <si>
    <t>İST. ACARKENT COLISEUM SİTE</t>
  </si>
  <si>
    <t xml:space="preserve">11 45 - 13 45 - 15 45 - 17 45 - 19 45 - 21 45 </t>
  </si>
  <si>
    <t xml:space="preserve">11 15 - 13 15 - 15 15 - 17 15 - 19 15 - 21 15 </t>
  </si>
  <si>
    <t>İST. GAZİOSMANPAŞA CİNEMA</t>
  </si>
  <si>
    <t>KASTAMONU CINE ZİRVE</t>
  </si>
  <si>
    <t>KASTAMONU BARUTÇUOĞLU</t>
  </si>
  <si>
    <t xml:space="preserve">11 00 - 13 00 - 15 00 - 17 00 - 19 15 - 21 15 </t>
  </si>
  <si>
    <t xml:space="preserve">11 30 - 13 45 - 16 00 - 18 15 - 20 30 </t>
  </si>
  <si>
    <t xml:space="preserve">ANKARA ARMADA </t>
  </si>
  <si>
    <t xml:space="preserve">ANKARA METROPOL </t>
  </si>
  <si>
    <t xml:space="preserve">ANKARA OPTIMUM </t>
  </si>
  <si>
    <t>BURSA KENT MEYDANI</t>
  </si>
  <si>
    <t xml:space="preserve">KONYA KULE SİTE </t>
  </si>
  <si>
    <t xml:space="preserve">KONYA EREĞLİ PARK SİTE </t>
  </si>
  <si>
    <t xml:space="preserve">GAZİANTEP SANKO PARK </t>
  </si>
  <si>
    <t>BURSA ALTIPARMAK BURÇ</t>
  </si>
  <si>
    <t xml:space="preserve">13 30 - 15 30 - 17 30 - 19 30 - 21 30 </t>
  </si>
  <si>
    <t>KIBRIS LEFKOŞA MISIRLIZADE</t>
  </si>
  <si>
    <t>ADAPAZARI KÜLTÜR MERKEZİ</t>
  </si>
  <si>
    <t xml:space="preserve">MANAVGAT KÜLTÜR </t>
  </si>
  <si>
    <t xml:space="preserve">10 45 - 13 00 - 15 30 - 18 00 - 20 15 </t>
  </si>
  <si>
    <t xml:space="preserve">11 00 - 13 30 - 16 00 - 18 30 - 21 00 </t>
  </si>
  <si>
    <t xml:space="preserve">12 00 - 13 45 - 15 45 - 17 45 - 19 45 - 21 45 </t>
  </si>
  <si>
    <t>İST. HALKALI 212 AVM CINEMARINE</t>
  </si>
  <si>
    <t>MARDİN KIZILTEPE CINE ONUR</t>
  </si>
  <si>
    <t>0482-312 77 56</t>
  </si>
  <si>
    <t>12 00 - 14 30 - 17 00 - 19 30 - 22 00</t>
  </si>
  <si>
    <t>İST. KARTAL VİZYON</t>
  </si>
  <si>
    <t>306 90 07</t>
  </si>
  <si>
    <t>TANRININ KİTABI</t>
  </si>
  <si>
    <t>RECEP İVEDİK 3</t>
  </si>
  <si>
    <t xml:space="preserve">            BİLET FİYATLARI</t>
  </si>
  <si>
    <t>375 KOPYA -12 ŞUBAT 2010</t>
  </si>
  <si>
    <t>1.TİP</t>
  </si>
  <si>
    <t>2.TİP</t>
  </si>
  <si>
    <t>3.TİP</t>
  </si>
  <si>
    <t>4.TİP</t>
  </si>
  <si>
    <t>5.TİP</t>
  </si>
  <si>
    <t>6.TİP</t>
  </si>
  <si>
    <t>7.TİP</t>
  </si>
  <si>
    <t>GÖSTERECEĞİ SALON ADEDİ</t>
  </si>
  <si>
    <t>GÖSTERECEĞİ KOLTUK ADEDİ</t>
  </si>
  <si>
    <t>GÜNLÜK KAPASİTE</t>
  </si>
  <si>
    <t>HAFTALIK KAPASİTE</t>
  </si>
  <si>
    <t xml:space="preserve">                         KOPYA DAĞILIMI</t>
  </si>
  <si>
    <t xml:space="preserve">ADANA ARIPLEX CEMALPAŞA </t>
  </si>
  <si>
    <t>ŞEHİR</t>
  </si>
  <si>
    <t>SİNEMA ADEDİ</t>
  </si>
  <si>
    <t>ADANA ARIPLEX REŞATBEY</t>
  </si>
  <si>
    <t>İSTANBUL</t>
  </si>
  <si>
    <t>ANKARA</t>
  </si>
  <si>
    <t>ADANA M1 TEPE CINEBONUS</t>
  </si>
  <si>
    <t xml:space="preserve"> İZMİR</t>
  </si>
  <si>
    <t>BURSA</t>
  </si>
  <si>
    <t xml:space="preserve">ANTALYA </t>
  </si>
  <si>
    <t>ADANA</t>
  </si>
  <si>
    <t>DİĞER</t>
  </si>
  <si>
    <t>ADAPAZARI AKM</t>
  </si>
  <si>
    <t>TOPLAM</t>
  </si>
  <si>
    <t>AFYON ZEYLAND</t>
  </si>
  <si>
    <t xml:space="preserve">ALANYA ALANYUM ÖRNEK </t>
  </si>
  <si>
    <t>ALANYA DAMLATAŞ ÖRNEK</t>
  </si>
  <si>
    <t>15/13</t>
  </si>
  <si>
    <t>11,5/10</t>
  </si>
  <si>
    <t>ANKARA ARMADA AVŞAR</t>
  </si>
  <si>
    <t xml:space="preserve">ANKARA ATAON </t>
  </si>
  <si>
    <t>ANKARA BİLKENT CINEBONUS</t>
  </si>
  <si>
    <t>ANKARA FORM CINEPINK</t>
  </si>
  <si>
    <t>11,50/10,5</t>
  </si>
  <si>
    <t>ANKARA KC GÖKSU</t>
  </si>
  <si>
    <t>ANKARA KEÇİÖREN MOVIECITY</t>
  </si>
  <si>
    <t>ANKARA KENTPARK PRESTIGE</t>
  </si>
  <si>
    <t>ANKARA KIZILIRMAK</t>
  </si>
  <si>
    <t>ANKARA MEGAPOL AVŞAR</t>
  </si>
  <si>
    <t>ANKARA OPTIMUM AVŞAR</t>
  </si>
  <si>
    <t>13,5/12,50</t>
  </si>
  <si>
    <t>12,5/10,50</t>
  </si>
  <si>
    <t>13,00/12,00</t>
  </si>
  <si>
    <t>11,00/10,00</t>
  </si>
  <si>
    <t>ANTALYA CINETIME (ÖZDİLEK)</t>
  </si>
  <si>
    <t>ANTALYA MEGAPOL</t>
  </si>
  <si>
    <t>ANTALYA MIGROS CINEBONUS</t>
  </si>
  <si>
    <t xml:space="preserve">BALIKESİR ŞAN </t>
  </si>
  <si>
    <t>BARTIN DERVİŞOĞLU</t>
  </si>
  <si>
    <t>BATMAN WORLDMAR</t>
  </si>
  <si>
    <t>BOLU PRESTIGE</t>
  </si>
  <si>
    <t>BURSA AS MERKEZ AVŞAR</t>
  </si>
  <si>
    <t>BURSA KARACABEY TUTKU</t>
  </si>
  <si>
    <t>BURSA KENT MEYDAN AVŞAR</t>
  </si>
  <si>
    <t>BURSA KORU PARK</t>
  </si>
  <si>
    <t>BURSA OSMANGAZİ BEL</t>
  </si>
  <si>
    <t>BURSA SETBAŞI PRESTIGE</t>
  </si>
  <si>
    <t>DENİZLİ BEYAZ SAHNE</t>
  </si>
  <si>
    <t>DENİZLİ TERAS PARK AVŞAR</t>
  </si>
  <si>
    <t>DİYARBAKIR BABİL AVŞAR</t>
  </si>
  <si>
    <t>DİYARBAKIR GALERIA</t>
  </si>
  <si>
    <t>EDİRNE KİPA CINEMARINE</t>
  </si>
  <si>
    <t>ERZURUM KLAS DADAŞ</t>
  </si>
  <si>
    <t>GAZİANTEP OSKA</t>
  </si>
  <si>
    <t>GAZİANTEP SANKOPARK AVŞAR</t>
  </si>
  <si>
    <t xml:space="preserve">GİRESUN BEST  </t>
  </si>
  <si>
    <t>GÖLCÜK DÜNYA</t>
  </si>
  <si>
    <t>ISPARTA KÜLTÜR AVŞAR</t>
  </si>
  <si>
    <t>İNEGÖL CINENS</t>
  </si>
  <si>
    <t>İSKENDERUN SİTE</t>
  </si>
  <si>
    <t>İST. BAĞCILAR CINE HAT</t>
  </si>
  <si>
    <t xml:space="preserve">İST. BAHÇELİEVLER KADİR HAS </t>
  </si>
  <si>
    <t>İST. BAHÇELİEVLER METROPORT CINE VIP</t>
  </si>
  <si>
    <t>İST. BAŞAKŞEHİR VADİ SİTE</t>
  </si>
  <si>
    <t>İST. BAYRAMPAŞA AKVARYUM COŞKUN SABAH</t>
  </si>
  <si>
    <t>İST. BEYOĞLU ATLAS</t>
  </si>
  <si>
    <t>İST. ESENKENT SUNFLOWER</t>
  </si>
  <si>
    <t>İST. ESENTEPE ASTORIA CINEBONUS</t>
  </si>
  <si>
    <t>İST. FLORYA CINEBONUS</t>
  </si>
  <si>
    <t>İST. GÖZTEPE CINEMARKA</t>
  </si>
  <si>
    <t xml:space="preserve">İST. KADIKÖY KADIKÖY </t>
  </si>
  <si>
    <t>İST. KADIKÖY NAUTILUS CINEBONUS</t>
  </si>
  <si>
    <t>İST. KOZYATAĞI TRIO CINECITY</t>
  </si>
  <si>
    <t>İST. LEVENT KANYON CINEBONUS</t>
  </si>
  <si>
    <t>İST. MAÇKA G MALL CINEBONUS</t>
  </si>
  <si>
    <t>İST. MALTEPE GRANDHOUSE</t>
  </si>
  <si>
    <t>İST. MECİDİYEKÖY CEVAHİR  MEGAPLEX</t>
  </si>
  <si>
    <t>İST. NİŞANTAŞI CITY LIFE</t>
  </si>
  <si>
    <t>İST. SİLİVRİ CINEPINK</t>
  </si>
  <si>
    <t>İST. ŞİŞLİ MOVIEPLEX</t>
  </si>
  <si>
    <t>İZMİR ALSANCAK İZMİR SİNEMASI</t>
  </si>
  <si>
    <t>İZMİR ALSANCAK KARACA</t>
  </si>
  <si>
    <t>İZMİR BALÇOVA PALMİYE AVŞAR</t>
  </si>
  <si>
    <t>İZMİR BORNOVA BATI</t>
  </si>
  <si>
    <t xml:space="preserve">İZMİR ÇEŞME HOLLYWOOD </t>
  </si>
  <si>
    <t>İZMİR KONAK PIER CINEBONUS</t>
  </si>
  <si>
    <t>İZMİR KONAK ŞAN</t>
  </si>
  <si>
    <t>İZMİR ÖDEMİŞ BELD. CEP</t>
  </si>
  <si>
    <t>İZMİR TİRE BELEDİYE</t>
  </si>
  <si>
    <t>İZMİR URLA HAKAN ÇEKEN K.M</t>
  </si>
  <si>
    <t xml:space="preserve">KAHRAMANMARAŞ ARSAN </t>
  </si>
  <si>
    <t>KARABÜK ÖNEL PRESTIJ</t>
  </si>
  <si>
    <t>KARAMÜRSEL BELEDİYE</t>
  </si>
  <si>
    <t xml:space="preserve">KIBRIS LEFKOŞA MISIRLIZADE </t>
  </si>
  <si>
    <t>KIBRIS LEMAR GİRNE</t>
  </si>
  <si>
    <t>KIBRIS LEMAR LEFKOŞA</t>
  </si>
  <si>
    <t>KIBRIS MAGOSA GALERIA</t>
  </si>
  <si>
    <t>KONYA EREĞLİ PARKSİTE AVŞAR</t>
  </si>
  <si>
    <t>KONYA KULE SİTE AVŞAR</t>
  </si>
  <si>
    <t>KUŞADASI KİPA CINEMARINE</t>
  </si>
  <si>
    <t>KÜTAHYA TAVŞANLI CINENS</t>
  </si>
  <si>
    <t>MALATYA PARK AVŞAR</t>
  </si>
  <si>
    <t>MANAVGAT MKM</t>
  </si>
  <si>
    <t xml:space="preserve">MANİSA ALAŞEHİR AKM </t>
  </si>
  <si>
    <t>MANİSA HOLLYWOOD</t>
  </si>
  <si>
    <t>MARMARIS CINEPOINT</t>
  </si>
  <si>
    <t xml:space="preserve">MİLAS PRENSES </t>
  </si>
  <si>
    <t>NEVŞEHİR CINEPINK</t>
  </si>
  <si>
    <t xml:space="preserve">NEVŞEHİR ÜRGÜP BELEDİYE </t>
  </si>
  <si>
    <t>NİĞDE BELD</t>
  </si>
  <si>
    <t>ORDU CINEWORLD</t>
  </si>
  <si>
    <t>ORDU FATSA VİZYON</t>
  </si>
  <si>
    <t>SAFRANBOLU ATAMERKEZ</t>
  </si>
  <si>
    <t xml:space="preserve">SAMSUN BAFRA BELEDİYE </t>
  </si>
  <si>
    <t xml:space="preserve">SİNOP DENİZ </t>
  </si>
  <si>
    <t>SİVAS KLAS</t>
  </si>
  <si>
    <t>ŞANLI URFA EMEK ABİDE PARK</t>
  </si>
  <si>
    <t>ŞANLI URFA EMEK MOZAİK</t>
  </si>
  <si>
    <t>ŞANLI URFA EMEK SARAY ÖNÜ</t>
  </si>
  <si>
    <t>ÜNYE BELEDİYE</t>
  </si>
  <si>
    <t>YALOVA CINEMA PINK</t>
  </si>
  <si>
    <t>YALOVA CINETIME (ÖZDİLEK)</t>
  </si>
  <si>
    <t>YOZGAT YİMPAŞ</t>
  </si>
  <si>
    <t>ZONGULDAK ÇAYCUMA BELEDİYE</t>
  </si>
  <si>
    <t>ZONGULDAK PRESTIGE</t>
  </si>
  <si>
    <t>telefon</t>
  </si>
  <si>
    <t>11 00 - 13 00 - 15 30 - 18 00 - 20 30</t>
  </si>
  <si>
    <t>MERZİFON ÖZDİLEK K.M</t>
  </si>
  <si>
    <t>ORDU FATSA KLAS</t>
  </si>
  <si>
    <t>ADANA CEYHAN SİNEMA</t>
  </si>
  <si>
    <t>ADIYAMAN AİLE</t>
  </si>
  <si>
    <t>AKŞEHİR KÜLTÜR MERKEZİ</t>
  </si>
  <si>
    <t>AMASYA AR</t>
  </si>
  <si>
    <t>ANKARA ERYAMAN YUNUS</t>
  </si>
  <si>
    <t>ANKARA MALTEPE CINEMALLTEPE</t>
  </si>
  <si>
    <t>ANKARA METROPOL AVŞAR</t>
  </si>
  <si>
    <t>ARHAVİ ÇARMIKLI</t>
  </si>
  <si>
    <t>AYDIN MOONLIGHT</t>
  </si>
  <si>
    <t>AYVALIK VURAL</t>
  </si>
  <si>
    <t>BALIKESİR ALTINOLUK OSCAR</t>
  </si>
  <si>
    <t>BALIKESİR BURHANİYE OSCAR</t>
  </si>
  <si>
    <t>BİLECİK 6 EYLÜL</t>
  </si>
  <si>
    <t>BİNGÖL ELİT</t>
  </si>
  <si>
    <t>BURDUR BUCAK PİRAMİT</t>
  </si>
  <si>
    <t>BURSA CINE MODA</t>
  </si>
  <si>
    <t>ÇANKIRI KÜLTÜR</t>
  </si>
  <si>
    <t>ÇERKEZKÖY CINEMY</t>
  </si>
  <si>
    <t>DENİZLİ FORUM ÇAMLIK CİNEBONUS</t>
  </si>
  <si>
    <t>EDİRNE KEŞAN CINE BORSA</t>
  </si>
  <si>
    <t>ELBİSTAN KÜLTÜR MERKEZİ</t>
  </si>
  <si>
    <t>GAZİANTEP HAYRİ EŞKİN</t>
  </si>
  <si>
    <t>GİRESUN G CITY</t>
  </si>
  <si>
    <t>ISPARTA AKS</t>
  </si>
  <si>
    <t>İST. ATAŞEHİR SİNEMASI</t>
  </si>
  <si>
    <t>İST. BEYLİKDÜZÜ CINEMARKA</t>
  </si>
  <si>
    <t>İST. ÇATALCA CINEMY</t>
  </si>
  <si>
    <t>İST. KADIKÖY MODA</t>
  </si>
  <si>
    <t>İZMİR KARŞIYAKA DENİZ</t>
  </si>
  <si>
    <t>İZMİT  CINETIME (ÖZDİLEK)</t>
  </si>
  <si>
    <t>İZMİT CINEPARK</t>
  </si>
  <si>
    <t>KIRKLARELİ CINEPLAZA</t>
  </si>
  <si>
    <t>KÜTAHYA HOTAŞ</t>
  </si>
  <si>
    <t>LÜLEBURGAZ CINEPLAZA</t>
  </si>
  <si>
    <t>MANİSA AKHİSAR BELEDİYE</t>
  </si>
  <si>
    <t>RİZE PAZAR KLAS</t>
  </si>
  <si>
    <t>SİLİFKE BELEDİYE</t>
  </si>
  <si>
    <t>UŞAK PARK</t>
  </si>
  <si>
    <t>İST. GAZİOSMANPAŞA  SİNEMA</t>
  </si>
  <si>
    <t>11 15 - 13 45 - 16 15 - 18 30 - 21 00</t>
  </si>
  <si>
    <t>13 10 - 15 30 - 17 50 - 20 10 - 22 30</t>
  </si>
  <si>
    <t>12 00 - 14 20 - 16 40 - 19 00 - 21 20</t>
  </si>
  <si>
    <t>0248-325 31 18</t>
  </si>
  <si>
    <t>11 45 - 14 00 - 16 15 - 18 30 - 20 45</t>
  </si>
  <si>
    <t>11 30 - 14 00 - 16 30 - 19 00 - 21 30</t>
  </si>
  <si>
    <t>10 45 - 15 15 - 17 45 - 20 15</t>
  </si>
  <si>
    <t>MUĞLA SİNEMALARI</t>
  </si>
  <si>
    <t>11 30 - 13 45 - 16 00 - 18 15 - 20 30 C/CMT 22 30</t>
  </si>
  <si>
    <t>12 30 - 14 45 - 17 00 - 19 15 - 21 30</t>
  </si>
  <si>
    <t>14 15 - 16 30 - 18 45 - 21 00 C/CMT 23 00</t>
  </si>
  <si>
    <t>12 15 - 14 30 - 16 45 - 19 00 - 21 15 - 23 30</t>
  </si>
  <si>
    <t>12 45 - 14 45 - 16 45 - 18 45 - 20 45</t>
  </si>
  <si>
    <t>12 45 - 15 00 - 17 15 - 19 30 - 21 45 C/CMT 23 45</t>
  </si>
  <si>
    <t>11 30 - 13 45 - 16 00 - 18 15 - 20 30 - 22 45</t>
  </si>
  <si>
    <t>12 00 - 14 00 - 16 15 - 18 30 - 20 45 C/CMT 23 00</t>
  </si>
  <si>
    <t>11 45 - 14 00 - 16 15 - 18 30 - 20 30 - 22 30</t>
  </si>
  <si>
    <t>11 30 - 13 30 - 16 00 - 19 00 - 21 30</t>
  </si>
  <si>
    <t>11 45 - 13 45 - 16 30 - 19 00 - 21 15</t>
  </si>
  <si>
    <t>12 00 - 14 30 - 17 00 - 19 30 - 21 30</t>
  </si>
  <si>
    <t>11 15 - 13 45 - 16 15 - 18 45 - 21 15</t>
  </si>
  <si>
    <t>12 30 - 15 00 - 17 30 - 20 00 - 22 30</t>
  </si>
  <si>
    <t>12 00 - 14 00 - 16 00 - 18 15 - 20 15 - 22 15</t>
  </si>
  <si>
    <t>11 00 - 13 00 - 15 00 - 17 15 - 19 15 - 21 15</t>
  </si>
  <si>
    <t>12 00 - 14 30 - 17 00 - 20 00 - 22 30</t>
  </si>
  <si>
    <t>11 00 - 13 00 - 15 00 - 17 00 - 19 00 - 21 00 - 23 00</t>
  </si>
  <si>
    <t>AKSARAY ALPHAN PARK SİTE</t>
  </si>
  <si>
    <t>312 41 05</t>
  </si>
  <si>
    <t>0232-445 87 76</t>
  </si>
  <si>
    <t>12 30 - 14 30 - 16 30 - 18 30 - 20 30</t>
  </si>
  <si>
    <t>BURSA CINEDROME</t>
  </si>
  <si>
    <t>11 30 - 13 45 - 16 00 - 18 15 - 20 30</t>
  </si>
  <si>
    <t>12 15 - 14 45 - 17 15 - 19 45</t>
  </si>
  <si>
    <t>11 00 - 13 15 - 15 15 - 17 15 - 19 15 - 21 15</t>
  </si>
  <si>
    <t>12 15 - 14 15 - 16 15 - 18 15 - 20 15 - 22 15</t>
  </si>
  <si>
    <t>12 15 - 14 30 - 17 30 - 20 30 C/CMT 23 00</t>
  </si>
  <si>
    <t>11 00 - 13 15 - 16 00 - 19 00 - 21 45</t>
  </si>
  <si>
    <t>375 35 35</t>
  </si>
  <si>
    <t>11 30 - 13 45 - 16 15 - 18 45 - 21 15 C/CMT 23 45</t>
  </si>
  <si>
    <t>12 15 - 14 30 - 17 00 - 19 30 - 22 00 C/CMT 24 30</t>
  </si>
  <si>
    <t>11 30 - 13 30 - 15 45 - 18 00 - 20 15 - 22 30 C/CMT 24 45</t>
  </si>
  <si>
    <t>12 30 - 14 30 - 16 45 - 19 00 - 21 15 C/CMT 23 30</t>
  </si>
  <si>
    <t>12 00 - 14 00 - 16 15 - 18 30 - 20 45</t>
  </si>
  <si>
    <t>12 00 - 14 00 - 196 15 - 18 30 - 20 45</t>
  </si>
  <si>
    <t>15 45 - 18 00 - 20 15</t>
  </si>
  <si>
    <t>12 00 - 14 00 - 16 15 - 17 30 - 20 45</t>
  </si>
  <si>
    <t>0312-219 44 61</t>
  </si>
  <si>
    <t>11 00 - 13 00 - 15 00 - 17 00 - 19 15 - 21 15 C/CMT 23 45</t>
  </si>
  <si>
    <t>12 00 - 14 00 - 16 00 - 18 00 - 20 15 C/CMT 22 30</t>
  </si>
  <si>
    <t>12 30 - 14 30 - 16 30 - 18 30 - 21 00 C/CMT 23 00</t>
  </si>
  <si>
    <t>0246-224 17 89</t>
  </si>
  <si>
    <t>11 00 - 13 30 - 16 00 - 18 30 - 21 00 - 23 30</t>
  </si>
  <si>
    <t>11 00 - 13 15 - 15 30 - 17 45 - 20 00</t>
  </si>
  <si>
    <t>0248-233 19 66</t>
  </si>
  <si>
    <t>12 00 - 14 00 - 16 00 - 18 00 - 20 00 - 21 45</t>
  </si>
  <si>
    <t>13 30 - 15 30 - 17 30 - 19 30 - 21 30</t>
  </si>
  <si>
    <t>12 00 - 14 00 - 16 00 - 18 00 - 20 15</t>
  </si>
  <si>
    <t>KARAMAN SİNE NAS</t>
  </si>
  <si>
    <t>0338-214 84 44</t>
  </si>
  <si>
    <t>0266-241 22 65</t>
  </si>
  <si>
    <t>11 00 - 13 15 - 15 45 - 18 15 - 20 45 C/CMT 23 00</t>
  </si>
  <si>
    <t>11 15 - 13 15 - 15 30 - 17 45 - 20 00</t>
  </si>
  <si>
    <t>11 30 - 14 00 - 16 30 - 19 00 - 21 15</t>
  </si>
  <si>
    <t>0232-421 42 61</t>
  </si>
  <si>
    <t>12 45 - 15 15 - 17 45 - 20 15</t>
  </si>
  <si>
    <t>11 45 - 14 00 - 16 15 - 18 30 - 21 00</t>
  </si>
  <si>
    <t>0242-340 62 00</t>
  </si>
  <si>
    <t>11 00 - 13 158 - 15 30 - 17 45 - 20 00 - 22 15</t>
  </si>
  <si>
    <t>12 00 - 14 15 - 16 30 - 18 45 - 21 00 C/CMT 23 15</t>
  </si>
  <si>
    <t>11 00 - 13 30 - 15 45 - 18 00 - 20 30</t>
  </si>
  <si>
    <t>12 15 - 14 30 - 17 00 - 19 15 - 21 30</t>
  </si>
  <si>
    <t xml:space="preserve">12 00 - 14 00 - 16 00 - 18 00 - 20 00 - 22 00 </t>
  </si>
  <si>
    <t>12 30 - 14 30 - 16 30 - 18 30 - 20 30 - 22 30</t>
  </si>
  <si>
    <t>11 20 - 14 00 - 16 30 - 19 00 - 21 30</t>
  </si>
  <si>
    <t>KAHRAMANMARAŞ ARNELİA</t>
  </si>
  <si>
    <t>0236-654 35 36</t>
  </si>
  <si>
    <t>11 00 - 13 00 - 15 15 - 17 30 - 19 45</t>
  </si>
  <si>
    <t>337 74 00</t>
  </si>
  <si>
    <t>12 00 - 14 00 - 16 00 - 18 00 - 20 00 - 22 00 C/CMT 23 00</t>
  </si>
  <si>
    <t>411 17 03</t>
  </si>
  <si>
    <t>11 15 - 13 30 - 15 45 - 18 00 - 20 15</t>
  </si>
  <si>
    <t>12 45 - 15 00 - 17 15 - 19 30</t>
  </si>
  <si>
    <t>ERZURUM CAFÉ DE CINEMA GALERIA</t>
  </si>
  <si>
    <t>11 15 - 13 00 - 17 00 - 19 00 - 21 00</t>
  </si>
  <si>
    <t>0442-243 02 01</t>
  </si>
  <si>
    <t>TRABZON AKÇAABAT KÜLTÜR</t>
  </si>
  <si>
    <t>11 00 - 13 00 - 16 00 - 18 30 - 21 00</t>
  </si>
  <si>
    <t>0462-227 10 10</t>
  </si>
  <si>
    <t>13 30 - 15 45 - 18 00 - 20 30</t>
  </si>
  <si>
    <t>0362-234 36 66</t>
  </si>
  <si>
    <t>SAMSUN GALAXI ÇİFTLİK</t>
  </si>
  <si>
    <t>12 30 - 13 30 - 16 30 - 18 30 - 20 30 C/CMT 22 30</t>
  </si>
  <si>
    <t>11 00 - 13 10 - 15 20 - 17 30 - 19 40 - 21 50 - 23 55</t>
  </si>
  <si>
    <t>12 05 - 14 15 - 16 25 - 18 35 - 20 45 - 22 55</t>
  </si>
  <si>
    <t>11 15 - 13 25 - 15 35 - 17 45 - 19 55 - 22 05</t>
  </si>
  <si>
    <t>12 20 - 14 30 - 16 40 - 18 50 - 21 00 - 23 10</t>
  </si>
  <si>
    <t>12 15 - 14 30 - 16 45 - 19 15 - 21 30</t>
  </si>
  <si>
    <t>11 00 - 13 30 - 16 00 - 18 15 - 20 30</t>
  </si>
  <si>
    <t>12 15 - 14 45 - 17 15 - 19 30 - 21 30</t>
  </si>
  <si>
    <t>NAZİLLİ SARAY</t>
  </si>
  <si>
    <t>NAZİLLİ BELEDİYE</t>
  </si>
  <si>
    <t>11 30 - 14 30 - 17 30 - 20 30</t>
  </si>
  <si>
    <t>13 00 - 16 00 - 19 10 - 22 00</t>
  </si>
  <si>
    <t>12 00 - 13 00 - 14 30 - 16 30 - 18 30 - 21 00 - 23 15</t>
  </si>
  <si>
    <t>12 00 - 14 00 - 16 00 - 17 30 - 20 30 - 23 00</t>
  </si>
  <si>
    <t>14 00 - 18 00 - 20 45 - 23 00</t>
  </si>
  <si>
    <t>KONYA KİPA CINENS</t>
  </si>
  <si>
    <t>0232-712 07 13</t>
  </si>
  <si>
    <t>0236-238 66 46</t>
  </si>
  <si>
    <t>12 15 - 14 45 - 17 15 - 20 00</t>
  </si>
  <si>
    <t>MANİSA HOLLYWOOD 2000</t>
  </si>
  <si>
    <t>0236-715 12 55</t>
  </si>
  <si>
    <t>MANİSA SALİHLİ HOLLYWOOD ÇARŞI</t>
  </si>
  <si>
    <t>MANİSA SALİHLİ HOLLYWOOD KİPA</t>
  </si>
  <si>
    <t>0236-712 20 00</t>
  </si>
  <si>
    <t>MANİSA HOLYWOOD KARAKÖY</t>
  </si>
  <si>
    <t>13 00 - 16 00 - 19 30</t>
  </si>
  <si>
    <t>12 15 - 14 30 - 17 15 - 20 30</t>
  </si>
  <si>
    <t>12 00 - 14 00 - 16 00 - 18 00 - 20 00 C/CMT 22 00</t>
  </si>
  <si>
    <t>11 00 - 12 45 - 14 30 - 16 15 - 18 00 - 20 00 C/CMT 22 00 - 23 00</t>
  </si>
  <si>
    <t>578 45 89</t>
  </si>
  <si>
    <t>11 15 - 13 15 - 15 15 - 17 15 - 19 30 - 21 15</t>
  </si>
  <si>
    <t>15 00 - 17 15 - 19 30 - 21 45</t>
  </si>
  <si>
    <t>12 15 - 14 30 - 16 45 - 19 00 - 21 15 C/CMT 23 30</t>
  </si>
  <si>
    <t>11 15 - 13 30 - 15 45 - 18 00 - 20 00 - 22 00</t>
  </si>
  <si>
    <t>12 30 - 14 45 - 17 00 - 19 00 - 21 00</t>
  </si>
  <si>
    <t>11 30 - 13 15 - 15 15 - 17 00 - 19 00 - 21 00</t>
  </si>
  <si>
    <t>BURDUR OSCAR 2 BURSİM</t>
  </si>
  <si>
    <t>0358-218 11 81</t>
  </si>
  <si>
    <t>10 00 - 12 00 - 14 00 - 16 00 - 18 00 - 20 00</t>
  </si>
  <si>
    <t>ERZİNCAN ESİN</t>
  </si>
  <si>
    <t>0446-212 18 25</t>
  </si>
  <si>
    <t>11 30 - 14 00 - 16 15 - 19 00 - 21 15 C/CMT 23 15</t>
  </si>
  <si>
    <t>11 20 - 13 30 - 15 30 - 17 30 - 19 30 - 21 30</t>
  </si>
  <si>
    <t>12 25 - 14 30 - 16 30 - 18 30 - 20 30 C/CMT 22 45</t>
  </si>
  <si>
    <t>MARDİN KIZILTEPE CINEONUR</t>
  </si>
  <si>
    <t>11 00 - 13 00 - 15 15 - 17 30 - 19 40 - 22 00 C/CMT 24 10</t>
  </si>
  <si>
    <t>11 20 - 12 30 - 13 40 - 16 00 - 18 20 - 20 40 C/CMT 23 00</t>
  </si>
  <si>
    <t>11 00 - 13 10 - 15 30 - 17 50 - 20 10 - 22 30 C/CMT 24 45</t>
  </si>
  <si>
    <t>14 50 - 17 10 - 19 30 - 21 50 C/CMT 24 10</t>
  </si>
  <si>
    <t>12 00 - 14 20 - 16 40 - 19 00 - 21 20 C/CMT 23 40</t>
  </si>
  <si>
    <t>12 45 - 15 00 - 17 15 - 19 30 - 21 45</t>
  </si>
  <si>
    <t>11 30 - 13 15 - 15 00 - 16 45 - 18 30 - 20 15</t>
  </si>
  <si>
    <t>252 87 76</t>
  </si>
  <si>
    <t>12 45 - 15 15 - 17 45 - 20 15 C/CMT 22 45</t>
  </si>
  <si>
    <t>0344-215 88 22</t>
  </si>
  <si>
    <t>11 45 - 14 00 - 16 20 - 18 45 - 21 25</t>
  </si>
  <si>
    <t>12 10 - 14 30 - 16 50 - 19 10 - 21 30</t>
  </si>
  <si>
    <t>12 00 - 14 30 - 17 00 - 20 00 - 22 00</t>
  </si>
  <si>
    <t>11 30 - 13 30 - 15 30 - 17 30 - 19 30 - 21 30 - 23 30</t>
  </si>
  <si>
    <t>10 30 - 12 30 - 14 30 - 16 30 - 18 30 - 20 30 - 22 30</t>
  </si>
  <si>
    <t>11 15 - 13 30 - 15 45 - 18 00 - 20 30</t>
  </si>
  <si>
    <t>0282-725 38 57</t>
  </si>
  <si>
    <t>11 00 - 13 20 - 15 40 - 18 00 - 20 20 C/CMT 22 40</t>
  </si>
  <si>
    <t>11 30 - 13 50 - 16 10 - 18 30 - 20 40</t>
  </si>
  <si>
    <t>12 30 - 15 00 - 17 30 - 20 00</t>
  </si>
  <si>
    <t>11 45 - 14 15 - 16 45 - 19 00 - 21 45 C/CMT 24 15</t>
  </si>
  <si>
    <t>13 00 - 15 30 - 18 00 - 20 15 - 23 00</t>
  </si>
  <si>
    <t>0262-371 19 26</t>
  </si>
  <si>
    <t>11 00 - 13 00</t>
  </si>
  <si>
    <t>12 15 - 14 30 - 17 00 - 19 30 - 21 45</t>
  </si>
  <si>
    <t>11 00 - 13 15 - 15 45 - 18 15 - 20 45 - 22 55</t>
  </si>
  <si>
    <t>0312-279 32 31</t>
  </si>
  <si>
    <t>11 30 - 13 30 - 15 30 - 20 00</t>
  </si>
  <si>
    <t>11 00 - 13 00 - 15 30 - 17 30 - 19 45 - 21 45 C/CMT 24 00</t>
  </si>
  <si>
    <t>0312-419 44 92</t>
  </si>
  <si>
    <t>11 00 - 13 00 - 15 30 - 17 30 - 19 45 - 21 45</t>
  </si>
  <si>
    <t>583 46 02</t>
  </si>
  <si>
    <t xml:space="preserve"> 12 45 - 15 15 - 17 45 - 20 15</t>
  </si>
  <si>
    <t>0232-277 48 00</t>
  </si>
  <si>
    <t>11 00 - 163 00 - 15 30 - 17 30 - 19 45 - 21 45</t>
  </si>
  <si>
    <t>ISPARTA SARAÇ</t>
  </si>
  <si>
    <t>0246-232 69 14</t>
  </si>
  <si>
    <t>0422-212 83 85</t>
  </si>
  <si>
    <t>11 00 - 13 00 - 15 00 - 17 00 - 19 00 - 21 00 - 23 00 C/CMT 01 00</t>
  </si>
  <si>
    <t>12 00 - 14 00 - 16 00 - 18 00 - 20 00 - 22 00 - 24 00</t>
  </si>
  <si>
    <t>11 00 - 13 00 - 15 00 - 17 00 - 19 00 - 21 00 - 23 00 - 01 00</t>
  </si>
  <si>
    <t>11 00 - 12 45 - 16 45 - 18 45 - 20 45</t>
  </si>
  <si>
    <t>11 00 - 13 15 - 15 45 - 18 15 - 20 45 C/CMT 23 15</t>
  </si>
  <si>
    <t>0452-423 48 59</t>
  </si>
  <si>
    <t>13 15 - 15 15 - 17 15 - 19 15 - 21 15</t>
  </si>
  <si>
    <t>13 00 - 15 15 - 17 00 - 19 00 - 21 00</t>
  </si>
  <si>
    <t>11 00</t>
  </si>
  <si>
    <t>12 00 - 15 30 - 18 45 - 22 00</t>
  </si>
  <si>
    <t>10 30 - 13 45 - 17 00 - 20 15 - 23 30</t>
  </si>
  <si>
    <t>0362-532 32 89</t>
  </si>
  <si>
    <t>11 00 - 13 15 - 15 30 - 17 45 - 20 00 - 22 00</t>
  </si>
  <si>
    <t>11 45 - 14 00 - 16 15 - 18 30 - 20 45 - 22 30</t>
  </si>
  <si>
    <t>12 30 - 14 45 - 17 00 - 19 15 - 21 20</t>
  </si>
  <si>
    <t>11 00 - 13 20 - 15 40 - 18 00 - 20 20 - 22 40</t>
  </si>
  <si>
    <t>12 10 - 14 30 - 16 50 - 19 10 - 21 30 - 23 55</t>
  </si>
  <si>
    <t>11 00 - 13 05 - 15 10 - 17 15 - 19 25 - 21 35</t>
  </si>
  <si>
    <t>10 50 - 13 00 - 15 10 - 17 20 - 19 30 - 21 40</t>
  </si>
  <si>
    <t>11 55 - 14 05 - 16 15 - 18 25 - 20 35 C/CMT 22 45</t>
  </si>
  <si>
    <t xml:space="preserve">ANKARA AFM CEPA </t>
  </si>
  <si>
    <t>ANKARA AFM ANKAMALL</t>
  </si>
  <si>
    <t>ANKARA AFM ANTARES</t>
  </si>
  <si>
    <t>ANTALYA AFM LAURA</t>
  </si>
  <si>
    <t>BURSA AFM CARREFOUR NİLÜFER</t>
  </si>
  <si>
    <t>BURSA AFM ZAFER PLAZA</t>
  </si>
  <si>
    <t>ÇANAKKALE AFM CARREFOUR</t>
  </si>
  <si>
    <t>ESKİŞEHİR AFM MİGROS</t>
  </si>
  <si>
    <t>İST. ETİLER AFM MOHİNİ</t>
  </si>
  <si>
    <t>352 29 80</t>
  </si>
  <si>
    <t>İST. BAKIRKÖY AFM CAROUSEL</t>
  </si>
  <si>
    <t>İST. BAYRAMPAŞA AFM FORUM İSTANBUL</t>
  </si>
  <si>
    <t>İST. BEYLİKDÜZÜ AFM MİGROS</t>
  </si>
  <si>
    <t>İST. BEYOĞLU AFM FİTAŞ</t>
  </si>
  <si>
    <t>İST. BÜYÜKÇEKMECE AFM ATİRUS</t>
  </si>
  <si>
    <t>883 33 45</t>
  </si>
  <si>
    <t>İST. CADDEBOSTAN AFM BUDAK</t>
  </si>
  <si>
    <t>İST. ETİLER AFM AKMERKEZ</t>
  </si>
  <si>
    <t>282 05 05</t>
  </si>
  <si>
    <t>İST. İSTİNYE AFM İSTİNYEPARK</t>
  </si>
  <si>
    <t>İST. MALTEPE AFM CARREFOUR PARK</t>
  </si>
  <si>
    <t>İST. MECİDİYEKÖY AFM PROFİLO</t>
  </si>
  <si>
    <t>İST. KURTKÖY AFM ATLANTİS</t>
  </si>
  <si>
    <t>İST. PENDİK AFM PENDORYA</t>
  </si>
  <si>
    <t>İST. ÜMRANİYE AFM CARREFOUR</t>
  </si>
  <si>
    <t>İZMİR AFM FORUM BORNOVA</t>
  </si>
  <si>
    <t xml:space="preserve">İZMİR AFM PARK BORNOVA </t>
  </si>
  <si>
    <t>İZMİR AFM PASSTEL</t>
  </si>
  <si>
    <t>İZMİR AFM EGE PARK MAVİŞEHİR</t>
  </si>
  <si>
    <t>ORDU AFM MİGROS</t>
  </si>
  <si>
    <t>SAMSUN AFM YEŞİLYURT</t>
  </si>
  <si>
    <t>0362-439 20 70</t>
  </si>
  <si>
    <t>TEKİRDAĞ AFM TEKİRA</t>
  </si>
  <si>
    <t>10 30 - 12 45 - 15 00 - 17 15 - 19 30 - 21 45 C/CMT 24 00</t>
  </si>
  <si>
    <t>11 00 - 13 15 - 15 30 - 17 45 - 20 00 - 22 15 C/CMT 24 30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</si>
</sst>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7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10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name val="Arial Black"/>
      <family val="2"/>
    </font>
    <font>
      <b/>
      <sz val="8"/>
      <color indexed="9"/>
      <name val="Arial"/>
      <family val="2"/>
    </font>
    <font>
      <b/>
      <sz val="10"/>
      <color indexed="9"/>
      <name val="Arial Black"/>
      <family val="2"/>
    </font>
    <font>
      <b/>
      <sz val="10"/>
      <name val="Arial Black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57" fillId="41" borderId="5" applyNumberFormat="0" applyAlignment="0" applyProtection="0"/>
    <xf numFmtId="0" fontId="58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43" borderId="7" applyNumberFormat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60" fillId="44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5" fillId="43" borderId="8" applyNumberFormat="0" applyAlignment="0" applyProtection="0"/>
    <xf numFmtId="0" fontId="26" fillId="0" borderId="0" applyNumberFormat="0" applyFill="0" applyBorder="0" applyAlignment="0" applyProtection="0"/>
    <xf numFmtId="0" fontId="64" fillId="45" borderId="5" applyNumberFormat="0" applyAlignment="0" applyProtection="0"/>
    <xf numFmtId="0" fontId="27" fillId="46" borderId="12" applyNumberFormat="0" applyAlignment="0" applyProtection="0"/>
    <xf numFmtId="0" fontId="28" fillId="4" borderId="0" applyNumberFormat="0" applyBorder="0" applyAlignment="0" applyProtection="0"/>
    <xf numFmtId="0" fontId="29" fillId="3" borderId="0" applyNumberFormat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48" borderId="14" applyNumberFormat="0" applyFont="0" applyAlignment="0" applyProtection="0"/>
    <xf numFmtId="0" fontId="0" fillId="49" borderId="15" applyNumberFormat="0" applyFont="0" applyAlignment="0" applyProtection="0"/>
    <xf numFmtId="0" fontId="30" fillId="50" borderId="0" applyNumberFormat="0" applyBorder="0" applyAlignment="0" applyProtection="0"/>
    <xf numFmtId="0" fontId="67" fillId="41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9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4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8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55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176" fontId="11" fillId="55" borderId="1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55" borderId="0" xfId="0" applyFont="1" applyFill="1" applyBorder="1" applyAlignment="1">
      <alignment horizontal="center" wrapText="1"/>
    </xf>
    <xf numFmtId="3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left"/>
    </xf>
    <xf numFmtId="1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center" wrapText="1"/>
    </xf>
    <xf numFmtId="174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left"/>
    </xf>
    <xf numFmtId="0" fontId="4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90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0" xfId="89" applyFont="1" applyBorder="1" applyAlignment="1">
      <alignment horizontal="center"/>
      <protection/>
    </xf>
    <xf numFmtId="0" fontId="4" fillId="0" borderId="0" xfId="90" applyFont="1" applyFill="1" applyBorder="1">
      <alignment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90" applyFont="1" applyFill="1" applyBorder="1" applyAlignment="1">
      <alignment horizontal="center" wrapText="1"/>
      <protection/>
    </xf>
    <xf numFmtId="0" fontId="8" fillId="0" borderId="0" xfId="90" applyFont="1" applyFill="1" applyBorder="1" applyAlignment="1">
      <alignment wrapText="1"/>
      <protection/>
    </xf>
    <xf numFmtId="0" fontId="3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9" fillId="55" borderId="20" xfId="0" applyFont="1" applyFill="1" applyBorder="1" applyAlignment="1">
      <alignment horizontal="center" wrapText="1"/>
    </xf>
    <xf numFmtId="172" fontId="40" fillId="50" borderId="20" xfId="0" applyNumberFormat="1" applyFont="1" applyFill="1" applyBorder="1" applyAlignment="1">
      <alignment horizontal="center"/>
    </xf>
    <xf numFmtId="175" fontId="3" fillId="0" borderId="2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172" fontId="42" fillId="50" borderId="20" xfId="0" applyNumberFormat="1" applyFont="1" applyFill="1" applyBorder="1" applyAlignment="1">
      <alignment horizontal="center"/>
    </xf>
    <xf numFmtId="15" fontId="43" fillId="55" borderId="20" xfId="0" applyNumberFormat="1" applyFont="1" applyFill="1" applyBorder="1" applyAlignment="1">
      <alignment horizontal="center" wrapText="1"/>
    </xf>
    <xf numFmtId="3" fontId="43" fillId="55" borderId="20" xfId="0" applyNumberFormat="1" applyFont="1" applyFill="1" applyBorder="1" applyAlignment="1">
      <alignment horizontal="center" wrapText="1"/>
    </xf>
    <xf numFmtId="0" fontId="44" fillId="55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5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3" fontId="47" fillId="0" borderId="2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4" fontId="3" fillId="50" borderId="20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3" fontId="47" fillId="0" borderId="19" xfId="0" applyNumberFormat="1" applyFont="1" applyFill="1" applyBorder="1" applyAlignment="1">
      <alignment horizontal="center" wrapText="1"/>
    </xf>
    <xf numFmtId="0" fontId="47" fillId="0" borderId="20" xfId="0" applyFont="1" applyBorder="1" applyAlignment="1">
      <alignment wrapText="1"/>
    </xf>
    <xf numFmtId="0" fontId="47" fillId="50" borderId="20" xfId="0" applyFont="1" applyFill="1" applyBorder="1" applyAlignment="1">
      <alignment horizontal="center" wrapText="1"/>
    </xf>
    <xf numFmtId="17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3" fontId="4" fillId="55" borderId="0" xfId="0" applyNumberFormat="1" applyFont="1" applyFill="1" applyBorder="1" applyAlignment="1">
      <alignment horizontal="center"/>
    </xf>
    <xf numFmtId="175" fontId="4" fillId="5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90" applyFont="1" applyFill="1" applyBorder="1">
      <alignment/>
      <protection/>
    </xf>
    <xf numFmtId="0" fontId="8" fillId="0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3" fillId="0" borderId="0" xfId="90" applyFont="1" applyFill="1" applyBorder="1" applyAlignment="1">
      <alignment wrapText="1"/>
      <protection/>
    </xf>
    <xf numFmtId="0" fontId="38" fillId="0" borderId="0" xfId="0" applyFont="1" applyBorder="1" applyAlignment="1">
      <alignment horizontal="center"/>
    </xf>
    <xf numFmtId="172" fontId="40" fillId="55" borderId="2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5" fillId="0" borderId="0" xfId="90" applyFont="1" applyFill="1" applyBorder="1">
      <alignment/>
      <protection/>
    </xf>
    <xf numFmtId="0" fontId="7" fillId="0" borderId="0" xfId="89" applyFont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" fillId="0" borderId="0" xfId="88" applyFont="1" applyBorder="1" applyAlignment="1">
      <alignment horizontal="center" wrapText="1"/>
      <protection/>
    </xf>
    <xf numFmtId="0" fontId="7" fillId="0" borderId="20" xfId="89" applyFont="1" applyBorder="1" applyAlignment="1">
      <alignment horizontal="center"/>
      <protection/>
    </xf>
    <xf numFmtId="0" fontId="3" fillId="50" borderId="1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Border="1" applyAlignment="1">
      <alignment horizontal="left"/>
    </xf>
    <xf numFmtId="0" fontId="3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7" fillId="56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75" fontId="50" fillId="55" borderId="20" xfId="0" applyNumberFormat="1" applyFont="1" applyFill="1" applyBorder="1" applyAlignment="1">
      <alignment horizontal="center"/>
    </xf>
    <xf numFmtId="15" fontId="50" fillId="55" borderId="20" xfId="0" applyNumberFormat="1" applyFont="1" applyFill="1" applyBorder="1" applyAlignment="1">
      <alignment horizontal="center" wrapText="1"/>
    </xf>
    <xf numFmtId="15" fontId="50" fillId="55" borderId="20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4" fillId="0" borderId="20" xfId="88" applyFont="1" applyBorder="1" applyAlignment="1">
      <alignment horizontal="center" wrapText="1"/>
      <protection/>
    </xf>
    <xf numFmtId="0" fontId="52" fillId="55" borderId="20" xfId="0" applyFont="1" applyFill="1" applyBorder="1" applyAlignment="1">
      <alignment horizontal="center" wrapText="1"/>
    </xf>
    <xf numFmtId="172" fontId="53" fillId="55" borderId="20" xfId="0" applyNumberFormat="1" applyFont="1" applyFill="1" applyBorder="1" applyAlignment="1">
      <alignment horizontal="center" wrapText="1"/>
    </xf>
    <xf numFmtId="0" fontId="41" fillId="0" borderId="20" xfId="0" applyFont="1" applyBorder="1" applyAlignment="1">
      <alignment wrapText="1"/>
    </xf>
  </cellXfs>
  <cellStyles count="9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ÇILGIN DERSANE" xfId="88"/>
    <cellStyle name="Normal_GLADIO KOPYA TESPİT" xfId="89"/>
    <cellStyle name="Normal_KUTSAL DAMACANA2" xfId="90"/>
    <cellStyle name="Not" xfId="91"/>
    <cellStyle name="Note" xfId="92"/>
    <cellStyle name="Nötr" xfId="93"/>
    <cellStyle name="Output" xfId="94"/>
    <cellStyle name="Percent" xfId="95"/>
    <cellStyle name="Title" xfId="96"/>
    <cellStyle name="Toplam" xfId="97"/>
    <cellStyle name="Total" xfId="98"/>
    <cellStyle name="Uyarı Metni" xfId="99"/>
    <cellStyle name="Vurgu1" xfId="100"/>
    <cellStyle name="Vurgu2" xfId="101"/>
    <cellStyle name="Vurgu3" xfId="102"/>
    <cellStyle name="Vurgu4" xfId="103"/>
    <cellStyle name="Vurgu5" xfId="104"/>
    <cellStyle name="Vurgu6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57150</xdr:rowOff>
    </xdr:from>
    <xdr:to>
      <xdr:col>1</xdr:col>
      <xdr:colOff>0</xdr:colOff>
      <xdr:row>23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905000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1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924050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33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1619250"/>
          <a:ext cx="0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1590675"/>
          <a:ext cx="0" cy="737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27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4825" y="85725"/>
          <a:ext cx="0" cy="720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44</xdr:row>
      <xdr:rowOff>95250</xdr:rowOff>
    </xdr:to>
    <xdr:sp>
      <xdr:nvSpPr>
        <xdr:cNvPr id="6" name="Line 7"/>
        <xdr:cNvSpPr>
          <a:spLocks/>
        </xdr:cNvSpPr>
      </xdr:nvSpPr>
      <xdr:spPr>
        <a:xfrm>
          <a:off x="504825" y="809625"/>
          <a:ext cx="0" cy="1100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44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04825" y="809625"/>
          <a:ext cx="0" cy="1101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12</xdr:row>
      <xdr:rowOff>0</xdr:rowOff>
    </xdr:to>
    <xdr:sp>
      <xdr:nvSpPr>
        <xdr:cNvPr id="8" name="Line 9"/>
        <xdr:cNvSpPr>
          <a:spLocks/>
        </xdr:cNvSpPr>
      </xdr:nvSpPr>
      <xdr:spPr>
        <a:xfrm>
          <a:off x="504825" y="7905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12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04825" y="80962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14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504825" y="790575"/>
          <a:ext cx="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14</xdr:row>
      <xdr:rowOff>257175</xdr:rowOff>
    </xdr:to>
    <xdr:sp>
      <xdr:nvSpPr>
        <xdr:cNvPr id="11" name="Line 12"/>
        <xdr:cNvSpPr>
          <a:spLocks/>
        </xdr:cNvSpPr>
      </xdr:nvSpPr>
      <xdr:spPr>
        <a:xfrm flipH="1">
          <a:off x="504825" y="828675"/>
          <a:ext cx="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25</xdr:row>
      <xdr:rowOff>228600</xdr:rowOff>
    </xdr:to>
    <xdr:sp>
      <xdr:nvSpPr>
        <xdr:cNvPr id="12" name="Line 14"/>
        <xdr:cNvSpPr>
          <a:spLocks/>
        </xdr:cNvSpPr>
      </xdr:nvSpPr>
      <xdr:spPr>
        <a:xfrm flipH="1">
          <a:off x="504825" y="1657350"/>
          <a:ext cx="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31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504825" y="295275"/>
          <a:ext cx="0" cy="797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31</xdr:row>
      <xdr:rowOff>9525</xdr:rowOff>
    </xdr:to>
    <xdr:sp>
      <xdr:nvSpPr>
        <xdr:cNvPr id="14" name="Line 16"/>
        <xdr:cNvSpPr>
          <a:spLocks/>
        </xdr:cNvSpPr>
      </xdr:nvSpPr>
      <xdr:spPr>
        <a:xfrm flipV="1">
          <a:off x="504825" y="2571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61.25390625" style="0" bestFit="1" customWidth="1"/>
    <col min="5" max="5" width="10.875" style="0" customWidth="1"/>
  </cols>
  <sheetData>
    <row r="1" spans="2:3" ht="15.75">
      <c r="B1" s="3" t="s">
        <v>303</v>
      </c>
      <c r="C1" s="1"/>
    </row>
    <row r="4" spans="2:3" ht="12.75">
      <c r="B4" s="2" t="s">
        <v>302</v>
      </c>
      <c r="C4" s="1"/>
    </row>
    <row r="5" spans="2:3" ht="12.75">
      <c r="B5" t="s">
        <v>749</v>
      </c>
      <c r="C5" t="s">
        <v>43</v>
      </c>
    </row>
    <row r="6" spans="2:3" ht="12.75">
      <c r="B6" t="s">
        <v>749</v>
      </c>
      <c r="C6" t="s">
        <v>22</v>
      </c>
    </row>
    <row r="7" spans="2:3" ht="12.75">
      <c r="B7" t="s">
        <v>288</v>
      </c>
      <c r="C7" t="s">
        <v>674</v>
      </c>
    </row>
    <row r="8" spans="2:3" ht="12.75">
      <c r="B8" t="s">
        <v>672</v>
      </c>
      <c r="C8" t="s">
        <v>289</v>
      </c>
    </row>
    <row r="9" spans="2:3" ht="12.75">
      <c r="B9" t="s">
        <v>701</v>
      </c>
      <c r="C9" t="s">
        <v>290</v>
      </c>
    </row>
    <row r="10" spans="2:5" ht="12.75">
      <c r="B10" t="s">
        <v>749</v>
      </c>
      <c r="C10" t="s">
        <v>596</v>
      </c>
      <c r="E10" s="14"/>
    </row>
    <row r="11" spans="2:5" ht="12.75">
      <c r="B11" t="s">
        <v>394</v>
      </c>
      <c r="C11" t="s">
        <v>291</v>
      </c>
      <c r="E11" s="14"/>
    </row>
    <row r="12" spans="2:5" ht="12.75">
      <c r="B12" t="s">
        <v>749</v>
      </c>
      <c r="C12" t="s">
        <v>278</v>
      </c>
      <c r="E12" s="14"/>
    </row>
    <row r="13" spans="2:5" ht="12.75">
      <c r="B13" t="s">
        <v>673</v>
      </c>
      <c r="C13" t="s">
        <v>675</v>
      </c>
      <c r="E13" s="14"/>
    </row>
    <row r="14" spans="2:3" s="1" customFormat="1" ht="12.75">
      <c r="B14"/>
      <c r="C14"/>
    </row>
    <row r="15" spans="2:3" ht="12.75">
      <c r="B15" s="2" t="s">
        <v>304</v>
      </c>
      <c r="C15" s="1"/>
    </row>
    <row r="16" spans="2:3" ht="12.75">
      <c r="B16" t="s">
        <v>394</v>
      </c>
      <c r="C16" t="s">
        <v>284</v>
      </c>
    </row>
    <row r="17" spans="2:3" ht="12.75">
      <c r="B17" t="s">
        <v>749</v>
      </c>
      <c r="C17" t="s">
        <v>285</v>
      </c>
    </row>
    <row r="18" spans="2:3" ht="12.75">
      <c r="B18" t="s">
        <v>749</v>
      </c>
      <c r="C18" t="s">
        <v>286</v>
      </c>
    </row>
    <row r="19" spans="2:3" ht="12.75">
      <c r="B19" t="s">
        <v>672</v>
      </c>
      <c r="C19" t="s">
        <v>287</v>
      </c>
    </row>
    <row r="20" spans="2:3" ht="12.75">
      <c r="B20" t="s">
        <v>749</v>
      </c>
      <c r="C20" t="s">
        <v>980</v>
      </c>
    </row>
    <row r="21" spans="2:3" ht="12.75">
      <c r="B21" t="s">
        <v>673</v>
      </c>
      <c r="C21" t="s">
        <v>674</v>
      </c>
    </row>
    <row r="23" spans="2:3" ht="12.75">
      <c r="B23" s="2" t="s">
        <v>305</v>
      </c>
      <c r="C23" s="1"/>
    </row>
    <row r="24" spans="2:6" ht="12.75">
      <c r="B24" t="s">
        <v>749</v>
      </c>
      <c r="C24" t="s">
        <v>301</v>
      </c>
      <c r="F24" s="1"/>
    </row>
    <row r="25" spans="2:6" ht="12.75">
      <c r="B25" t="s">
        <v>749</v>
      </c>
      <c r="C25" t="s">
        <v>996</v>
      </c>
      <c r="F25" s="1"/>
    </row>
    <row r="26" spans="2:6" ht="12.75">
      <c r="B26" t="s">
        <v>282</v>
      </c>
      <c r="C26" t="s">
        <v>68</v>
      </c>
      <c r="F26" s="1"/>
    </row>
    <row r="27" spans="2:6" ht="12.75">
      <c r="B27" t="s">
        <v>749</v>
      </c>
      <c r="C27" t="s">
        <v>279</v>
      </c>
      <c r="E27" s="1"/>
      <c r="F27" s="1"/>
    </row>
    <row r="28" spans="2:6" ht="12.75">
      <c r="B28" t="s">
        <v>748</v>
      </c>
      <c r="C28" t="s">
        <v>700</v>
      </c>
      <c r="E28" s="1"/>
      <c r="F28" s="1"/>
    </row>
    <row r="29" spans="2:3" ht="12.75">
      <c r="B29" t="s">
        <v>672</v>
      </c>
      <c r="C29" t="s">
        <v>1015</v>
      </c>
    </row>
    <row r="30" spans="2:3" ht="12.75">
      <c r="B30" t="s">
        <v>673</v>
      </c>
      <c r="C30" t="s">
        <v>301</v>
      </c>
    </row>
    <row r="31" spans="2:3" ht="12.75">
      <c r="B31" t="s">
        <v>699</v>
      </c>
      <c r="C31" t="s">
        <v>283</v>
      </c>
    </row>
    <row r="32" ht="12.75">
      <c r="F32" s="1"/>
    </row>
    <row r="33" spans="2:6" ht="12.75">
      <c r="B33" s="2" t="s">
        <v>306</v>
      </c>
      <c r="C33" s="1"/>
      <c r="D33" s="1"/>
      <c r="E33" s="1"/>
      <c r="F33" s="1"/>
    </row>
    <row r="34" spans="2:3" ht="12.75">
      <c r="B34" t="s">
        <v>749</v>
      </c>
      <c r="C34" t="s">
        <v>281</v>
      </c>
    </row>
    <row r="35" spans="2:3" ht="12.75">
      <c r="B35" t="s">
        <v>672</v>
      </c>
      <c r="C35" t="s">
        <v>280</v>
      </c>
    </row>
    <row r="55" ht="12.75">
      <c r="C55" t="s">
        <v>307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1"/>
  <sheetViews>
    <sheetView zoomScalePageLayoutView="0" workbookViewId="0" topLeftCell="A1">
      <selection activeCell="J396" sqref="J396"/>
    </sheetView>
  </sheetViews>
  <sheetFormatPr defaultColWidth="9.00390625" defaultRowHeight="24.75" customHeight="1"/>
  <cols>
    <col min="1" max="1" width="6.625" style="57" customWidth="1"/>
    <col min="2" max="2" width="40.625" style="96" customWidth="1"/>
    <col min="3" max="3" width="13.75390625" style="97" hidden="1" customWidth="1"/>
    <col min="4" max="4" width="10.125" style="97" hidden="1" customWidth="1"/>
    <col min="5" max="5" width="9.00390625" style="97" hidden="1" customWidth="1"/>
    <col min="6" max="6" width="10.375" style="97" hidden="1" customWidth="1"/>
    <col min="7" max="7" width="10.125" style="97" hidden="1" customWidth="1"/>
    <col min="8" max="8" width="8.875" style="97" hidden="1" customWidth="1"/>
    <col min="9" max="9" width="9.625" style="97" hidden="1" customWidth="1"/>
    <col min="10" max="10" width="13.875" style="69" customWidth="1"/>
    <col min="11" max="11" width="12.25390625" style="80" hidden="1" customWidth="1"/>
    <col min="12" max="13" width="13.00390625" style="81" hidden="1" customWidth="1"/>
    <col min="14" max="14" width="13.25390625" style="95" hidden="1" customWidth="1"/>
    <col min="15" max="15" width="21.00390625" style="75" hidden="1" customWidth="1"/>
    <col min="16" max="16" width="17.625" style="82" hidden="1" customWidth="1"/>
    <col min="17" max="17" width="0" style="75" hidden="1" customWidth="1"/>
    <col min="18" max="19" width="0" style="62" hidden="1" customWidth="1"/>
    <col min="20" max="20" width="54.875" style="5" bestFit="1" customWidth="1"/>
    <col min="21" max="16384" width="9.125" style="62" customWidth="1"/>
  </cols>
  <sheetData>
    <row r="1" spans="2:44" ht="20.25">
      <c r="B1" s="143" t="s">
        <v>749</v>
      </c>
      <c r="C1" s="58" t="s">
        <v>750</v>
      </c>
      <c r="D1" s="58"/>
      <c r="E1" s="58"/>
      <c r="F1" s="58"/>
      <c r="G1" s="58"/>
      <c r="H1" s="58"/>
      <c r="I1" s="58"/>
      <c r="J1" s="137"/>
      <c r="K1" s="59"/>
      <c r="L1" s="59"/>
      <c r="M1" s="59"/>
      <c r="N1" s="59"/>
      <c r="O1" s="60"/>
      <c r="P1" s="61"/>
      <c r="Q1" s="60"/>
      <c r="T1" s="101"/>
      <c r="U1" s="29"/>
      <c r="V1" s="30"/>
      <c r="W1" s="30"/>
      <c r="X1" s="31"/>
      <c r="Y1" s="31"/>
      <c r="Z1" s="31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25.5">
      <c r="A2" s="57" t="s">
        <v>321</v>
      </c>
      <c r="B2" s="144" t="s">
        <v>751</v>
      </c>
      <c r="C2" s="63" t="s">
        <v>752</v>
      </c>
      <c r="D2" s="63" t="s">
        <v>753</v>
      </c>
      <c r="E2" s="63" t="s">
        <v>754</v>
      </c>
      <c r="F2" s="63" t="s">
        <v>755</v>
      </c>
      <c r="G2" s="63" t="s">
        <v>756</v>
      </c>
      <c r="H2" s="63" t="s">
        <v>757</v>
      </c>
      <c r="I2" s="63" t="s">
        <v>758</v>
      </c>
      <c r="J2" s="138"/>
      <c r="K2" s="64" t="s">
        <v>759</v>
      </c>
      <c r="L2" s="65" t="s">
        <v>760</v>
      </c>
      <c r="M2" s="65" t="s">
        <v>761</v>
      </c>
      <c r="N2" s="65" t="s">
        <v>762</v>
      </c>
      <c r="O2" s="66" t="s">
        <v>763</v>
      </c>
      <c r="P2" s="66"/>
      <c r="Q2" s="62"/>
      <c r="T2" s="102"/>
      <c r="U2" s="34"/>
      <c r="V2" s="33"/>
      <c r="W2" s="33"/>
      <c r="X2" s="33"/>
      <c r="Y2" s="33"/>
      <c r="Z2" s="33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2:44" ht="15.75" customHeight="1">
      <c r="B3" s="117"/>
      <c r="C3" s="63"/>
      <c r="D3" s="63"/>
      <c r="E3" s="63"/>
      <c r="F3" s="63"/>
      <c r="G3" s="63"/>
      <c r="H3" s="63"/>
      <c r="I3" s="63"/>
      <c r="J3" s="139" t="s">
        <v>889</v>
      </c>
      <c r="K3" s="64"/>
      <c r="L3" s="65"/>
      <c r="M3" s="65"/>
      <c r="N3" s="65"/>
      <c r="O3" s="66"/>
      <c r="P3" s="66"/>
      <c r="Q3" s="62"/>
      <c r="T3" s="102"/>
      <c r="U3" s="34"/>
      <c r="V3" s="33"/>
      <c r="W3" s="33"/>
      <c r="X3" s="33"/>
      <c r="Y3" s="33"/>
      <c r="Z3" s="33"/>
      <c r="AA3" s="33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s="73" customFormat="1" ht="21" customHeight="1">
      <c r="A4" s="57">
        <v>1</v>
      </c>
      <c r="B4" s="67" t="s">
        <v>764</v>
      </c>
      <c r="C4" s="68">
        <v>9.5</v>
      </c>
      <c r="D4" s="68">
        <v>8.5</v>
      </c>
      <c r="E4" s="68">
        <v>7.5</v>
      </c>
      <c r="F4" s="68">
        <v>6.5</v>
      </c>
      <c r="G4" s="68">
        <v>7</v>
      </c>
      <c r="H4" s="68"/>
      <c r="I4" s="68"/>
      <c r="J4" s="113" t="s">
        <v>703</v>
      </c>
      <c r="K4" s="69">
        <v>2</v>
      </c>
      <c r="L4" s="70">
        <f>230+105</f>
        <v>335</v>
      </c>
      <c r="M4" s="70">
        <f aca="true" t="shared" si="0" ref="M4:M124">L4*5</f>
        <v>1675</v>
      </c>
      <c r="N4" s="70">
        <f aca="true" t="shared" si="1" ref="N4:N124">M4*7</f>
        <v>11725</v>
      </c>
      <c r="O4" s="71" t="s">
        <v>765</v>
      </c>
      <c r="P4" s="71" t="s">
        <v>766</v>
      </c>
      <c r="Q4" s="72"/>
      <c r="T4" s="131" t="s">
        <v>312</v>
      </c>
      <c r="U4" s="99" t="s">
        <v>314</v>
      </c>
      <c r="V4" s="100"/>
      <c r="W4" s="100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</row>
    <row r="5" spans="1:44" s="73" customFormat="1" ht="21" customHeight="1">
      <c r="A5" s="57"/>
      <c r="B5" s="67" t="s">
        <v>764</v>
      </c>
      <c r="C5" s="68">
        <v>9.5</v>
      </c>
      <c r="D5" s="68">
        <v>8.5</v>
      </c>
      <c r="E5" s="68">
        <v>7.5</v>
      </c>
      <c r="F5" s="68">
        <v>6.5</v>
      </c>
      <c r="G5" s="68">
        <v>7</v>
      </c>
      <c r="H5" s="68"/>
      <c r="I5" s="68"/>
      <c r="J5" s="113" t="s">
        <v>703</v>
      </c>
      <c r="K5" s="69"/>
      <c r="L5" s="70"/>
      <c r="M5" s="70"/>
      <c r="N5" s="70"/>
      <c r="O5" s="71"/>
      <c r="P5" s="71"/>
      <c r="Q5" s="72"/>
      <c r="T5" s="131" t="s">
        <v>74</v>
      </c>
      <c r="U5" s="99"/>
      <c r="V5" s="100"/>
      <c r="W5" s="100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</row>
    <row r="6" spans="1:20" s="73" customFormat="1" ht="21" customHeight="1">
      <c r="A6" s="57">
        <f>A4+1</f>
        <v>2</v>
      </c>
      <c r="B6" s="67" t="s">
        <v>767</v>
      </c>
      <c r="C6" s="68">
        <v>10</v>
      </c>
      <c r="D6" s="68">
        <v>9</v>
      </c>
      <c r="E6" s="68">
        <v>8.5</v>
      </c>
      <c r="F6" s="68">
        <v>7.5</v>
      </c>
      <c r="G6" s="68">
        <v>7</v>
      </c>
      <c r="H6" s="68">
        <v>6.5</v>
      </c>
      <c r="I6" s="68"/>
      <c r="J6" s="112" t="s">
        <v>600</v>
      </c>
      <c r="K6" s="69">
        <v>2</v>
      </c>
      <c r="L6" s="70">
        <f>305+160</f>
        <v>465</v>
      </c>
      <c r="M6" s="70">
        <f t="shared" si="0"/>
        <v>2325</v>
      </c>
      <c r="N6" s="70">
        <f t="shared" si="1"/>
        <v>16275</v>
      </c>
      <c r="O6" s="74" t="s">
        <v>768</v>
      </c>
      <c r="P6" s="69">
        <v>77</v>
      </c>
      <c r="Q6" s="72"/>
      <c r="T6" s="131" t="s">
        <v>312</v>
      </c>
    </row>
    <row r="7" spans="1:20" ht="21" customHeight="1">
      <c r="A7" s="57">
        <f>A6+1</f>
        <v>3</v>
      </c>
      <c r="B7" s="67" t="s">
        <v>893</v>
      </c>
      <c r="C7" s="68">
        <v>5</v>
      </c>
      <c r="D7" s="68">
        <v>4</v>
      </c>
      <c r="E7" s="68">
        <v>3</v>
      </c>
      <c r="F7" s="68"/>
      <c r="G7" s="68"/>
      <c r="H7" s="68"/>
      <c r="I7" s="68"/>
      <c r="J7" s="113" t="s">
        <v>197</v>
      </c>
      <c r="K7" s="69">
        <v>2</v>
      </c>
      <c r="L7" s="70">
        <f>70+70</f>
        <v>140</v>
      </c>
      <c r="M7" s="70">
        <f t="shared" si="0"/>
        <v>700</v>
      </c>
      <c r="N7" s="70">
        <f t="shared" si="1"/>
        <v>4900</v>
      </c>
      <c r="O7" s="74" t="s">
        <v>769</v>
      </c>
      <c r="P7" s="69">
        <v>21</v>
      </c>
      <c r="Q7" s="60"/>
      <c r="T7" s="5" t="s">
        <v>1004</v>
      </c>
    </row>
    <row r="8" spans="1:20" ht="21" customHeight="1">
      <c r="A8" s="57">
        <f>A7+1</f>
        <v>4</v>
      </c>
      <c r="B8" s="67" t="s">
        <v>770</v>
      </c>
      <c r="C8" s="68">
        <v>12</v>
      </c>
      <c r="D8" s="68">
        <v>11</v>
      </c>
      <c r="E8" s="68">
        <v>10</v>
      </c>
      <c r="F8" s="68">
        <v>9</v>
      </c>
      <c r="G8" s="68">
        <v>5</v>
      </c>
      <c r="H8" s="68"/>
      <c r="I8" s="68"/>
      <c r="J8" s="112" t="s">
        <v>601</v>
      </c>
      <c r="K8" s="69">
        <v>2</v>
      </c>
      <c r="L8" s="70">
        <f>524+408</f>
        <v>932</v>
      </c>
      <c r="M8" s="70">
        <f t="shared" si="0"/>
        <v>4660</v>
      </c>
      <c r="N8" s="70">
        <f t="shared" si="1"/>
        <v>32620</v>
      </c>
      <c r="O8" s="74" t="s">
        <v>771</v>
      </c>
      <c r="P8" s="69">
        <v>22</v>
      </c>
      <c r="Q8" s="60"/>
      <c r="T8" s="5" t="s">
        <v>11</v>
      </c>
    </row>
    <row r="9" spans="2:20" ht="21" customHeight="1">
      <c r="B9" s="67" t="s">
        <v>770</v>
      </c>
      <c r="C9" s="68"/>
      <c r="D9" s="68"/>
      <c r="E9" s="68"/>
      <c r="F9" s="68"/>
      <c r="G9" s="68"/>
      <c r="H9" s="68"/>
      <c r="I9" s="68"/>
      <c r="J9" s="112" t="s">
        <v>601</v>
      </c>
      <c r="K9" s="69"/>
      <c r="L9" s="70"/>
      <c r="M9" s="70"/>
      <c r="N9" s="70"/>
      <c r="O9" s="74"/>
      <c r="P9" s="69"/>
      <c r="Q9" s="60"/>
      <c r="T9" s="5" t="s">
        <v>12</v>
      </c>
    </row>
    <row r="10" spans="1:20" ht="21" customHeight="1">
      <c r="A10" s="57">
        <f>A8+1</f>
        <v>5</v>
      </c>
      <c r="B10" s="67" t="s">
        <v>770</v>
      </c>
      <c r="C10" s="68">
        <v>12</v>
      </c>
      <c r="D10" s="68">
        <v>11</v>
      </c>
      <c r="E10" s="68">
        <v>10</v>
      </c>
      <c r="F10" s="68">
        <v>9</v>
      </c>
      <c r="G10" s="68">
        <v>5</v>
      </c>
      <c r="H10" s="68"/>
      <c r="I10" s="68"/>
      <c r="J10" s="112" t="s">
        <v>601</v>
      </c>
      <c r="K10" s="69">
        <v>2</v>
      </c>
      <c r="L10" s="69">
        <f>408+571</f>
        <v>979</v>
      </c>
      <c r="M10" s="70">
        <f t="shared" si="0"/>
        <v>4895</v>
      </c>
      <c r="N10" s="70">
        <f t="shared" si="1"/>
        <v>34265</v>
      </c>
      <c r="O10" s="74" t="s">
        <v>772</v>
      </c>
      <c r="P10" s="69">
        <v>11</v>
      </c>
      <c r="T10" s="5" t="s">
        <v>13</v>
      </c>
    </row>
    <row r="11" spans="2:20" ht="21" customHeight="1">
      <c r="B11" s="67" t="s">
        <v>770</v>
      </c>
      <c r="C11" s="68"/>
      <c r="D11" s="68"/>
      <c r="E11" s="68"/>
      <c r="F11" s="68"/>
      <c r="G11" s="68"/>
      <c r="H11" s="68"/>
      <c r="I11" s="68"/>
      <c r="J11" s="112" t="s">
        <v>601</v>
      </c>
      <c r="K11" s="69"/>
      <c r="L11" s="69"/>
      <c r="M11" s="70"/>
      <c r="N11" s="70"/>
      <c r="O11" s="74"/>
      <c r="P11" s="69"/>
      <c r="T11" s="5" t="s">
        <v>14</v>
      </c>
    </row>
    <row r="12" spans="1:20" ht="21" customHeight="1">
      <c r="A12" s="57">
        <f>A10+1</f>
        <v>6</v>
      </c>
      <c r="B12" s="67" t="s">
        <v>347</v>
      </c>
      <c r="C12" s="68">
        <v>8.5</v>
      </c>
      <c r="D12" s="68">
        <v>7</v>
      </c>
      <c r="E12" s="68">
        <v>7.5</v>
      </c>
      <c r="F12" s="68">
        <v>6</v>
      </c>
      <c r="G12" s="68"/>
      <c r="H12" s="68"/>
      <c r="I12" s="68"/>
      <c r="J12" s="112" t="s">
        <v>601</v>
      </c>
      <c r="K12" s="69">
        <v>2</v>
      </c>
      <c r="L12" s="70">
        <f>203+196</f>
        <v>399</v>
      </c>
      <c r="M12" s="70">
        <f t="shared" si="0"/>
        <v>1995</v>
      </c>
      <c r="N12" s="70">
        <f t="shared" si="1"/>
        <v>13965</v>
      </c>
      <c r="O12" s="74" t="s">
        <v>773</v>
      </c>
      <c r="P12" s="69">
        <v>7</v>
      </c>
      <c r="Q12" s="60"/>
      <c r="T12" s="5" t="s">
        <v>551</v>
      </c>
    </row>
    <row r="13" spans="2:20" ht="21" customHeight="1">
      <c r="B13" s="67" t="s">
        <v>347</v>
      </c>
      <c r="C13" s="68"/>
      <c r="D13" s="68"/>
      <c r="E13" s="68"/>
      <c r="F13" s="68"/>
      <c r="G13" s="68"/>
      <c r="H13" s="68"/>
      <c r="I13" s="68"/>
      <c r="J13" s="112" t="s">
        <v>601</v>
      </c>
      <c r="K13" s="69"/>
      <c r="L13" s="70"/>
      <c r="M13" s="70"/>
      <c r="N13" s="70"/>
      <c r="O13" s="74"/>
      <c r="P13" s="69"/>
      <c r="Q13" s="60"/>
      <c r="T13" s="5" t="s">
        <v>77</v>
      </c>
    </row>
    <row r="14" spans="2:20" ht="21" customHeight="1">
      <c r="B14" s="67" t="s">
        <v>347</v>
      </c>
      <c r="C14" s="68"/>
      <c r="D14" s="68"/>
      <c r="E14" s="68"/>
      <c r="F14" s="68"/>
      <c r="G14" s="68"/>
      <c r="H14" s="68"/>
      <c r="I14" s="68"/>
      <c r="J14" s="112" t="s">
        <v>601</v>
      </c>
      <c r="K14" s="69"/>
      <c r="L14" s="70"/>
      <c r="M14" s="70"/>
      <c r="N14" s="70"/>
      <c r="O14" s="74"/>
      <c r="P14" s="69"/>
      <c r="Q14" s="60"/>
      <c r="T14" s="5" t="s">
        <v>78</v>
      </c>
    </row>
    <row r="15" spans="1:20" ht="21" customHeight="1">
      <c r="A15" s="57">
        <f>A12+1</f>
        <v>7</v>
      </c>
      <c r="B15" s="67" t="s">
        <v>528</v>
      </c>
      <c r="C15" s="68">
        <v>9</v>
      </c>
      <c r="D15" s="68">
        <v>8</v>
      </c>
      <c r="E15" s="68">
        <v>7</v>
      </c>
      <c r="F15" s="68">
        <v>6</v>
      </c>
      <c r="G15" s="68">
        <v>5</v>
      </c>
      <c r="H15" s="68"/>
      <c r="I15" s="68"/>
      <c r="J15" s="114" t="s">
        <v>602</v>
      </c>
      <c r="K15" s="69">
        <v>2</v>
      </c>
      <c r="L15" s="70">
        <f>210+210</f>
        <v>420</v>
      </c>
      <c r="M15" s="70">
        <f t="shared" si="0"/>
        <v>2100</v>
      </c>
      <c r="N15" s="70">
        <f t="shared" si="1"/>
        <v>14700</v>
      </c>
      <c r="O15" s="74" t="s">
        <v>774</v>
      </c>
      <c r="P15" s="69">
        <v>6</v>
      </c>
      <c r="T15" s="5" t="s">
        <v>38</v>
      </c>
    </row>
    <row r="16" spans="2:20" ht="21" customHeight="1">
      <c r="B16" s="67" t="s">
        <v>528</v>
      </c>
      <c r="C16" s="68"/>
      <c r="D16" s="68"/>
      <c r="E16" s="68"/>
      <c r="F16" s="68"/>
      <c r="G16" s="68"/>
      <c r="H16" s="68"/>
      <c r="I16" s="68"/>
      <c r="J16" s="114" t="s">
        <v>602</v>
      </c>
      <c r="K16" s="69"/>
      <c r="L16" s="70"/>
      <c r="M16" s="70"/>
      <c r="N16" s="70"/>
      <c r="O16" s="74"/>
      <c r="P16" s="69"/>
      <c r="T16" s="5" t="s">
        <v>39</v>
      </c>
    </row>
    <row r="17" spans="1:20" ht="21" customHeight="1">
      <c r="A17" s="57">
        <f>A15+1</f>
        <v>8</v>
      </c>
      <c r="B17" s="67" t="s">
        <v>528</v>
      </c>
      <c r="C17" s="68">
        <v>9</v>
      </c>
      <c r="D17" s="68">
        <v>8</v>
      </c>
      <c r="E17" s="68">
        <v>7</v>
      </c>
      <c r="F17" s="68">
        <v>6</v>
      </c>
      <c r="G17" s="68">
        <v>5</v>
      </c>
      <c r="H17" s="68"/>
      <c r="I17" s="68"/>
      <c r="J17" s="114" t="s">
        <v>602</v>
      </c>
      <c r="K17" s="69">
        <v>2</v>
      </c>
      <c r="L17" s="70">
        <f>115+114</f>
        <v>229</v>
      </c>
      <c r="M17" s="70">
        <f t="shared" si="0"/>
        <v>1145</v>
      </c>
      <c r="N17" s="70">
        <f t="shared" si="1"/>
        <v>8015</v>
      </c>
      <c r="O17" s="74" t="s">
        <v>775</v>
      </c>
      <c r="P17" s="69">
        <v>165</v>
      </c>
      <c r="Q17" s="60"/>
      <c r="T17" s="5" t="s">
        <v>40</v>
      </c>
    </row>
    <row r="18" spans="2:20" ht="21" customHeight="1">
      <c r="B18" s="67" t="s">
        <v>528</v>
      </c>
      <c r="C18" s="68"/>
      <c r="D18" s="68"/>
      <c r="E18" s="68"/>
      <c r="F18" s="68"/>
      <c r="G18" s="68"/>
      <c r="H18" s="68"/>
      <c r="I18" s="68"/>
      <c r="J18" s="114" t="s">
        <v>602</v>
      </c>
      <c r="K18" s="69"/>
      <c r="L18" s="70"/>
      <c r="M18" s="70"/>
      <c r="N18" s="70"/>
      <c r="O18" s="74"/>
      <c r="P18" s="69"/>
      <c r="Q18" s="60"/>
      <c r="T18" s="5" t="s">
        <v>41</v>
      </c>
    </row>
    <row r="19" spans="1:20" ht="21" customHeight="1">
      <c r="A19" s="57">
        <f>A17+1</f>
        <v>9</v>
      </c>
      <c r="B19" s="67" t="s">
        <v>776</v>
      </c>
      <c r="C19" s="68">
        <v>8</v>
      </c>
      <c r="D19" s="68">
        <v>7</v>
      </c>
      <c r="E19" s="68"/>
      <c r="F19" s="68"/>
      <c r="G19" s="68"/>
      <c r="H19" s="68"/>
      <c r="I19" s="68"/>
      <c r="J19" s="112" t="s">
        <v>343</v>
      </c>
      <c r="K19" s="69">
        <v>3</v>
      </c>
      <c r="L19" s="70">
        <f>314+116+106</f>
        <v>536</v>
      </c>
      <c r="M19" s="70">
        <f t="shared" si="0"/>
        <v>2680</v>
      </c>
      <c r="N19" s="70">
        <f t="shared" si="1"/>
        <v>18760</v>
      </c>
      <c r="O19" s="76"/>
      <c r="P19" s="69"/>
      <c r="Q19" s="60"/>
      <c r="T19" s="5" t="s">
        <v>301</v>
      </c>
    </row>
    <row r="20" spans="2:20" ht="21" customHeight="1">
      <c r="B20" s="67" t="s">
        <v>776</v>
      </c>
      <c r="C20" s="68"/>
      <c r="D20" s="68"/>
      <c r="E20" s="68"/>
      <c r="F20" s="68"/>
      <c r="G20" s="68"/>
      <c r="H20" s="68"/>
      <c r="I20" s="68"/>
      <c r="J20" s="112" t="s">
        <v>343</v>
      </c>
      <c r="K20" s="69"/>
      <c r="L20" s="70"/>
      <c r="M20" s="70"/>
      <c r="N20" s="70"/>
      <c r="O20" s="5"/>
      <c r="P20" s="4"/>
      <c r="Q20" s="60"/>
      <c r="T20" s="5" t="s">
        <v>561</v>
      </c>
    </row>
    <row r="21" spans="1:20" ht="21" customHeight="1">
      <c r="A21" s="57">
        <f>A19+1</f>
        <v>10</v>
      </c>
      <c r="B21" s="77" t="s">
        <v>503</v>
      </c>
      <c r="C21" s="68">
        <v>8</v>
      </c>
      <c r="D21" s="68">
        <v>6</v>
      </c>
      <c r="E21" s="68">
        <v>5</v>
      </c>
      <c r="F21" s="68">
        <v>3</v>
      </c>
      <c r="G21" s="68"/>
      <c r="H21" s="68"/>
      <c r="I21" s="68"/>
      <c r="J21" s="69" t="s">
        <v>375</v>
      </c>
      <c r="K21" s="69">
        <v>2</v>
      </c>
      <c r="L21" s="70">
        <f>200+150</f>
        <v>350</v>
      </c>
      <c r="M21" s="70">
        <f t="shared" si="0"/>
        <v>1750</v>
      </c>
      <c r="N21" s="70">
        <f t="shared" si="1"/>
        <v>12250</v>
      </c>
      <c r="O21" s="78" t="s">
        <v>777</v>
      </c>
      <c r="P21" s="79">
        <f>SUM(P6:P19)</f>
        <v>309</v>
      </c>
      <c r="Q21" s="60"/>
      <c r="T21" s="5" t="s">
        <v>1106</v>
      </c>
    </row>
    <row r="22" spans="2:20" ht="21" customHeight="1">
      <c r="B22" s="77" t="s">
        <v>503</v>
      </c>
      <c r="C22" s="68"/>
      <c r="D22" s="68"/>
      <c r="E22" s="68"/>
      <c r="F22" s="68"/>
      <c r="G22" s="68"/>
      <c r="H22" s="68"/>
      <c r="I22" s="68"/>
      <c r="J22" s="69" t="s">
        <v>375</v>
      </c>
      <c r="K22" s="69"/>
      <c r="L22" s="70"/>
      <c r="M22" s="70"/>
      <c r="N22" s="70"/>
      <c r="O22" s="78"/>
      <c r="P22" s="79"/>
      <c r="Q22" s="60"/>
      <c r="T22" s="5" t="s">
        <v>566</v>
      </c>
    </row>
    <row r="23" spans="2:20" ht="21" customHeight="1">
      <c r="B23" s="77" t="s">
        <v>503</v>
      </c>
      <c r="C23" s="68"/>
      <c r="D23" s="68"/>
      <c r="E23" s="68"/>
      <c r="F23" s="68"/>
      <c r="G23" s="68"/>
      <c r="H23" s="68"/>
      <c r="I23" s="68"/>
      <c r="J23" s="69" t="s">
        <v>375</v>
      </c>
      <c r="K23" s="69"/>
      <c r="L23" s="70"/>
      <c r="M23" s="70"/>
      <c r="N23" s="70"/>
      <c r="O23" s="78"/>
      <c r="P23" s="79"/>
      <c r="Q23" s="60"/>
      <c r="T23" s="5" t="s">
        <v>566</v>
      </c>
    </row>
    <row r="24" spans="1:20" s="60" customFormat="1" ht="21" customHeight="1">
      <c r="A24" s="57">
        <f>A21+1</f>
        <v>11</v>
      </c>
      <c r="B24" s="67" t="s">
        <v>894</v>
      </c>
      <c r="C24" s="68"/>
      <c r="D24" s="68"/>
      <c r="E24" s="68"/>
      <c r="F24" s="68"/>
      <c r="G24" s="68"/>
      <c r="H24" s="68"/>
      <c r="I24" s="68"/>
      <c r="J24" s="112" t="s">
        <v>198</v>
      </c>
      <c r="K24" s="80">
        <v>2</v>
      </c>
      <c r="L24" s="81">
        <v>200</v>
      </c>
      <c r="M24" s="70">
        <f t="shared" si="0"/>
        <v>1000</v>
      </c>
      <c r="N24" s="70">
        <f t="shared" si="1"/>
        <v>7000</v>
      </c>
      <c r="P24" s="61"/>
      <c r="T24" s="5" t="s">
        <v>131</v>
      </c>
    </row>
    <row r="25" spans="1:20" s="60" customFormat="1" ht="21" customHeight="1">
      <c r="A25" s="57"/>
      <c r="B25" s="67" t="s">
        <v>894</v>
      </c>
      <c r="C25" s="68"/>
      <c r="D25" s="68"/>
      <c r="E25" s="68"/>
      <c r="F25" s="68"/>
      <c r="G25" s="68"/>
      <c r="H25" s="68"/>
      <c r="I25" s="68"/>
      <c r="J25" s="112" t="s">
        <v>198</v>
      </c>
      <c r="K25" s="80"/>
      <c r="L25" s="81"/>
      <c r="M25" s="70"/>
      <c r="N25" s="70"/>
      <c r="P25" s="61"/>
      <c r="T25" s="5" t="s">
        <v>937</v>
      </c>
    </row>
    <row r="26" spans="1:20" ht="21" customHeight="1">
      <c r="A26" s="57">
        <f>A24+1</f>
        <v>12</v>
      </c>
      <c r="B26" s="77" t="s">
        <v>513</v>
      </c>
      <c r="C26" s="68">
        <v>8</v>
      </c>
      <c r="D26" s="68">
        <v>7</v>
      </c>
      <c r="E26" s="68">
        <v>6</v>
      </c>
      <c r="F26" s="68">
        <v>5</v>
      </c>
      <c r="G26" s="68"/>
      <c r="H26" s="68"/>
      <c r="I26" s="68"/>
      <c r="J26" s="112" t="s">
        <v>366</v>
      </c>
      <c r="K26" s="69">
        <v>2</v>
      </c>
      <c r="L26" s="70">
        <f>115+105</f>
        <v>220</v>
      </c>
      <c r="M26" s="70">
        <f t="shared" si="0"/>
        <v>1100</v>
      </c>
      <c r="N26" s="70">
        <f t="shared" si="1"/>
        <v>7700</v>
      </c>
      <c r="O26" s="60"/>
      <c r="P26" s="61"/>
      <c r="Q26" s="60"/>
      <c r="T26" s="5" t="s">
        <v>963</v>
      </c>
    </row>
    <row r="27" spans="2:20" ht="21" customHeight="1">
      <c r="B27" s="77" t="s">
        <v>513</v>
      </c>
      <c r="C27" s="68"/>
      <c r="D27" s="68"/>
      <c r="E27" s="68"/>
      <c r="F27" s="68"/>
      <c r="G27" s="68"/>
      <c r="H27" s="68"/>
      <c r="I27" s="68"/>
      <c r="J27" s="112" t="s">
        <v>366</v>
      </c>
      <c r="K27" s="69"/>
      <c r="L27" s="70"/>
      <c r="M27" s="70"/>
      <c r="N27" s="70"/>
      <c r="O27" s="60"/>
      <c r="P27" s="61"/>
      <c r="Q27" s="60"/>
      <c r="T27" s="5" t="s">
        <v>941</v>
      </c>
    </row>
    <row r="28" spans="1:20" ht="21" customHeight="1">
      <c r="A28" s="57">
        <f>A26+1</f>
        <v>13</v>
      </c>
      <c r="B28" s="67" t="s">
        <v>778</v>
      </c>
      <c r="C28" s="68">
        <v>8</v>
      </c>
      <c r="D28" s="68">
        <v>7</v>
      </c>
      <c r="E28" s="68">
        <v>5</v>
      </c>
      <c r="F28" s="68"/>
      <c r="G28" s="68"/>
      <c r="H28" s="68"/>
      <c r="I28" s="68"/>
      <c r="J28" s="112" t="s">
        <v>199</v>
      </c>
      <c r="K28" s="69">
        <v>2</v>
      </c>
      <c r="L28" s="70">
        <f>143+83</f>
        <v>226</v>
      </c>
      <c r="M28" s="70">
        <f t="shared" si="0"/>
        <v>1130</v>
      </c>
      <c r="N28" s="70">
        <f t="shared" si="1"/>
        <v>7910</v>
      </c>
      <c r="O28" s="60"/>
      <c r="P28" s="61"/>
      <c r="Q28" s="60"/>
      <c r="T28" s="5" t="s">
        <v>335</v>
      </c>
    </row>
    <row r="29" spans="2:20" ht="21" customHeight="1">
      <c r="B29" s="67" t="s">
        <v>778</v>
      </c>
      <c r="C29" s="68"/>
      <c r="D29" s="68"/>
      <c r="E29" s="68"/>
      <c r="F29" s="68"/>
      <c r="G29" s="68"/>
      <c r="H29" s="68"/>
      <c r="I29" s="68"/>
      <c r="J29" s="112" t="s">
        <v>199</v>
      </c>
      <c r="K29" s="69"/>
      <c r="L29" s="70"/>
      <c r="M29" s="70"/>
      <c r="N29" s="70"/>
      <c r="O29" s="60"/>
      <c r="P29" s="61"/>
      <c r="Q29" s="60"/>
      <c r="T29" s="5" t="s">
        <v>551</v>
      </c>
    </row>
    <row r="30" spans="1:20" ht="21" customHeight="1">
      <c r="A30" s="57">
        <f>A28+1</f>
        <v>14</v>
      </c>
      <c r="B30" s="77" t="s">
        <v>958</v>
      </c>
      <c r="C30" s="68">
        <v>7</v>
      </c>
      <c r="D30" s="68">
        <v>6</v>
      </c>
      <c r="E30" s="68">
        <v>5</v>
      </c>
      <c r="F30" s="68"/>
      <c r="G30" s="68"/>
      <c r="H30" s="68"/>
      <c r="I30" s="68"/>
      <c r="J30" s="112" t="s">
        <v>480</v>
      </c>
      <c r="K30" s="69">
        <v>2</v>
      </c>
      <c r="L30" s="70">
        <f>109+181</f>
        <v>290</v>
      </c>
      <c r="M30" s="70">
        <f t="shared" si="0"/>
        <v>1450</v>
      </c>
      <c r="N30" s="70">
        <f t="shared" si="1"/>
        <v>10150</v>
      </c>
      <c r="O30" s="60"/>
      <c r="P30" s="61"/>
      <c r="Q30" s="60"/>
      <c r="T30" s="5" t="s">
        <v>551</v>
      </c>
    </row>
    <row r="31" spans="2:20" ht="21" customHeight="1">
      <c r="B31" s="77" t="s">
        <v>958</v>
      </c>
      <c r="C31" s="68"/>
      <c r="D31" s="68"/>
      <c r="E31" s="68"/>
      <c r="F31" s="68"/>
      <c r="G31" s="68"/>
      <c r="H31" s="68"/>
      <c r="I31" s="68"/>
      <c r="J31" s="112" t="s">
        <v>480</v>
      </c>
      <c r="K31" s="69"/>
      <c r="L31" s="70"/>
      <c r="M31" s="70"/>
      <c r="N31" s="70"/>
      <c r="O31" s="60"/>
      <c r="P31" s="61"/>
      <c r="Q31" s="60"/>
      <c r="T31" s="5" t="s">
        <v>335</v>
      </c>
    </row>
    <row r="32" spans="1:20" ht="21" customHeight="1">
      <c r="A32" s="57">
        <f>A30+1</f>
        <v>15</v>
      </c>
      <c r="B32" s="67" t="s">
        <v>895</v>
      </c>
      <c r="C32" s="68">
        <v>7</v>
      </c>
      <c r="D32" s="68">
        <v>6</v>
      </c>
      <c r="E32" s="68">
        <v>5</v>
      </c>
      <c r="F32" s="68"/>
      <c r="G32" s="68"/>
      <c r="H32" s="68"/>
      <c r="I32" s="68"/>
      <c r="J32" s="112" t="s">
        <v>200</v>
      </c>
      <c r="K32" s="69">
        <v>2</v>
      </c>
      <c r="L32" s="70">
        <f>130+110</f>
        <v>240</v>
      </c>
      <c r="M32" s="70">
        <f t="shared" si="0"/>
        <v>1200</v>
      </c>
      <c r="N32" s="70">
        <f t="shared" si="1"/>
        <v>8400</v>
      </c>
      <c r="O32" s="60"/>
      <c r="P32" s="61"/>
      <c r="Q32" s="60"/>
      <c r="T32" s="5" t="s">
        <v>483</v>
      </c>
    </row>
    <row r="33" spans="2:20" ht="21" customHeight="1">
      <c r="B33" s="67" t="s">
        <v>895</v>
      </c>
      <c r="C33" s="68"/>
      <c r="D33" s="68"/>
      <c r="E33" s="68"/>
      <c r="F33" s="68"/>
      <c r="G33" s="68"/>
      <c r="H33" s="68"/>
      <c r="I33" s="68"/>
      <c r="J33" s="112" t="s">
        <v>200</v>
      </c>
      <c r="K33" s="69"/>
      <c r="L33" s="70"/>
      <c r="M33" s="70"/>
      <c r="N33" s="70"/>
      <c r="O33" s="60"/>
      <c r="P33" s="61"/>
      <c r="Q33" s="60"/>
      <c r="T33" s="5" t="s">
        <v>320</v>
      </c>
    </row>
    <row r="34" spans="1:20" ht="21" customHeight="1">
      <c r="A34" s="57">
        <f>A32+1</f>
        <v>16</v>
      </c>
      <c r="B34" s="77" t="s">
        <v>779</v>
      </c>
      <c r="C34" s="68">
        <v>9</v>
      </c>
      <c r="D34" s="68">
        <v>7</v>
      </c>
      <c r="E34" s="68">
        <v>6</v>
      </c>
      <c r="F34" s="68"/>
      <c r="G34" s="68"/>
      <c r="H34" s="68"/>
      <c r="I34" s="68"/>
      <c r="J34" s="112" t="s">
        <v>201</v>
      </c>
      <c r="K34" s="69">
        <v>2</v>
      </c>
      <c r="L34" s="70">
        <f>130+94</f>
        <v>224</v>
      </c>
      <c r="M34" s="70">
        <f t="shared" si="0"/>
        <v>1120</v>
      </c>
      <c r="N34" s="70">
        <f t="shared" si="1"/>
        <v>7840</v>
      </c>
      <c r="O34" s="60"/>
      <c r="P34" s="61"/>
      <c r="Q34" s="60"/>
      <c r="T34" s="5" t="s">
        <v>341</v>
      </c>
    </row>
    <row r="35" spans="2:20" ht="21" customHeight="1">
      <c r="B35" s="77" t="s">
        <v>779</v>
      </c>
      <c r="C35" s="68"/>
      <c r="D35" s="68"/>
      <c r="E35" s="68"/>
      <c r="F35" s="68"/>
      <c r="G35" s="68"/>
      <c r="H35" s="68"/>
      <c r="I35" s="68"/>
      <c r="J35" s="112" t="s">
        <v>201</v>
      </c>
      <c r="K35" s="69"/>
      <c r="L35" s="70"/>
      <c r="M35" s="70"/>
      <c r="N35" s="70"/>
      <c r="O35" s="60"/>
      <c r="P35" s="61"/>
      <c r="Q35" s="60"/>
      <c r="T35" s="5" t="s">
        <v>944</v>
      </c>
    </row>
    <row r="36" spans="1:20" ht="21" customHeight="1">
      <c r="A36" s="57">
        <f>A34+1</f>
        <v>17</v>
      </c>
      <c r="B36" s="77" t="s">
        <v>780</v>
      </c>
      <c r="C36" s="68">
        <v>9</v>
      </c>
      <c r="D36" s="68">
        <v>7</v>
      </c>
      <c r="E36" s="68">
        <v>6</v>
      </c>
      <c r="F36" s="68"/>
      <c r="G36" s="68"/>
      <c r="H36" s="68"/>
      <c r="I36" s="68"/>
      <c r="J36" s="112" t="s">
        <v>202</v>
      </c>
      <c r="K36" s="69">
        <v>2</v>
      </c>
      <c r="L36" s="70">
        <f>89+108</f>
        <v>197</v>
      </c>
      <c r="M36" s="70">
        <f t="shared" si="0"/>
        <v>985</v>
      </c>
      <c r="N36" s="70">
        <f t="shared" si="1"/>
        <v>6895</v>
      </c>
      <c r="O36" s="60"/>
      <c r="P36" s="61"/>
      <c r="Q36" s="60"/>
      <c r="T36" s="5" t="s">
        <v>483</v>
      </c>
    </row>
    <row r="37" spans="2:20" ht="21" customHeight="1">
      <c r="B37" s="77" t="s">
        <v>780</v>
      </c>
      <c r="C37" s="68"/>
      <c r="D37" s="68"/>
      <c r="E37" s="68"/>
      <c r="F37" s="68"/>
      <c r="G37" s="68"/>
      <c r="H37" s="68"/>
      <c r="I37" s="68"/>
      <c r="J37" s="112" t="s">
        <v>202</v>
      </c>
      <c r="K37" s="69"/>
      <c r="L37" s="70"/>
      <c r="M37" s="70"/>
      <c r="N37" s="70"/>
      <c r="O37" s="60"/>
      <c r="P37" s="61"/>
      <c r="Q37" s="60"/>
      <c r="T37" s="5" t="s">
        <v>551</v>
      </c>
    </row>
    <row r="38" spans="1:20" ht="21" customHeight="1">
      <c r="A38" s="57">
        <f>A36+1</f>
        <v>18</v>
      </c>
      <c r="B38" s="77" t="s">
        <v>896</v>
      </c>
      <c r="C38" s="68">
        <v>7</v>
      </c>
      <c r="D38" s="68">
        <v>6</v>
      </c>
      <c r="E38" s="68">
        <v>5</v>
      </c>
      <c r="F38" s="68"/>
      <c r="G38" s="68"/>
      <c r="H38" s="68"/>
      <c r="I38" s="68"/>
      <c r="J38" s="69" t="s">
        <v>1060</v>
      </c>
      <c r="K38" s="69">
        <v>2</v>
      </c>
      <c r="L38" s="70">
        <f>135+65</f>
        <v>200</v>
      </c>
      <c r="M38" s="70">
        <f t="shared" si="0"/>
        <v>1000</v>
      </c>
      <c r="N38" s="70">
        <f t="shared" si="1"/>
        <v>7000</v>
      </c>
      <c r="O38" s="60"/>
      <c r="P38" s="61"/>
      <c r="Q38" s="60"/>
      <c r="T38" s="5" t="s">
        <v>335</v>
      </c>
    </row>
    <row r="39" spans="2:20" ht="21" customHeight="1">
      <c r="B39" s="77" t="s">
        <v>896</v>
      </c>
      <c r="C39" s="68"/>
      <c r="D39" s="68"/>
      <c r="E39" s="68"/>
      <c r="F39" s="68"/>
      <c r="G39" s="68"/>
      <c r="H39" s="68"/>
      <c r="I39" s="68"/>
      <c r="J39" s="69" t="s">
        <v>1060</v>
      </c>
      <c r="K39" s="69"/>
      <c r="L39" s="70"/>
      <c r="M39" s="70"/>
      <c r="N39" s="70"/>
      <c r="O39" s="60"/>
      <c r="P39" s="61"/>
      <c r="Q39" s="60"/>
      <c r="T39" s="5" t="s">
        <v>1061</v>
      </c>
    </row>
    <row r="40" spans="1:20" ht="21" customHeight="1">
      <c r="A40" s="57">
        <f>A38+1</f>
        <v>19</v>
      </c>
      <c r="B40" s="67" t="s">
        <v>1127</v>
      </c>
      <c r="C40" s="68">
        <v>13.5</v>
      </c>
      <c r="D40" s="68">
        <v>12</v>
      </c>
      <c r="E40" s="68">
        <v>13</v>
      </c>
      <c r="F40" s="68">
        <v>11</v>
      </c>
      <c r="G40" s="68">
        <v>9</v>
      </c>
      <c r="H40" s="68">
        <v>6</v>
      </c>
      <c r="I40" s="68"/>
      <c r="J40" s="69" t="s">
        <v>603</v>
      </c>
      <c r="K40" s="69">
        <v>2</v>
      </c>
      <c r="L40" s="70">
        <f>322+171</f>
        <v>493</v>
      </c>
      <c r="M40" s="70">
        <f t="shared" si="0"/>
        <v>2465</v>
      </c>
      <c r="N40" s="70">
        <f t="shared" si="1"/>
        <v>17255</v>
      </c>
      <c r="O40" s="60"/>
      <c r="P40" s="61"/>
      <c r="Q40" s="60"/>
      <c r="T40" s="5" t="s">
        <v>172</v>
      </c>
    </row>
    <row r="41" spans="2:20" ht="21" customHeight="1">
      <c r="B41" s="67" t="s">
        <v>1127</v>
      </c>
      <c r="C41" s="68">
        <v>13.5</v>
      </c>
      <c r="D41" s="68">
        <v>12</v>
      </c>
      <c r="E41" s="68">
        <v>13</v>
      </c>
      <c r="F41" s="68">
        <v>11</v>
      </c>
      <c r="G41" s="68">
        <v>9</v>
      </c>
      <c r="H41" s="68">
        <v>6</v>
      </c>
      <c r="I41" s="68"/>
      <c r="J41" s="69" t="s">
        <v>603</v>
      </c>
      <c r="K41" s="69"/>
      <c r="L41" s="70"/>
      <c r="M41" s="70"/>
      <c r="N41" s="70"/>
      <c r="O41" s="60"/>
      <c r="P41" s="61"/>
      <c r="Q41" s="60"/>
      <c r="T41" s="5" t="s">
        <v>149</v>
      </c>
    </row>
    <row r="42" spans="1:20" ht="21" customHeight="1">
      <c r="A42" s="57">
        <f>A40+1</f>
        <v>20</v>
      </c>
      <c r="B42" s="67" t="s">
        <v>1127</v>
      </c>
      <c r="C42" s="68">
        <v>13.5</v>
      </c>
      <c r="D42" s="68">
        <v>12</v>
      </c>
      <c r="E42" s="68">
        <v>13</v>
      </c>
      <c r="F42" s="68">
        <v>11</v>
      </c>
      <c r="G42" s="68">
        <v>9</v>
      </c>
      <c r="H42" s="68">
        <v>6</v>
      </c>
      <c r="I42" s="68"/>
      <c r="J42" s="69" t="s">
        <v>603</v>
      </c>
      <c r="K42" s="69">
        <v>2</v>
      </c>
      <c r="L42" s="70">
        <v>300</v>
      </c>
      <c r="M42" s="70">
        <f t="shared" si="0"/>
        <v>1500</v>
      </c>
      <c r="N42" s="70">
        <f t="shared" si="1"/>
        <v>10500</v>
      </c>
      <c r="O42" s="60"/>
      <c r="P42" s="61"/>
      <c r="Q42" s="60"/>
      <c r="T42" s="5" t="s">
        <v>173</v>
      </c>
    </row>
    <row r="43" spans="2:20" ht="21" customHeight="1">
      <c r="B43" s="67" t="s">
        <v>1127</v>
      </c>
      <c r="C43" s="68">
        <v>13.5</v>
      </c>
      <c r="D43" s="68">
        <v>12</v>
      </c>
      <c r="E43" s="68">
        <v>13</v>
      </c>
      <c r="F43" s="68">
        <v>11</v>
      </c>
      <c r="G43" s="68">
        <v>9</v>
      </c>
      <c r="H43" s="68">
        <v>6</v>
      </c>
      <c r="I43" s="68"/>
      <c r="J43" s="69" t="s">
        <v>603</v>
      </c>
      <c r="K43" s="69"/>
      <c r="L43" s="70"/>
      <c r="M43" s="70"/>
      <c r="N43" s="70"/>
      <c r="O43" s="60"/>
      <c r="P43" s="61"/>
      <c r="Q43" s="60"/>
      <c r="T43" s="5" t="s">
        <v>175</v>
      </c>
    </row>
    <row r="44" spans="1:20" ht="21" customHeight="1">
      <c r="A44" s="57">
        <f>A42+1</f>
        <v>21</v>
      </c>
      <c r="B44" s="67" t="s">
        <v>1127</v>
      </c>
      <c r="C44" s="68">
        <v>13.5</v>
      </c>
      <c r="D44" s="68">
        <v>12</v>
      </c>
      <c r="E44" s="68">
        <v>13</v>
      </c>
      <c r="F44" s="68">
        <v>11</v>
      </c>
      <c r="G44" s="68">
        <v>9</v>
      </c>
      <c r="H44" s="68">
        <v>6</v>
      </c>
      <c r="I44" s="68"/>
      <c r="J44" s="69" t="s">
        <v>603</v>
      </c>
      <c r="K44" s="69">
        <v>2</v>
      </c>
      <c r="L44" s="70">
        <v>200</v>
      </c>
      <c r="M44" s="70">
        <f t="shared" si="0"/>
        <v>1000</v>
      </c>
      <c r="N44" s="70">
        <f t="shared" si="1"/>
        <v>7000</v>
      </c>
      <c r="O44" s="60"/>
      <c r="P44" s="61"/>
      <c r="Q44" s="60"/>
      <c r="T44" s="5" t="s">
        <v>174</v>
      </c>
    </row>
    <row r="45" spans="1:20" ht="21" customHeight="1">
      <c r="A45" s="57">
        <f>A44+1</f>
        <v>22</v>
      </c>
      <c r="B45" s="67" t="s">
        <v>1128</v>
      </c>
      <c r="C45" s="68">
        <v>12</v>
      </c>
      <c r="D45" s="68">
        <v>11</v>
      </c>
      <c r="E45" s="68">
        <v>10</v>
      </c>
      <c r="F45" s="68">
        <v>9</v>
      </c>
      <c r="G45" s="68">
        <v>7</v>
      </c>
      <c r="H45" s="68">
        <v>6</v>
      </c>
      <c r="I45" s="68">
        <v>5</v>
      </c>
      <c r="J45" s="69" t="s">
        <v>605</v>
      </c>
      <c r="K45" s="69">
        <v>2</v>
      </c>
      <c r="L45" s="70">
        <f>188+188</f>
        <v>376</v>
      </c>
      <c r="M45" s="70">
        <f t="shared" si="0"/>
        <v>1880</v>
      </c>
      <c r="N45" s="70">
        <f t="shared" si="1"/>
        <v>13160</v>
      </c>
      <c r="O45" s="60"/>
      <c r="P45" s="61"/>
      <c r="Q45" s="60"/>
      <c r="T45" s="5" t="s">
        <v>178</v>
      </c>
    </row>
    <row r="46" spans="2:20" ht="21" customHeight="1">
      <c r="B46" s="67" t="s">
        <v>1128</v>
      </c>
      <c r="C46" s="68">
        <v>12</v>
      </c>
      <c r="D46" s="68">
        <v>11</v>
      </c>
      <c r="E46" s="68">
        <v>10</v>
      </c>
      <c r="F46" s="68">
        <v>9</v>
      </c>
      <c r="G46" s="68">
        <v>7</v>
      </c>
      <c r="H46" s="68">
        <v>6</v>
      </c>
      <c r="I46" s="68">
        <v>5</v>
      </c>
      <c r="J46" s="69" t="s">
        <v>605</v>
      </c>
      <c r="K46" s="69"/>
      <c r="L46" s="70"/>
      <c r="M46" s="70"/>
      <c r="N46" s="70"/>
      <c r="O46" s="60"/>
      <c r="P46" s="61"/>
      <c r="Q46" s="60"/>
      <c r="T46" s="5" t="s">
        <v>179</v>
      </c>
    </row>
    <row r="47" spans="1:20" ht="21" customHeight="1">
      <c r="A47" s="57">
        <f>A45+1</f>
        <v>23</v>
      </c>
      <c r="B47" s="67" t="s">
        <v>1128</v>
      </c>
      <c r="C47" s="68">
        <v>12</v>
      </c>
      <c r="D47" s="68">
        <v>11</v>
      </c>
      <c r="E47" s="68">
        <v>10</v>
      </c>
      <c r="F47" s="68">
        <v>9</v>
      </c>
      <c r="G47" s="68">
        <v>7</v>
      </c>
      <c r="H47" s="68">
        <v>6</v>
      </c>
      <c r="I47" s="68">
        <v>5</v>
      </c>
      <c r="J47" s="69" t="s">
        <v>605</v>
      </c>
      <c r="K47" s="69">
        <v>2</v>
      </c>
      <c r="L47" s="70">
        <v>200</v>
      </c>
      <c r="M47" s="70">
        <f t="shared" si="0"/>
        <v>1000</v>
      </c>
      <c r="N47" s="70">
        <f t="shared" si="1"/>
        <v>7000</v>
      </c>
      <c r="O47" s="60"/>
      <c r="P47" s="61"/>
      <c r="Q47" s="60"/>
      <c r="T47" s="5" t="s">
        <v>1085</v>
      </c>
    </row>
    <row r="48" spans="2:20" ht="21" customHeight="1">
      <c r="B48" s="67" t="s">
        <v>1128</v>
      </c>
      <c r="C48" s="68">
        <v>12</v>
      </c>
      <c r="D48" s="68">
        <v>11</v>
      </c>
      <c r="E48" s="68">
        <v>10</v>
      </c>
      <c r="F48" s="68">
        <v>9</v>
      </c>
      <c r="G48" s="68">
        <v>7</v>
      </c>
      <c r="H48" s="68">
        <v>6</v>
      </c>
      <c r="I48" s="68">
        <v>5</v>
      </c>
      <c r="J48" s="69" t="s">
        <v>605</v>
      </c>
      <c r="K48" s="69"/>
      <c r="L48" s="70"/>
      <c r="M48" s="70"/>
      <c r="N48" s="70"/>
      <c r="O48" s="60"/>
      <c r="P48" s="61"/>
      <c r="Q48" s="60"/>
      <c r="T48" s="5" t="s">
        <v>111</v>
      </c>
    </row>
    <row r="49" spans="1:20" ht="21" customHeight="1">
      <c r="A49" s="57">
        <f>A47+1</f>
        <v>24</v>
      </c>
      <c r="B49" s="67" t="s">
        <v>1128</v>
      </c>
      <c r="C49" s="68">
        <v>12</v>
      </c>
      <c r="D49" s="68">
        <v>11</v>
      </c>
      <c r="E49" s="68">
        <v>10</v>
      </c>
      <c r="F49" s="68">
        <v>9</v>
      </c>
      <c r="G49" s="68">
        <v>7</v>
      </c>
      <c r="H49" s="68">
        <v>6</v>
      </c>
      <c r="I49" s="68">
        <v>5</v>
      </c>
      <c r="J49" s="69" t="s">
        <v>605</v>
      </c>
      <c r="K49" s="69">
        <v>2</v>
      </c>
      <c r="L49" s="70">
        <v>300</v>
      </c>
      <c r="M49" s="70">
        <f t="shared" si="0"/>
        <v>1500</v>
      </c>
      <c r="N49" s="70">
        <f t="shared" si="1"/>
        <v>10500</v>
      </c>
      <c r="O49" s="60"/>
      <c r="P49" s="61"/>
      <c r="Q49" s="60"/>
      <c r="T49" s="5" t="s">
        <v>180</v>
      </c>
    </row>
    <row r="50" spans="1:20" ht="21" customHeight="1">
      <c r="A50" s="57">
        <f>A49+1</f>
        <v>25</v>
      </c>
      <c r="B50" s="67" t="s">
        <v>523</v>
      </c>
      <c r="C50" s="68" t="s">
        <v>781</v>
      </c>
      <c r="D50" s="68" t="s">
        <v>782</v>
      </c>
      <c r="E50" s="68">
        <v>12</v>
      </c>
      <c r="F50" s="68">
        <v>10.5</v>
      </c>
      <c r="G50" s="68">
        <v>9.5</v>
      </c>
      <c r="H50" s="68">
        <v>9</v>
      </c>
      <c r="I50" s="68">
        <v>7</v>
      </c>
      <c r="J50" s="112" t="s">
        <v>607</v>
      </c>
      <c r="K50" s="69">
        <v>3</v>
      </c>
      <c r="L50" s="70">
        <f>181+300+346</f>
        <v>827</v>
      </c>
      <c r="M50" s="70">
        <f t="shared" si="0"/>
        <v>4135</v>
      </c>
      <c r="N50" s="70">
        <f t="shared" si="1"/>
        <v>28945</v>
      </c>
      <c r="O50" s="60"/>
      <c r="P50" s="61"/>
      <c r="Q50" s="60"/>
      <c r="T50" s="5" t="s">
        <v>7</v>
      </c>
    </row>
    <row r="51" spans="2:20" ht="21" customHeight="1">
      <c r="B51" s="67" t="s">
        <v>523</v>
      </c>
      <c r="C51" s="68"/>
      <c r="D51" s="68"/>
      <c r="E51" s="68"/>
      <c r="F51" s="68"/>
      <c r="G51" s="68"/>
      <c r="H51" s="68"/>
      <c r="I51" s="68"/>
      <c r="J51" s="112" t="s">
        <v>607</v>
      </c>
      <c r="K51" s="69"/>
      <c r="L51" s="70"/>
      <c r="M51" s="70"/>
      <c r="N51" s="70"/>
      <c r="O51" s="60"/>
      <c r="P51" s="61"/>
      <c r="Q51" s="60"/>
      <c r="T51" s="5" t="s">
        <v>8</v>
      </c>
    </row>
    <row r="52" spans="2:20" ht="21" customHeight="1">
      <c r="B52" s="67" t="s">
        <v>523</v>
      </c>
      <c r="C52" s="68"/>
      <c r="D52" s="68"/>
      <c r="E52" s="68"/>
      <c r="F52" s="68"/>
      <c r="G52" s="68"/>
      <c r="H52" s="68"/>
      <c r="I52" s="68"/>
      <c r="J52" s="112" t="s">
        <v>607</v>
      </c>
      <c r="K52" s="69"/>
      <c r="L52" s="70"/>
      <c r="M52" s="70"/>
      <c r="N52" s="70"/>
      <c r="O52" s="60"/>
      <c r="P52" s="61"/>
      <c r="Q52" s="60"/>
      <c r="T52" s="5" t="s">
        <v>9</v>
      </c>
    </row>
    <row r="53" spans="1:20" ht="21" customHeight="1">
      <c r="A53" s="57">
        <f>A50+1</f>
        <v>26</v>
      </c>
      <c r="B53" s="67" t="s">
        <v>783</v>
      </c>
      <c r="C53" s="68">
        <v>13</v>
      </c>
      <c r="D53" s="68">
        <v>11</v>
      </c>
      <c r="E53" s="68">
        <v>9</v>
      </c>
      <c r="F53" s="68">
        <v>7</v>
      </c>
      <c r="G53" s="68"/>
      <c r="H53" s="68"/>
      <c r="I53" s="68"/>
      <c r="J53" s="69" t="s">
        <v>570</v>
      </c>
      <c r="K53" s="69">
        <v>2</v>
      </c>
      <c r="L53" s="70">
        <f>375+157</f>
        <v>532</v>
      </c>
      <c r="M53" s="70">
        <f t="shared" si="0"/>
        <v>2660</v>
      </c>
      <c r="N53" s="70">
        <f t="shared" si="1"/>
        <v>18620</v>
      </c>
      <c r="O53" s="60"/>
      <c r="P53" s="61"/>
      <c r="Q53" s="60"/>
      <c r="T53" s="5" t="s">
        <v>1096</v>
      </c>
    </row>
    <row r="54" spans="1:20" ht="21" customHeight="1">
      <c r="A54" s="57">
        <f>A53+1</f>
        <v>27</v>
      </c>
      <c r="B54" s="67" t="s">
        <v>783</v>
      </c>
      <c r="C54" s="68">
        <v>13</v>
      </c>
      <c r="D54" s="68">
        <v>11</v>
      </c>
      <c r="E54" s="68">
        <v>9</v>
      </c>
      <c r="F54" s="68">
        <v>7</v>
      </c>
      <c r="G54" s="68"/>
      <c r="H54" s="68"/>
      <c r="I54" s="68"/>
      <c r="J54" s="69" t="s">
        <v>570</v>
      </c>
      <c r="K54" s="69">
        <v>2</v>
      </c>
      <c r="L54" s="69">
        <v>250</v>
      </c>
      <c r="M54" s="70">
        <f t="shared" si="0"/>
        <v>1250</v>
      </c>
      <c r="N54" s="70">
        <f t="shared" si="1"/>
        <v>8750</v>
      </c>
      <c r="O54" s="60"/>
      <c r="P54" s="61"/>
      <c r="Q54" s="60"/>
      <c r="T54" s="5" t="s">
        <v>702</v>
      </c>
    </row>
    <row r="55" spans="2:20" ht="21" customHeight="1">
      <c r="B55" s="67" t="s">
        <v>783</v>
      </c>
      <c r="C55" s="68"/>
      <c r="D55" s="68"/>
      <c r="E55" s="68"/>
      <c r="F55" s="68"/>
      <c r="G55" s="68"/>
      <c r="H55" s="68"/>
      <c r="I55" s="68"/>
      <c r="J55" s="69" t="s">
        <v>570</v>
      </c>
      <c r="K55" s="69"/>
      <c r="L55" s="69"/>
      <c r="M55" s="70"/>
      <c r="N55" s="70"/>
      <c r="O55" s="60"/>
      <c r="P55" s="61"/>
      <c r="Q55" s="60"/>
      <c r="T55" s="5" t="s">
        <v>1076</v>
      </c>
    </row>
    <row r="56" spans="1:20" ht="21" customHeight="1">
      <c r="A56" s="57">
        <f>A54+1</f>
        <v>28</v>
      </c>
      <c r="B56" s="67" t="s">
        <v>784</v>
      </c>
      <c r="C56" s="68">
        <v>12</v>
      </c>
      <c r="D56" s="68">
        <v>10</v>
      </c>
      <c r="E56" s="68"/>
      <c r="F56" s="68"/>
      <c r="G56" s="68"/>
      <c r="H56" s="68"/>
      <c r="I56" s="68"/>
      <c r="J56" s="69" t="s">
        <v>606</v>
      </c>
      <c r="K56" s="69">
        <v>2</v>
      </c>
      <c r="L56" s="70">
        <f>191+143</f>
        <v>334</v>
      </c>
      <c r="M56" s="70">
        <f t="shared" si="0"/>
        <v>1670</v>
      </c>
      <c r="N56" s="70">
        <f t="shared" si="1"/>
        <v>11690</v>
      </c>
      <c r="O56" s="60"/>
      <c r="P56" s="61"/>
      <c r="Q56" s="60"/>
      <c r="T56" s="5" t="s">
        <v>598</v>
      </c>
    </row>
    <row r="57" spans="2:20" ht="21" customHeight="1">
      <c r="B57" s="67" t="s">
        <v>784</v>
      </c>
      <c r="C57" s="68"/>
      <c r="D57" s="68"/>
      <c r="E57" s="68"/>
      <c r="F57" s="68"/>
      <c r="G57" s="68"/>
      <c r="H57" s="68"/>
      <c r="I57" s="68"/>
      <c r="J57" s="69" t="s">
        <v>606</v>
      </c>
      <c r="K57" s="69"/>
      <c r="L57" s="70"/>
      <c r="M57" s="70"/>
      <c r="N57" s="70"/>
      <c r="O57" s="60"/>
      <c r="P57" s="61"/>
      <c r="Q57" s="60"/>
      <c r="T57" s="5" t="s">
        <v>942</v>
      </c>
    </row>
    <row r="58" spans="1:20" ht="21" customHeight="1">
      <c r="A58" s="57">
        <f>A56+1</f>
        <v>29</v>
      </c>
      <c r="B58" s="67" t="s">
        <v>555</v>
      </c>
      <c r="C58" s="68">
        <v>12</v>
      </c>
      <c r="D58" s="68">
        <v>10</v>
      </c>
      <c r="E58" s="68">
        <v>9</v>
      </c>
      <c r="F58" s="68">
        <v>8.5</v>
      </c>
      <c r="G58" s="68">
        <v>6</v>
      </c>
      <c r="H58" s="68"/>
      <c r="I58" s="68"/>
      <c r="J58" s="69" t="s">
        <v>559</v>
      </c>
      <c r="K58" s="69">
        <v>2</v>
      </c>
      <c r="L58" s="70">
        <f>111+76</f>
        <v>187</v>
      </c>
      <c r="M58" s="70">
        <f t="shared" si="0"/>
        <v>935</v>
      </c>
      <c r="N58" s="70">
        <f t="shared" si="1"/>
        <v>6545</v>
      </c>
      <c r="T58" s="5" t="s">
        <v>1124</v>
      </c>
    </row>
    <row r="59" spans="2:20" ht="21" customHeight="1">
      <c r="B59" s="67" t="s">
        <v>555</v>
      </c>
      <c r="C59" s="68"/>
      <c r="D59" s="68"/>
      <c r="E59" s="68"/>
      <c r="F59" s="68"/>
      <c r="G59" s="68"/>
      <c r="H59" s="68"/>
      <c r="I59" s="68"/>
      <c r="J59" s="69" t="s">
        <v>559</v>
      </c>
      <c r="K59" s="69"/>
      <c r="L59" s="70"/>
      <c r="M59" s="70"/>
      <c r="N59" s="70"/>
      <c r="T59" s="5" t="s">
        <v>1125</v>
      </c>
    </row>
    <row r="60" spans="1:20" ht="21" customHeight="1">
      <c r="A60" s="57">
        <f>A58+1</f>
        <v>30</v>
      </c>
      <c r="B60" s="67" t="s">
        <v>785</v>
      </c>
      <c r="C60" s="68">
        <v>13</v>
      </c>
      <c r="D60" s="68">
        <v>11.5</v>
      </c>
      <c r="E60" s="68">
        <v>12</v>
      </c>
      <c r="F60" s="68">
        <v>10.5</v>
      </c>
      <c r="G60" s="68">
        <v>10</v>
      </c>
      <c r="H60" s="68">
        <v>7</v>
      </c>
      <c r="I60" s="68"/>
      <c r="J60" s="112" t="s">
        <v>203</v>
      </c>
      <c r="K60" s="69">
        <v>2</v>
      </c>
      <c r="L60" s="70">
        <f>324+152+152</f>
        <v>628</v>
      </c>
      <c r="M60" s="70">
        <f t="shared" si="0"/>
        <v>3140</v>
      </c>
      <c r="N60" s="70">
        <f t="shared" si="1"/>
        <v>21980</v>
      </c>
      <c r="O60" s="60"/>
      <c r="P60" s="61"/>
      <c r="Q60" s="60"/>
      <c r="T60" s="5" t="s">
        <v>696</v>
      </c>
    </row>
    <row r="61" spans="2:20" ht="21" customHeight="1">
      <c r="B61" s="67" t="s">
        <v>785</v>
      </c>
      <c r="C61" s="68"/>
      <c r="D61" s="68"/>
      <c r="E61" s="68"/>
      <c r="F61" s="68"/>
      <c r="G61" s="68"/>
      <c r="H61" s="68"/>
      <c r="I61" s="68"/>
      <c r="J61" s="112" t="s">
        <v>203</v>
      </c>
      <c r="K61" s="69"/>
      <c r="L61" s="70"/>
      <c r="M61" s="70"/>
      <c r="N61" s="70"/>
      <c r="O61" s="60"/>
      <c r="P61" s="61"/>
      <c r="Q61" s="60"/>
      <c r="T61" s="5" t="s">
        <v>6</v>
      </c>
    </row>
    <row r="62" spans="2:20" ht="21" customHeight="1">
      <c r="B62" s="67" t="s">
        <v>785</v>
      </c>
      <c r="C62" s="68"/>
      <c r="D62" s="68"/>
      <c r="E62" s="68"/>
      <c r="F62" s="68"/>
      <c r="G62" s="68"/>
      <c r="H62" s="68"/>
      <c r="I62" s="68"/>
      <c r="J62" s="112" t="s">
        <v>203</v>
      </c>
      <c r="K62" s="69"/>
      <c r="L62" s="70"/>
      <c r="M62" s="70"/>
      <c r="N62" s="70"/>
      <c r="O62" s="60"/>
      <c r="P62" s="61"/>
      <c r="Q62" s="60"/>
      <c r="T62" s="5" t="s">
        <v>6</v>
      </c>
    </row>
    <row r="63" spans="1:20" ht="21" customHeight="1">
      <c r="A63" s="57">
        <f>A60+1</f>
        <v>31</v>
      </c>
      <c r="B63" s="67" t="s">
        <v>1126</v>
      </c>
      <c r="C63" s="68">
        <v>12</v>
      </c>
      <c r="D63" s="68">
        <v>10</v>
      </c>
      <c r="E63" s="68">
        <v>8</v>
      </c>
      <c r="F63" s="68">
        <v>7</v>
      </c>
      <c r="G63" s="68">
        <v>6</v>
      </c>
      <c r="H63" s="68"/>
      <c r="I63" s="68"/>
      <c r="J63" s="69" t="s">
        <v>604</v>
      </c>
      <c r="K63" s="69">
        <v>2</v>
      </c>
      <c r="L63" s="70">
        <f>295+142</f>
        <v>437</v>
      </c>
      <c r="M63" s="70">
        <f t="shared" si="0"/>
        <v>2185</v>
      </c>
      <c r="N63" s="70">
        <f t="shared" si="1"/>
        <v>15295</v>
      </c>
      <c r="O63" s="60"/>
      <c r="P63" s="61"/>
      <c r="Q63" s="60"/>
      <c r="T63" s="5" t="s">
        <v>147</v>
      </c>
    </row>
    <row r="64" spans="2:20" ht="21" customHeight="1">
      <c r="B64" s="67" t="s">
        <v>1126</v>
      </c>
      <c r="C64" s="68">
        <v>12</v>
      </c>
      <c r="D64" s="68">
        <v>10</v>
      </c>
      <c r="E64" s="68">
        <v>8</v>
      </c>
      <c r="F64" s="68">
        <v>7</v>
      </c>
      <c r="G64" s="68">
        <v>6</v>
      </c>
      <c r="H64" s="68"/>
      <c r="I64" s="68"/>
      <c r="J64" s="69" t="s">
        <v>604</v>
      </c>
      <c r="K64" s="69"/>
      <c r="L64" s="70"/>
      <c r="M64" s="70"/>
      <c r="N64" s="70"/>
      <c r="O64" s="60"/>
      <c r="P64" s="61"/>
      <c r="Q64" s="60"/>
      <c r="T64" s="5" t="s">
        <v>176</v>
      </c>
    </row>
    <row r="65" spans="1:20" ht="21" customHeight="1">
      <c r="A65" s="57">
        <f>A63+1</f>
        <v>32</v>
      </c>
      <c r="B65" s="67" t="s">
        <v>1126</v>
      </c>
      <c r="C65" s="68">
        <v>12</v>
      </c>
      <c r="D65" s="68">
        <v>10</v>
      </c>
      <c r="E65" s="68">
        <v>8</v>
      </c>
      <c r="F65" s="68">
        <v>7</v>
      </c>
      <c r="G65" s="68">
        <v>6</v>
      </c>
      <c r="H65" s="68"/>
      <c r="I65" s="68"/>
      <c r="J65" s="69" t="s">
        <v>604</v>
      </c>
      <c r="K65" s="69">
        <v>2</v>
      </c>
      <c r="L65" s="70">
        <v>200</v>
      </c>
      <c r="M65" s="70">
        <f t="shared" si="0"/>
        <v>1000</v>
      </c>
      <c r="N65" s="70">
        <f t="shared" si="1"/>
        <v>7000</v>
      </c>
      <c r="O65" s="60"/>
      <c r="P65" s="61"/>
      <c r="Q65" s="60"/>
      <c r="T65" s="5" t="s">
        <v>177</v>
      </c>
    </row>
    <row r="66" spans="1:20" ht="21" customHeight="1">
      <c r="A66" s="57">
        <f>A65+1</f>
        <v>33</v>
      </c>
      <c r="B66" s="67" t="s">
        <v>897</v>
      </c>
      <c r="C66" s="68">
        <v>9</v>
      </c>
      <c r="D66" s="68">
        <v>8</v>
      </c>
      <c r="E66" s="68">
        <v>7</v>
      </c>
      <c r="F66" s="68">
        <v>5</v>
      </c>
      <c r="G66" s="68"/>
      <c r="H66" s="68"/>
      <c r="I66" s="68"/>
      <c r="J66" s="69" t="s">
        <v>1094</v>
      </c>
      <c r="K66" s="69">
        <v>2</v>
      </c>
      <c r="L66" s="70">
        <f>301+181</f>
        <v>482</v>
      </c>
      <c r="M66" s="70">
        <f t="shared" si="0"/>
        <v>2410</v>
      </c>
      <c r="N66" s="70">
        <f t="shared" si="1"/>
        <v>16870</v>
      </c>
      <c r="T66" s="5" t="s">
        <v>561</v>
      </c>
    </row>
    <row r="67" spans="2:20" ht="21" customHeight="1">
      <c r="B67" s="67" t="s">
        <v>897</v>
      </c>
      <c r="C67" s="68"/>
      <c r="D67" s="68"/>
      <c r="E67" s="68"/>
      <c r="F67" s="68"/>
      <c r="G67" s="68"/>
      <c r="H67" s="68"/>
      <c r="I67" s="68"/>
      <c r="J67" s="69" t="s">
        <v>1094</v>
      </c>
      <c r="K67" s="69"/>
      <c r="L67" s="70"/>
      <c r="M67" s="70"/>
      <c r="N67" s="70"/>
      <c r="T67" s="5" t="s">
        <v>301</v>
      </c>
    </row>
    <row r="68" spans="1:20" ht="21" customHeight="1">
      <c r="A68" s="57">
        <f>A66+1</f>
        <v>34</v>
      </c>
      <c r="B68" s="67" t="s">
        <v>786</v>
      </c>
      <c r="C68" s="68">
        <v>7</v>
      </c>
      <c r="D68" s="68">
        <v>6</v>
      </c>
      <c r="E68" s="68"/>
      <c r="F68" s="68"/>
      <c r="G68" s="68"/>
      <c r="H68" s="68"/>
      <c r="I68" s="68"/>
      <c r="J68" s="112" t="s">
        <v>686</v>
      </c>
      <c r="K68" s="69">
        <v>2</v>
      </c>
      <c r="L68" s="70">
        <f>220+180</f>
        <v>400</v>
      </c>
      <c r="M68" s="70">
        <f t="shared" si="0"/>
        <v>2000</v>
      </c>
      <c r="N68" s="70">
        <f t="shared" si="1"/>
        <v>14000</v>
      </c>
      <c r="O68" s="60"/>
      <c r="P68" s="61"/>
      <c r="Q68" s="60"/>
      <c r="T68" s="5" t="s">
        <v>335</v>
      </c>
    </row>
    <row r="69" spans="2:20" ht="21" customHeight="1">
      <c r="B69" s="67" t="s">
        <v>786</v>
      </c>
      <c r="C69" s="68">
        <v>7</v>
      </c>
      <c r="D69" s="68">
        <v>6</v>
      </c>
      <c r="E69" s="68"/>
      <c r="F69" s="68"/>
      <c r="G69" s="68"/>
      <c r="H69" s="68"/>
      <c r="I69" s="68"/>
      <c r="J69" s="112" t="s">
        <v>686</v>
      </c>
      <c r="K69" s="69"/>
      <c r="L69" s="70"/>
      <c r="M69" s="70"/>
      <c r="N69" s="70"/>
      <c r="O69" s="60"/>
      <c r="P69" s="61"/>
      <c r="Q69" s="60"/>
      <c r="T69" s="5" t="s">
        <v>551</v>
      </c>
    </row>
    <row r="70" spans="1:20" ht="21" customHeight="1">
      <c r="A70" s="57">
        <f>A68+1</f>
        <v>35</v>
      </c>
      <c r="B70" s="77" t="s">
        <v>534</v>
      </c>
      <c r="C70" s="68">
        <v>13</v>
      </c>
      <c r="D70" s="68">
        <v>12</v>
      </c>
      <c r="E70" s="68">
        <v>10.5</v>
      </c>
      <c r="F70" s="68">
        <v>10</v>
      </c>
      <c r="G70" s="68">
        <v>9.5</v>
      </c>
      <c r="H70" s="68"/>
      <c r="I70" s="68"/>
      <c r="J70" s="69" t="s">
        <v>608</v>
      </c>
      <c r="K70" s="69">
        <v>2</v>
      </c>
      <c r="L70" s="70">
        <f>408+92</f>
        <v>500</v>
      </c>
      <c r="M70" s="70">
        <f t="shared" si="0"/>
        <v>2500</v>
      </c>
      <c r="N70" s="70">
        <f t="shared" si="1"/>
        <v>17500</v>
      </c>
      <c r="O70" s="60"/>
      <c r="P70" s="61"/>
      <c r="Q70" s="60"/>
      <c r="T70" s="5" t="s">
        <v>52</v>
      </c>
    </row>
    <row r="71" spans="2:20" ht="21" customHeight="1">
      <c r="B71" s="77" t="s">
        <v>534</v>
      </c>
      <c r="C71" s="68"/>
      <c r="D71" s="68"/>
      <c r="E71" s="68"/>
      <c r="F71" s="68"/>
      <c r="G71" s="68"/>
      <c r="H71" s="68"/>
      <c r="I71" s="68"/>
      <c r="J71" s="69" t="s">
        <v>608</v>
      </c>
      <c r="K71" s="69"/>
      <c r="L71" s="70"/>
      <c r="M71" s="70"/>
      <c r="N71" s="70"/>
      <c r="O71" s="60"/>
      <c r="P71" s="61"/>
      <c r="Q71" s="60"/>
      <c r="T71" s="5" t="s">
        <v>53</v>
      </c>
    </row>
    <row r="72" spans="1:20" ht="21" customHeight="1">
      <c r="A72" s="57">
        <f>A70+1</f>
        <v>36</v>
      </c>
      <c r="B72" s="67" t="s">
        <v>534</v>
      </c>
      <c r="C72" s="68">
        <v>13</v>
      </c>
      <c r="D72" s="68">
        <v>12</v>
      </c>
      <c r="E72" s="68" t="s">
        <v>787</v>
      </c>
      <c r="F72" s="68">
        <v>10</v>
      </c>
      <c r="G72" s="68">
        <v>9.5</v>
      </c>
      <c r="H72" s="68">
        <v>7</v>
      </c>
      <c r="I72" s="68">
        <v>6</v>
      </c>
      <c r="J72" s="69" t="s">
        <v>608</v>
      </c>
      <c r="K72" s="69">
        <v>2</v>
      </c>
      <c r="L72" s="70">
        <f>102+17</f>
        <v>119</v>
      </c>
      <c r="M72" s="70">
        <f t="shared" si="0"/>
        <v>595</v>
      </c>
      <c r="N72" s="70">
        <f t="shared" si="1"/>
        <v>4165</v>
      </c>
      <c r="O72" s="60"/>
      <c r="P72" s="61"/>
      <c r="Q72" s="60"/>
      <c r="T72" s="5" t="s">
        <v>1000</v>
      </c>
    </row>
    <row r="73" spans="2:20" ht="21" customHeight="1">
      <c r="B73" s="67" t="s">
        <v>534</v>
      </c>
      <c r="C73" s="68"/>
      <c r="D73" s="68"/>
      <c r="E73" s="68"/>
      <c r="F73" s="68"/>
      <c r="G73" s="68"/>
      <c r="H73" s="68"/>
      <c r="I73" s="68"/>
      <c r="J73" s="69" t="s">
        <v>608</v>
      </c>
      <c r="K73" s="69"/>
      <c r="L73" s="70"/>
      <c r="M73" s="70"/>
      <c r="N73" s="70"/>
      <c r="O73" s="60"/>
      <c r="P73" s="61"/>
      <c r="Q73" s="60"/>
      <c r="T73" s="5" t="s">
        <v>564</v>
      </c>
    </row>
    <row r="74" spans="1:20" ht="21" customHeight="1">
      <c r="A74" s="57">
        <f>A72+1</f>
        <v>37</v>
      </c>
      <c r="B74" s="77" t="s">
        <v>534</v>
      </c>
      <c r="C74" s="68">
        <v>13</v>
      </c>
      <c r="D74" s="68">
        <v>12</v>
      </c>
      <c r="E74" s="68" t="s">
        <v>787</v>
      </c>
      <c r="F74" s="68">
        <v>10</v>
      </c>
      <c r="G74" s="68">
        <v>9.5</v>
      </c>
      <c r="H74" s="68">
        <v>7</v>
      </c>
      <c r="I74" s="68">
        <v>6</v>
      </c>
      <c r="J74" s="69" t="s">
        <v>608</v>
      </c>
      <c r="K74" s="69">
        <v>2</v>
      </c>
      <c r="L74" s="70">
        <v>171</v>
      </c>
      <c r="M74" s="70">
        <f t="shared" si="0"/>
        <v>855</v>
      </c>
      <c r="N74" s="70">
        <f t="shared" si="1"/>
        <v>5985</v>
      </c>
      <c r="O74" s="60"/>
      <c r="P74" s="61"/>
      <c r="Q74" s="60"/>
      <c r="T74" s="5" t="s">
        <v>564</v>
      </c>
    </row>
    <row r="75" spans="1:20" ht="21" customHeight="1">
      <c r="A75" s="57">
        <f>A74+1</f>
        <v>38</v>
      </c>
      <c r="B75" s="77" t="s">
        <v>788</v>
      </c>
      <c r="C75" s="68">
        <v>9</v>
      </c>
      <c r="D75" s="68">
        <v>8</v>
      </c>
      <c r="E75" s="68">
        <v>7</v>
      </c>
      <c r="F75" s="68">
        <v>5</v>
      </c>
      <c r="G75" s="68"/>
      <c r="H75" s="68"/>
      <c r="I75" s="68"/>
      <c r="J75" s="69" t="s">
        <v>340</v>
      </c>
      <c r="K75" s="69">
        <v>2</v>
      </c>
      <c r="L75" s="70">
        <f>264+264</f>
        <v>528</v>
      </c>
      <c r="M75" s="70">
        <f t="shared" si="0"/>
        <v>2640</v>
      </c>
      <c r="N75" s="70">
        <f t="shared" si="1"/>
        <v>18480</v>
      </c>
      <c r="O75" s="60"/>
      <c r="P75" s="61"/>
      <c r="Q75" s="60"/>
      <c r="T75" s="5" t="s">
        <v>301</v>
      </c>
    </row>
    <row r="76" spans="2:20" ht="21" customHeight="1">
      <c r="B76" s="77" t="s">
        <v>788</v>
      </c>
      <c r="C76" s="68"/>
      <c r="D76" s="68"/>
      <c r="E76" s="68"/>
      <c r="F76" s="68"/>
      <c r="G76" s="68"/>
      <c r="H76" s="68"/>
      <c r="I76" s="68"/>
      <c r="J76" s="69" t="s">
        <v>340</v>
      </c>
      <c r="K76" s="69"/>
      <c r="L76" s="70"/>
      <c r="M76" s="70"/>
      <c r="N76" s="70"/>
      <c r="O76" s="60"/>
      <c r="P76" s="61"/>
      <c r="Q76" s="60"/>
      <c r="T76" s="5" t="s">
        <v>561</v>
      </c>
    </row>
    <row r="77" spans="1:20" ht="21" customHeight="1">
      <c r="A77" s="57">
        <f>A75+1</f>
        <v>39</v>
      </c>
      <c r="B77" s="77" t="s">
        <v>789</v>
      </c>
      <c r="C77" s="68">
        <v>10</v>
      </c>
      <c r="D77" s="68">
        <v>8</v>
      </c>
      <c r="E77" s="68">
        <v>7</v>
      </c>
      <c r="F77" s="68">
        <v>6</v>
      </c>
      <c r="G77" s="68"/>
      <c r="H77" s="68"/>
      <c r="I77" s="68"/>
      <c r="J77" s="112" t="s">
        <v>386</v>
      </c>
      <c r="K77" s="69">
        <v>2</v>
      </c>
      <c r="L77" s="70">
        <f>163+109</f>
        <v>272</v>
      </c>
      <c r="M77" s="70">
        <f t="shared" si="0"/>
        <v>1360</v>
      </c>
      <c r="N77" s="70">
        <f t="shared" si="1"/>
        <v>9520</v>
      </c>
      <c r="O77" s="60"/>
      <c r="P77" s="61"/>
      <c r="Q77" s="60"/>
      <c r="T77" s="5" t="s">
        <v>335</v>
      </c>
    </row>
    <row r="78" spans="2:20" ht="21" customHeight="1">
      <c r="B78" s="77" t="s">
        <v>789</v>
      </c>
      <c r="C78" s="68"/>
      <c r="D78" s="68"/>
      <c r="E78" s="68"/>
      <c r="F78" s="68"/>
      <c r="G78" s="68"/>
      <c r="H78" s="68"/>
      <c r="I78" s="68"/>
      <c r="J78" s="112" t="s">
        <v>386</v>
      </c>
      <c r="K78" s="69"/>
      <c r="L78" s="70"/>
      <c r="M78" s="70"/>
      <c r="N78" s="70"/>
      <c r="O78" s="60"/>
      <c r="P78" s="61"/>
      <c r="Q78" s="60"/>
      <c r="T78" s="5" t="s">
        <v>551</v>
      </c>
    </row>
    <row r="79" spans="1:20" ht="21" customHeight="1">
      <c r="A79" s="57">
        <f>A77+1</f>
        <v>40</v>
      </c>
      <c r="B79" s="67" t="s">
        <v>790</v>
      </c>
      <c r="C79" s="68">
        <v>12</v>
      </c>
      <c r="D79" s="68">
        <v>10</v>
      </c>
      <c r="E79" s="68"/>
      <c r="F79" s="68"/>
      <c r="G79" s="68"/>
      <c r="H79" s="68"/>
      <c r="I79" s="68"/>
      <c r="J79" s="69" t="s">
        <v>978</v>
      </c>
      <c r="K79" s="80">
        <v>2</v>
      </c>
      <c r="L79" s="81">
        <v>250</v>
      </c>
      <c r="M79" s="70">
        <f t="shared" si="0"/>
        <v>1250</v>
      </c>
      <c r="N79" s="70">
        <f t="shared" si="1"/>
        <v>8750</v>
      </c>
      <c r="O79" s="60"/>
      <c r="P79" s="61"/>
      <c r="Q79" s="60"/>
      <c r="T79" s="5" t="s">
        <v>972</v>
      </c>
    </row>
    <row r="80" spans="2:20" ht="21" customHeight="1">
      <c r="B80" s="67" t="s">
        <v>790</v>
      </c>
      <c r="C80" s="68">
        <v>12</v>
      </c>
      <c r="D80" s="68">
        <v>10</v>
      </c>
      <c r="E80" s="68"/>
      <c r="F80" s="68"/>
      <c r="G80" s="68"/>
      <c r="H80" s="68"/>
      <c r="I80" s="68"/>
      <c r="J80" s="69" t="s">
        <v>978</v>
      </c>
      <c r="M80" s="70"/>
      <c r="N80" s="70"/>
      <c r="O80" s="60"/>
      <c r="P80" s="61"/>
      <c r="Q80" s="60"/>
      <c r="T80" s="5" t="s">
        <v>973</v>
      </c>
    </row>
    <row r="81" spans="1:20" ht="21" customHeight="1">
      <c r="A81" s="57">
        <f>A79+1</f>
        <v>41</v>
      </c>
      <c r="B81" s="67" t="s">
        <v>790</v>
      </c>
      <c r="C81" s="68">
        <v>12</v>
      </c>
      <c r="D81" s="68">
        <v>10</v>
      </c>
      <c r="E81" s="68"/>
      <c r="F81" s="68"/>
      <c r="G81" s="68"/>
      <c r="H81" s="68"/>
      <c r="I81" s="68"/>
      <c r="J81" s="69" t="s">
        <v>978</v>
      </c>
      <c r="K81" s="80">
        <v>2</v>
      </c>
      <c r="L81" s="81">
        <v>200</v>
      </c>
      <c r="M81" s="70">
        <f t="shared" si="0"/>
        <v>1000</v>
      </c>
      <c r="N81" s="70">
        <f t="shared" si="1"/>
        <v>7000</v>
      </c>
      <c r="O81" s="60"/>
      <c r="P81" s="61"/>
      <c r="Q81" s="60"/>
      <c r="T81" s="5" t="s">
        <v>597</v>
      </c>
    </row>
    <row r="82" spans="2:20" ht="21" customHeight="1">
      <c r="B82" s="67" t="s">
        <v>790</v>
      </c>
      <c r="C82" s="68">
        <v>12</v>
      </c>
      <c r="D82" s="68">
        <v>10</v>
      </c>
      <c r="E82" s="68"/>
      <c r="F82" s="68"/>
      <c r="G82" s="68"/>
      <c r="H82" s="68"/>
      <c r="I82" s="68"/>
      <c r="J82" s="69" t="s">
        <v>978</v>
      </c>
      <c r="M82" s="70"/>
      <c r="N82" s="70"/>
      <c r="O82" s="60"/>
      <c r="P82" s="61"/>
      <c r="Q82" s="60"/>
      <c r="T82" s="5" t="s">
        <v>947</v>
      </c>
    </row>
    <row r="83" spans="1:20" ht="21" customHeight="1">
      <c r="A83" s="57">
        <f>A81+1</f>
        <v>42</v>
      </c>
      <c r="B83" s="67" t="s">
        <v>556</v>
      </c>
      <c r="C83" s="68">
        <v>13</v>
      </c>
      <c r="D83" s="68">
        <v>11</v>
      </c>
      <c r="E83" s="68">
        <v>9</v>
      </c>
      <c r="F83" s="68">
        <v>7.5</v>
      </c>
      <c r="G83" s="68">
        <v>7</v>
      </c>
      <c r="H83" s="68"/>
      <c r="I83" s="68"/>
      <c r="J83" s="112" t="s">
        <v>557</v>
      </c>
      <c r="K83" s="69">
        <v>2</v>
      </c>
      <c r="L83" s="70">
        <f>207+169</f>
        <v>376</v>
      </c>
      <c r="M83" s="70">
        <f t="shared" si="0"/>
        <v>1880</v>
      </c>
      <c r="N83" s="70">
        <f t="shared" si="1"/>
        <v>13160</v>
      </c>
      <c r="O83" s="60"/>
      <c r="P83" s="61"/>
      <c r="Q83" s="60"/>
      <c r="T83" s="5" t="s">
        <v>1124</v>
      </c>
    </row>
    <row r="84" spans="2:20" ht="21" customHeight="1">
      <c r="B84" s="67" t="s">
        <v>556</v>
      </c>
      <c r="C84" s="68"/>
      <c r="D84" s="68"/>
      <c r="E84" s="68"/>
      <c r="F84" s="68"/>
      <c r="G84" s="68"/>
      <c r="H84" s="68"/>
      <c r="I84" s="68"/>
      <c r="J84" s="112" t="s">
        <v>557</v>
      </c>
      <c r="K84" s="69"/>
      <c r="L84" s="70"/>
      <c r="M84" s="70"/>
      <c r="N84" s="70"/>
      <c r="O84" s="60"/>
      <c r="P84" s="61"/>
      <c r="Q84" s="60"/>
      <c r="T84" s="5" t="s">
        <v>1125</v>
      </c>
    </row>
    <row r="85" spans="1:20" ht="21" customHeight="1">
      <c r="A85" s="57">
        <f>A83+1</f>
        <v>43</v>
      </c>
      <c r="B85" s="67" t="s">
        <v>791</v>
      </c>
      <c r="C85" s="68">
        <v>10</v>
      </c>
      <c r="D85" s="68">
        <v>9</v>
      </c>
      <c r="E85" s="68">
        <v>7</v>
      </c>
      <c r="F85" s="68"/>
      <c r="G85" s="68"/>
      <c r="H85" s="68"/>
      <c r="I85" s="68"/>
      <c r="J85" s="112" t="s">
        <v>204</v>
      </c>
      <c r="K85" s="69">
        <v>2</v>
      </c>
      <c r="L85" s="70">
        <f>374+137</f>
        <v>511</v>
      </c>
      <c r="M85" s="70">
        <f t="shared" si="0"/>
        <v>2555</v>
      </c>
      <c r="N85" s="70">
        <f t="shared" si="1"/>
        <v>17885</v>
      </c>
      <c r="O85" s="60"/>
      <c r="P85" s="61"/>
      <c r="Q85" s="60"/>
      <c r="T85" s="5" t="s">
        <v>65</v>
      </c>
    </row>
    <row r="86" spans="2:20" ht="21" customHeight="1">
      <c r="B86" s="67" t="s">
        <v>791</v>
      </c>
      <c r="C86" s="68"/>
      <c r="D86" s="68"/>
      <c r="E86" s="68"/>
      <c r="F86" s="68"/>
      <c r="G86" s="68"/>
      <c r="H86" s="68"/>
      <c r="I86" s="68"/>
      <c r="J86" s="112" t="s">
        <v>204</v>
      </c>
      <c r="K86" s="69"/>
      <c r="L86" s="70"/>
      <c r="M86" s="70"/>
      <c r="N86" s="70"/>
      <c r="O86" s="60"/>
      <c r="P86" s="61"/>
      <c r="Q86" s="60"/>
      <c r="T86" s="5" t="s">
        <v>66</v>
      </c>
    </row>
    <row r="87" spans="1:20" s="84" customFormat="1" ht="21" customHeight="1">
      <c r="A87" s="57">
        <f>A85+1</f>
        <v>44</v>
      </c>
      <c r="B87" s="67" t="s">
        <v>898</v>
      </c>
      <c r="C87" s="68">
        <v>8</v>
      </c>
      <c r="D87" s="68">
        <v>7</v>
      </c>
      <c r="E87" s="68">
        <v>6</v>
      </c>
      <c r="F87" s="68"/>
      <c r="G87" s="68"/>
      <c r="H87" s="68"/>
      <c r="I87" s="68"/>
      <c r="J87" s="69" t="s">
        <v>115</v>
      </c>
      <c r="K87" s="69">
        <v>2</v>
      </c>
      <c r="L87" s="70">
        <f>105+105</f>
        <v>210</v>
      </c>
      <c r="M87" s="70">
        <f t="shared" si="0"/>
        <v>1050</v>
      </c>
      <c r="N87" s="70">
        <f t="shared" si="1"/>
        <v>7350</v>
      </c>
      <c r="O87" s="83"/>
      <c r="P87" s="61"/>
      <c r="Q87" s="83"/>
      <c r="T87" s="103" t="s">
        <v>111</v>
      </c>
    </row>
    <row r="88" spans="1:20" s="84" customFormat="1" ht="21" customHeight="1">
      <c r="A88" s="57"/>
      <c r="B88" s="67" t="s">
        <v>898</v>
      </c>
      <c r="C88" s="68"/>
      <c r="D88" s="68"/>
      <c r="E88" s="68"/>
      <c r="F88" s="68"/>
      <c r="G88" s="68"/>
      <c r="H88" s="68"/>
      <c r="I88" s="68"/>
      <c r="J88" s="69" t="s">
        <v>115</v>
      </c>
      <c r="K88" s="69"/>
      <c r="L88" s="70"/>
      <c r="M88" s="70"/>
      <c r="N88" s="70"/>
      <c r="O88" s="83"/>
      <c r="P88" s="61"/>
      <c r="Q88" s="83"/>
      <c r="T88" s="103" t="s">
        <v>116</v>
      </c>
    </row>
    <row r="89" spans="1:20" ht="21" customHeight="1">
      <c r="A89" s="57">
        <f>A87+1</f>
        <v>45</v>
      </c>
      <c r="B89" s="67" t="s">
        <v>792</v>
      </c>
      <c r="C89" s="68">
        <v>12</v>
      </c>
      <c r="D89" s="68">
        <v>10</v>
      </c>
      <c r="E89" s="68">
        <v>9</v>
      </c>
      <c r="F89" s="68">
        <v>7</v>
      </c>
      <c r="G89" s="68"/>
      <c r="H89" s="68"/>
      <c r="I89" s="68"/>
      <c r="J89" s="69" t="s">
        <v>1097</v>
      </c>
      <c r="K89" s="69">
        <v>2</v>
      </c>
      <c r="L89" s="70">
        <f>262</f>
        <v>262</v>
      </c>
      <c r="M89" s="70">
        <f t="shared" si="0"/>
        <v>1310</v>
      </c>
      <c r="N89" s="70">
        <f t="shared" si="1"/>
        <v>9170</v>
      </c>
      <c r="O89" s="60"/>
      <c r="P89" s="61"/>
      <c r="Q89" s="60"/>
      <c r="T89" s="5" t="s">
        <v>676</v>
      </c>
    </row>
    <row r="90" spans="1:20" ht="21" customHeight="1">
      <c r="A90" s="57">
        <f>A89+1</f>
        <v>46</v>
      </c>
      <c r="B90" s="67" t="s">
        <v>899</v>
      </c>
      <c r="C90" s="68">
        <v>12</v>
      </c>
      <c r="D90" s="68">
        <v>10</v>
      </c>
      <c r="E90" s="68">
        <v>9</v>
      </c>
      <c r="F90" s="68">
        <v>7</v>
      </c>
      <c r="G90" s="68"/>
      <c r="H90" s="68"/>
      <c r="I90" s="68"/>
      <c r="J90" s="69" t="s">
        <v>571</v>
      </c>
      <c r="K90" s="69">
        <v>2</v>
      </c>
      <c r="L90" s="69">
        <v>200</v>
      </c>
      <c r="M90" s="70">
        <f t="shared" si="0"/>
        <v>1000</v>
      </c>
      <c r="N90" s="70">
        <f t="shared" si="1"/>
        <v>7000</v>
      </c>
      <c r="O90" s="60"/>
      <c r="P90" s="61"/>
      <c r="Q90" s="60"/>
      <c r="T90" s="5" t="s">
        <v>937</v>
      </c>
    </row>
    <row r="91" spans="2:20" ht="21" customHeight="1">
      <c r="B91" s="67" t="s">
        <v>899</v>
      </c>
      <c r="C91" s="68"/>
      <c r="D91" s="68"/>
      <c r="E91" s="68"/>
      <c r="F91" s="68"/>
      <c r="G91" s="68"/>
      <c r="H91" s="68"/>
      <c r="I91" s="68"/>
      <c r="J91" s="69" t="s">
        <v>571</v>
      </c>
      <c r="K91" s="69"/>
      <c r="L91" s="69"/>
      <c r="M91" s="70"/>
      <c r="N91" s="70"/>
      <c r="O91" s="60"/>
      <c r="P91" s="61"/>
      <c r="Q91" s="60"/>
      <c r="T91" s="5" t="s">
        <v>996</v>
      </c>
    </row>
    <row r="92" spans="1:20" ht="21" customHeight="1">
      <c r="A92" s="57">
        <f>A90+1</f>
        <v>47</v>
      </c>
      <c r="B92" s="67" t="s">
        <v>793</v>
      </c>
      <c r="C92" s="68">
        <v>12</v>
      </c>
      <c r="D92" s="68">
        <v>10</v>
      </c>
      <c r="E92" s="68">
        <v>9</v>
      </c>
      <c r="F92" s="68">
        <v>7</v>
      </c>
      <c r="G92" s="68"/>
      <c r="H92" s="68"/>
      <c r="I92" s="68"/>
      <c r="J92" s="69" t="s">
        <v>439</v>
      </c>
      <c r="K92" s="69">
        <v>2</v>
      </c>
      <c r="L92" s="70">
        <f>224+196</f>
        <v>420</v>
      </c>
      <c r="M92" s="70">
        <f t="shared" si="0"/>
        <v>2100</v>
      </c>
      <c r="N92" s="70">
        <f t="shared" si="1"/>
        <v>14700</v>
      </c>
      <c r="O92" s="60"/>
      <c r="P92" s="61"/>
      <c r="Q92" s="60"/>
      <c r="T92" s="5" t="s">
        <v>937</v>
      </c>
    </row>
    <row r="93" spans="2:20" ht="21" customHeight="1">
      <c r="B93" s="67" t="s">
        <v>793</v>
      </c>
      <c r="C93" s="68"/>
      <c r="D93" s="68"/>
      <c r="E93" s="68"/>
      <c r="F93" s="68"/>
      <c r="G93" s="68"/>
      <c r="H93" s="68"/>
      <c r="I93" s="68"/>
      <c r="J93" s="69" t="s">
        <v>439</v>
      </c>
      <c r="K93" s="69"/>
      <c r="L93" s="70"/>
      <c r="M93" s="70"/>
      <c r="N93" s="70"/>
      <c r="O93" s="60"/>
      <c r="P93" s="61"/>
      <c r="Q93" s="60"/>
      <c r="T93" s="5" t="s">
        <v>996</v>
      </c>
    </row>
    <row r="94" spans="1:20" ht="21" customHeight="1">
      <c r="A94" s="57">
        <f>A92+1</f>
        <v>48</v>
      </c>
      <c r="B94" s="67" t="s">
        <v>793</v>
      </c>
      <c r="C94" s="68">
        <v>12</v>
      </c>
      <c r="D94" s="68">
        <v>10</v>
      </c>
      <c r="E94" s="68">
        <v>9</v>
      </c>
      <c r="F94" s="68">
        <v>7</v>
      </c>
      <c r="G94" s="68"/>
      <c r="H94" s="68"/>
      <c r="I94" s="68"/>
      <c r="J94" s="69" t="s">
        <v>439</v>
      </c>
      <c r="K94" s="69">
        <v>2</v>
      </c>
      <c r="L94" s="70">
        <v>200</v>
      </c>
      <c r="M94" s="70">
        <f t="shared" si="0"/>
        <v>1000</v>
      </c>
      <c r="N94" s="70">
        <f t="shared" si="1"/>
        <v>7000</v>
      </c>
      <c r="O94" s="60"/>
      <c r="P94" s="61"/>
      <c r="Q94" s="60"/>
      <c r="T94" s="5" t="s">
        <v>1098</v>
      </c>
    </row>
    <row r="95" spans="1:20" ht="21" customHeight="1">
      <c r="A95" s="57">
        <f>A94+1</f>
        <v>49</v>
      </c>
      <c r="B95" s="67" t="s">
        <v>527</v>
      </c>
      <c r="C95" s="68" t="s">
        <v>794</v>
      </c>
      <c r="D95" s="68" t="s">
        <v>795</v>
      </c>
      <c r="E95" s="68">
        <v>14.5</v>
      </c>
      <c r="F95" s="68" t="s">
        <v>796</v>
      </c>
      <c r="G95" s="85" t="s">
        <v>797</v>
      </c>
      <c r="H95" s="68">
        <v>7</v>
      </c>
      <c r="I95" s="68">
        <v>6</v>
      </c>
      <c r="J95" s="114" t="s">
        <v>609</v>
      </c>
      <c r="K95" s="69">
        <v>2</v>
      </c>
      <c r="L95" s="70">
        <f>377+58</f>
        <v>435</v>
      </c>
      <c r="M95" s="70">
        <f t="shared" si="0"/>
        <v>2175</v>
      </c>
      <c r="N95" s="70">
        <f t="shared" si="1"/>
        <v>15225</v>
      </c>
      <c r="O95" s="60"/>
      <c r="P95" s="61"/>
      <c r="Q95" s="60"/>
      <c r="T95" s="5" t="s">
        <v>696</v>
      </c>
    </row>
    <row r="96" spans="2:20" ht="21" customHeight="1">
      <c r="B96" s="67" t="s">
        <v>527</v>
      </c>
      <c r="C96" s="68"/>
      <c r="D96" s="68"/>
      <c r="E96" s="68"/>
      <c r="F96" s="68"/>
      <c r="G96" s="85"/>
      <c r="H96" s="68"/>
      <c r="I96" s="68"/>
      <c r="J96" s="114" t="s">
        <v>609</v>
      </c>
      <c r="K96" s="69"/>
      <c r="L96" s="70"/>
      <c r="M96" s="70"/>
      <c r="N96" s="70"/>
      <c r="O96" s="60"/>
      <c r="P96" s="61"/>
      <c r="Q96" s="60"/>
      <c r="T96" s="5" t="s">
        <v>35</v>
      </c>
    </row>
    <row r="97" spans="1:20" ht="21" customHeight="1">
      <c r="A97" s="57">
        <f>A95+1</f>
        <v>50</v>
      </c>
      <c r="B97" s="67" t="s">
        <v>527</v>
      </c>
      <c r="C97" s="68" t="s">
        <v>794</v>
      </c>
      <c r="D97" s="68" t="s">
        <v>795</v>
      </c>
      <c r="E97" s="68">
        <v>14.5</v>
      </c>
      <c r="F97" s="68" t="s">
        <v>796</v>
      </c>
      <c r="G97" s="85" t="s">
        <v>797</v>
      </c>
      <c r="H97" s="68">
        <v>7</v>
      </c>
      <c r="I97" s="68">
        <v>6</v>
      </c>
      <c r="J97" s="114" t="s">
        <v>609</v>
      </c>
      <c r="K97" s="69">
        <v>3</v>
      </c>
      <c r="L97" s="70">
        <f>115+115+107</f>
        <v>337</v>
      </c>
      <c r="M97" s="70">
        <f t="shared" si="0"/>
        <v>1685</v>
      </c>
      <c r="N97" s="70">
        <f t="shared" si="1"/>
        <v>11795</v>
      </c>
      <c r="O97" s="60"/>
      <c r="P97" s="61"/>
      <c r="Q97" s="60"/>
      <c r="T97" s="5" t="s">
        <v>564</v>
      </c>
    </row>
    <row r="98" spans="2:20" ht="21" customHeight="1">
      <c r="B98" s="67" t="s">
        <v>527</v>
      </c>
      <c r="C98" s="68"/>
      <c r="D98" s="68"/>
      <c r="E98" s="68"/>
      <c r="F98" s="68"/>
      <c r="G98" s="85"/>
      <c r="H98" s="68"/>
      <c r="I98" s="68"/>
      <c r="J98" s="114" t="s">
        <v>609</v>
      </c>
      <c r="K98" s="69"/>
      <c r="L98" s="70"/>
      <c r="M98" s="70"/>
      <c r="N98" s="70"/>
      <c r="O98" s="60"/>
      <c r="P98" s="61"/>
      <c r="Q98" s="60"/>
      <c r="T98" s="5" t="s">
        <v>36</v>
      </c>
    </row>
    <row r="99" spans="1:20" ht="21" customHeight="1">
      <c r="A99" s="57">
        <f>A97+1</f>
        <v>51</v>
      </c>
      <c r="B99" s="77" t="s">
        <v>348</v>
      </c>
      <c r="C99" s="68">
        <v>7</v>
      </c>
      <c r="D99" s="68"/>
      <c r="E99" s="68"/>
      <c r="F99" s="68"/>
      <c r="G99" s="68"/>
      <c r="H99" s="68"/>
      <c r="I99" s="68"/>
      <c r="J99" s="112" t="s">
        <v>376</v>
      </c>
      <c r="K99" s="69">
        <v>2</v>
      </c>
      <c r="L99" s="70">
        <f>246+246</f>
        <v>492</v>
      </c>
      <c r="M99" s="70">
        <f t="shared" si="0"/>
        <v>2460</v>
      </c>
      <c r="N99" s="70">
        <f t="shared" si="1"/>
        <v>17220</v>
      </c>
      <c r="O99" s="60"/>
      <c r="P99" s="61"/>
      <c r="Q99" s="60"/>
      <c r="T99" s="5" t="s">
        <v>698</v>
      </c>
    </row>
    <row r="100" spans="2:20" ht="21" customHeight="1">
      <c r="B100" s="77" t="s">
        <v>348</v>
      </c>
      <c r="C100" s="68"/>
      <c r="D100" s="68"/>
      <c r="E100" s="68"/>
      <c r="F100" s="68"/>
      <c r="G100" s="68"/>
      <c r="H100" s="68"/>
      <c r="I100" s="68"/>
      <c r="J100" s="112" t="s">
        <v>376</v>
      </c>
      <c r="K100" s="69"/>
      <c r="L100" s="70"/>
      <c r="M100" s="70"/>
      <c r="N100" s="70"/>
      <c r="O100" s="60"/>
      <c r="P100" s="61"/>
      <c r="Q100" s="60"/>
      <c r="T100" s="5" t="s">
        <v>1041</v>
      </c>
    </row>
    <row r="101" spans="1:20" ht="21" customHeight="1">
      <c r="A101" s="57">
        <f>A99+1</f>
        <v>52</v>
      </c>
      <c r="B101" s="67" t="s">
        <v>798</v>
      </c>
      <c r="C101" s="68">
        <v>9.5</v>
      </c>
      <c r="D101" s="68">
        <v>8</v>
      </c>
      <c r="E101" s="68">
        <v>6</v>
      </c>
      <c r="F101" s="68"/>
      <c r="G101" s="68"/>
      <c r="H101" s="68"/>
      <c r="I101" s="68"/>
      <c r="J101" s="113" t="s">
        <v>344</v>
      </c>
      <c r="K101" s="69">
        <v>2</v>
      </c>
      <c r="L101" s="70">
        <f>160+143</f>
        <v>303</v>
      </c>
      <c r="M101" s="70">
        <f t="shared" si="0"/>
        <v>1515</v>
      </c>
      <c r="N101" s="70">
        <f t="shared" si="1"/>
        <v>10605</v>
      </c>
      <c r="O101" s="60"/>
      <c r="P101" s="61"/>
      <c r="Q101" s="60"/>
      <c r="T101" s="5" t="s">
        <v>596</v>
      </c>
    </row>
    <row r="102" spans="2:20" ht="21" customHeight="1">
      <c r="B102" s="67" t="s">
        <v>798</v>
      </c>
      <c r="C102" s="68">
        <v>9.5</v>
      </c>
      <c r="D102" s="68">
        <v>8</v>
      </c>
      <c r="E102" s="68">
        <v>6</v>
      </c>
      <c r="F102" s="68"/>
      <c r="G102" s="68"/>
      <c r="H102" s="68"/>
      <c r="I102" s="68"/>
      <c r="J102" s="113" t="s">
        <v>344</v>
      </c>
      <c r="K102" s="69"/>
      <c r="L102" s="70"/>
      <c r="M102" s="70"/>
      <c r="N102" s="70"/>
      <c r="O102" s="60"/>
      <c r="P102" s="61"/>
      <c r="Q102" s="60"/>
      <c r="T102" s="5" t="s">
        <v>63</v>
      </c>
    </row>
    <row r="103" spans="1:20" ht="21" customHeight="1">
      <c r="A103" s="57">
        <f>A101+1</f>
        <v>53</v>
      </c>
      <c r="B103" s="77" t="s">
        <v>349</v>
      </c>
      <c r="C103" s="68">
        <v>10</v>
      </c>
      <c r="D103" s="68">
        <v>8</v>
      </c>
      <c r="E103" s="68">
        <v>7</v>
      </c>
      <c r="F103" s="68"/>
      <c r="G103" s="68"/>
      <c r="H103" s="68"/>
      <c r="I103" s="68"/>
      <c r="J103" s="69" t="s">
        <v>998</v>
      </c>
      <c r="K103" s="69">
        <v>2</v>
      </c>
      <c r="L103" s="70">
        <f>172+130</f>
        <v>302</v>
      </c>
      <c r="M103" s="70">
        <f t="shared" si="0"/>
        <v>1510</v>
      </c>
      <c r="N103" s="70">
        <f t="shared" si="1"/>
        <v>10570</v>
      </c>
      <c r="O103" s="60"/>
      <c r="P103" s="61"/>
      <c r="Q103" s="60"/>
      <c r="T103" s="5" t="s">
        <v>999</v>
      </c>
    </row>
    <row r="104" spans="2:20" ht="21" customHeight="1">
      <c r="B104" s="77" t="s">
        <v>349</v>
      </c>
      <c r="C104" s="68"/>
      <c r="D104" s="68"/>
      <c r="E104" s="68"/>
      <c r="F104" s="68"/>
      <c r="G104" s="68"/>
      <c r="H104" s="68"/>
      <c r="I104" s="68"/>
      <c r="J104" s="69" t="s">
        <v>998</v>
      </c>
      <c r="K104" s="69"/>
      <c r="L104" s="70"/>
      <c r="M104" s="70"/>
      <c r="N104" s="70"/>
      <c r="O104" s="60"/>
      <c r="P104" s="61"/>
      <c r="Q104" s="60"/>
      <c r="T104" s="5" t="s">
        <v>1000</v>
      </c>
    </row>
    <row r="105" spans="1:20" ht="21" customHeight="1">
      <c r="A105" s="57">
        <f>A103+1</f>
        <v>54</v>
      </c>
      <c r="B105" s="67" t="s">
        <v>1129</v>
      </c>
      <c r="C105" s="68">
        <v>10.5</v>
      </c>
      <c r="D105" s="68">
        <v>9.5</v>
      </c>
      <c r="E105" s="68">
        <v>8.5</v>
      </c>
      <c r="F105" s="68">
        <v>6</v>
      </c>
      <c r="G105" s="68">
        <v>5</v>
      </c>
      <c r="H105" s="68"/>
      <c r="I105" s="68"/>
      <c r="J105" s="69" t="s">
        <v>611</v>
      </c>
      <c r="K105" s="69">
        <v>2</v>
      </c>
      <c r="L105" s="70">
        <f>200+184</f>
        <v>384</v>
      </c>
      <c r="M105" s="70">
        <f t="shared" si="0"/>
        <v>1920</v>
      </c>
      <c r="N105" s="70">
        <f t="shared" si="1"/>
        <v>13440</v>
      </c>
      <c r="O105" s="60"/>
      <c r="P105" s="61"/>
      <c r="Q105" s="60"/>
      <c r="T105" s="5" t="s">
        <v>153</v>
      </c>
    </row>
    <row r="106" spans="2:20" ht="21" customHeight="1">
      <c r="B106" s="67" t="s">
        <v>1129</v>
      </c>
      <c r="C106" s="68">
        <v>10.5</v>
      </c>
      <c r="D106" s="68">
        <v>9.5</v>
      </c>
      <c r="E106" s="68">
        <v>8.5</v>
      </c>
      <c r="F106" s="68">
        <v>6</v>
      </c>
      <c r="G106" s="68">
        <v>5</v>
      </c>
      <c r="H106" s="68"/>
      <c r="I106" s="68"/>
      <c r="J106" s="69" t="s">
        <v>611</v>
      </c>
      <c r="K106" s="69"/>
      <c r="L106" s="70"/>
      <c r="M106" s="70"/>
      <c r="N106" s="70"/>
      <c r="O106" s="60"/>
      <c r="P106" s="61"/>
      <c r="Q106" s="60"/>
      <c r="T106" s="5" t="s">
        <v>1110</v>
      </c>
    </row>
    <row r="107" spans="1:20" ht="21" customHeight="1">
      <c r="A107" s="57">
        <f>A105+1</f>
        <v>55</v>
      </c>
      <c r="B107" s="77" t="s">
        <v>799</v>
      </c>
      <c r="C107" s="68">
        <v>8</v>
      </c>
      <c r="D107" s="68">
        <v>7</v>
      </c>
      <c r="E107" s="68">
        <v>5</v>
      </c>
      <c r="F107" s="68"/>
      <c r="G107" s="68"/>
      <c r="H107" s="68"/>
      <c r="I107" s="68"/>
      <c r="J107" s="69" t="s">
        <v>554</v>
      </c>
      <c r="K107" s="69">
        <v>2</v>
      </c>
      <c r="L107" s="70">
        <f>235+189</f>
        <v>424</v>
      </c>
      <c r="M107" s="70">
        <f t="shared" si="0"/>
        <v>2120</v>
      </c>
      <c r="N107" s="70">
        <f t="shared" si="1"/>
        <v>14840</v>
      </c>
      <c r="O107" s="60"/>
      <c r="P107" s="61"/>
      <c r="Q107" s="60"/>
      <c r="T107" s="5" t="s">
        <v>710</v>
      </c>
    </row>
    <row r="108" spans="2:20" ht="21" customHeight="1">
      <c r="B108" s="77" t="s">
        <v>799</v>
      </c>
      <c r="C108" s="68">
        <v>8</v>
      </c>
      <c r="D108" s="68">
        <v>7</v>
      </c>
      <c r="E108" s="68">
        <v>5</v>
      </c>
      <c r="F108" s="68"/>
      <c r="G108" s="68"/>
      <c r="H108" s="68"/>
      <c r="I108" s="68"/>
      <c r="J108" s="69" t="s">
        <v>554</v>
      </c>
      <c r="K108" s="69"/>
      <c r="L108" s="70"/>
      <c r="M108" s="70"/>
      <c r="N108" s="70"/>
      <c r="O108" s="60"/>
      <c r="P108" s="61"/>
      <c r="Q108" s="60"/>
      <c r="T108" s="5" t="s">
        <v>1004</v>
      </c>
    </row>
    <row r="109" spans="1:20" ht="21" customHeight="1">
      <c r="A109" s="57">
        <f>A107+1</f>
        <v>56</v>
      </c>
      <c r="B109" s="67" t="s">
        <v>800</v>
      </c>
      <c r="C109" s="68">
        <v>12</v>
      </c>
      <c r="D109" s="68">
        <v>11</v>
      </c>
      <c r="E109" s="68">
        <v>10</v>
      </c>
      <c r="F109" s="68">
        <v>9</v>
      </c>
      <c r="G109" s="68">
        <v>5</v>
      </c>
      <c r="H109" s="68"/>
      <c r="I109" s="68"/>
      <c r="J109" s="112" t="s">
        <v>612</v>
      </c>
      <c r="K109" s="69">
        <v>2</v>
      </c>
      <c r="L109" s="70">
        <f>36+252</f>
        <v>288</v>
      </c>
      <c r="M109" s="70">
        <f t="shared" si="0"/>
        <v>1440</v>
      </c>
      <c r="N109" s="70">
        <f t="shared" si="1"/>
        <v>10080</v>
      </c>
      <c r="O109" s="60"/>
      <c r="P109" s="61"/>
      <c r="Q109" s="60"/>
      <c r="T109" s="5" t="s">
        <v>696</v>
      </c>
    </row>
    <row r="110" spans="2:20" ht="21" customHeight="1">
      <c r="B110" s="67" t="s">
        <v>800</v>
      </c>
      <c r="C110" s="68"/>
      <c r="D110" s="68"/>
      <c r="E110" s="68"/>
      <c r="F110" s="68"/>
      <c r="G110" s="68"/>
      <c r="H110" s="68"/>
      <c r="I110" s="68"/>
      <c r="J110" s="112" t="s">
        <v>612</v>
      </c>
      <c r="K110" s="69"/>
      <c r="L110" s="70"/>
      <c r="M110" s="70"/>
      <c r="N110" s="70"/>
      <c r="O110" s="60"/>
      <c r="P110" s="61"/>
      <c r="Q110" s="60"/>
      <c r="T110" s="5" t="s">
        <v>564</v>
      </c>
    </row>
    <row r="111" spans="1:20" ht="21" customHeight="1">
      <c r="A111" s="57">
        <f>A109+1</f>
        <v>57</v>
      </c>
      <c r="B111" s="67" t="s">
        <v>525</v>
      </c>
      <c r="C111" s="68">
        <v>12</v>
      </c>
      <c r="D111" s="68">
        <v>11</v>
      </c>
      <c r="E111" s="68">
        <v>10</v>
      </c>
      <c r="F111" s="68">
        <v>9</v>
      </c>
      <c r="G111" s="68">
        <v>5</v>
      </c>
      <c r="H111" s="68"/>
      <c r="I111" s="68"/>
      <c r="J111" s="112" t="s">
        <v>612</v>
      </c>
      <c r="K111" s="69">
        <v>2</v>
      </c>
      <c r="L111" s="69">
        <f>145+125</f>
        <v>270</v>
      </c>
      <c r="M111" s="70">
        <f t="shared" si="0"/>
        <v>1350</v>
      </c>
      <c r="N111" s="70">
        <f t="shared" si="1"/>
        <v>9450</v>
      </c>
      <c r="O111" s="60"/>
      <c r="P111" s="61"/>
      <c r="Q111" s="60"/>
      <c r="T111" s="5" t="s">
        <v>1000</v>
      </c>
    </row>
    <row r="112" spans="1:20" ht="21" customHeight="1">
      <c r="A112" s="57">
        <f>A111+1</f>
        <v>58</v>
      </c>
      <c r="B112" s="77" t="s">
        <v>715</v>
      </c>
      <c r="C112" s="68">
        <v>8</v>
      </c>
      <c r="D112" s="68">
        <v>7</v>
      </c>
      <c r="E112" s="68">
        <v>5.5</v>
      </c>
      <c r="F112" s="68"/>
      <c r="G112" s="68"/>
      <c r="H112" s="68"/>
      <c r="I112" s="68"/>
      <c r="J112" s="69" t="s">
        <v>553</v>
      </c>
      <c r="K112" s="69">
        <v>2</v>
      </c>
      <c r="L112" s="70">
        <f>295+109</f>
        <v>404</v>
      </c>
      <c r="M112" s="70">
        <f t="shared" si="0"/>
        <v>2020</v>
      </c>
      <c r="N112" s="70">
        <f t="shared" si="1"/>
        <v>14140</v>
      </c>
      <c r="O112" s="60"/>
      <c r="P112" s="61"/>
      <c r="Q112" s="60"/>
      <c r="T112" s="5" t="s">
        <v>966</v>
      </c>
    </row>
    <row r="113" spans="2:20" ht="21" customHeight="1">
      <c r="B113" s="77" t="s">
        <v>715</v>
      </c>
      <c r="C113" s="68"/>
      <c r="D113" s="68"/>
      <c r="E113" s="68"/>
      <c r="F113" s="68"/>
      <c r="G113" s="68"/>
      <c r="H113" s="68"/>
      <c r="I113" s="68"/>
      <c r="J113" s="69" t="s">
        <v>553</v>
      </c>
      <c r="K113" s="69"/>
      <c r="L113" s="70"/>
      <c r="M113" s="70"/>
      <c r="N113" s="70"/>
      <c r="O113" s="60"/>
      <c r="P113" s="61"/>
      <c r="Q113" s="60"/>
      <c r="T113" s="5" t="s">
        <v>62</v>
      </c>
    </row>
    <row r="114" spans="1:20" ht="21" customHeight="1">
      <c r="A114" s="57">
        <f>A112+1</f>
        <v>59</v>
      </c>
      <c r="B114" s="77" t="s">
        <v>533</v>
      </c>
      <c r="C114" s="68">
        <v>8</v>
      </c>
      <c r="D114" s="68">
        <v>7</v>
      </c>
      <c r="E114" s="68">
        <v>5</v>
      </c>
      <c r="F114" s="68"/>
      <c r="G114" s="68"/>
      <c r="H114" s="68"/>
      <c r="I114" s="68"/>
      <c r="J114" s="69" t="s">
        <v>552</v>
      </c>
      <c r="K114" s="69">
        <v>2</v>
      </c>
      <c r="L114" s="70">
        <f>131+117</f>
        <v>248</v>
      </c>
      <c r="M114" s="70">
        <f t="shared" si="0"/>
        <v>1240</v>
      </c>
      <c r="N114" s="70">
        <f t="shared" si="1"/>
        <v>8680</v>
      </c>
      <c r="O114" s="60"/>
      <c r="P114" s="61"/>
      <c r="Q114" s="60"/>
      <c r="T114" s="5" t="s">
        <v>61</v>
      </c>
    </row>
    <row r="115" spans="2:20" ht="21" customHeight="1">
      <c r="B115" s="77" t="s">
        <v>533</v>
      </c>
      <c r="C115" s="68"/>
      <c r="D115" s="68"/>
      <c r="E115" s="68"/>
      <c r="F115" s="68"/>
      <c r="G115" s="68"/>
      <c r="H115" s="68"/>
      <c r="I115" s="68"/>
      <c r="J115" s="69" t="s">
        <v>552</v>
      </c>
      <c r="K115" s="69"/>
      <c r="L115" s="70"/>
      <c r="M115" s="70"/>
      <c r="N115" s="70"/>
      <c r="O115" s="60"/>
      <c r="P115" s="61"/>
      <c r="Q115" s="60"/>
      <c r="T115" s="5" t="s">
        <v>551</v>
      </c>
    </row>
    <row r="116" spans="1:20" ht="21" customHeight="1">
      <c r="A116" s="57">
        <f>A114+1</f>
        <v>60</v>
      </c>
      <c r="B116" s="67" t="s">
        <v>900</v>
      </c>
      <c r="C116" s="68">
        <v>7</v>
      </c>
      <c r="D116" s="68">
        <v>6</v>
      </c>
      <c r="E116" s="68"/>
      <c r="F116" s="68"/>
      <c r="G116" s="68"/>
      <c r="H116" s="68"/>
      <c r="I116" s="68"/>
      <c r="J116" s="69" t="s">
        <v>959</v>
      </c>
      <c r="K116" s="69">
        <v>1</v>
      </c>
      <c r="L116" s="70">
        <v>200</v>
      </c>
      <c r="M116" s="70">
        <f t="shared" si="0"/>
        <v>1000</v>
      </c>
      <c r="N116" s="70">
        <f t="shared" si="1"/>
        <v>7000</v>
      </c>
      <c r="O116" s="60"/>
      <c r="P116" s="61"/>
      <c r="Q116" s="60"/>
      <c r="T116" s="5" t="s">
        <v>890</v>
      </c>
    </row>
    <row r="117" spans="1:20" ht="21" customHeight="1">
      <c r="A117" s="57">
        <f>A116+1</f>
        <v>61</v>
      </c>
      <c r="B117" s="67" t="s">
        <v>531</v>
      </c>
      <c r="C117" s="68">
        <v>9</v>
      </c>
      <c r="D117" s="68">
        <v>8</v>
      </c>
      <c r="E117" s="68">
        <v>7</v>
      </c>
      <c r="F117" s="68">
        <v>6</v>
      </c>
      <c r="G117" s="68">
        <v>5</v>
      </c>
      <c r="H117" s="68"/>
      <c r="I117" s="68"/>
      <c r="J117" s="112" t="s">
        <v>613</v>
      </c>
      <c r="K117" s="69">
        <v>2</v>
      </c>
      <c r="L117" s="70">
        <f>158+182</f>
        <v>340</v>
      </c>
      <c r="M117" s="70">
        <f t="shared" si="0"/>
        <v>1700</v>
      </c>
      <c r="N117" s="70">
        <f t="shared" si="1"/>
        <v>11900</v>
      </c>
      <c r="O117" s="60"/>
      <c r="P117" s="61"/>
      <c r="Q117" s="60"/>
      <c r="T117" s="5" t="s">
        <v>697</v>
      </c>
    </row>
    <row r="118" spans="2:20" ht="21" customHeight="1">
      <c r="B118" s="67" t="s">
        <v>531</v>
      </c>
      <c r="C118" s="68"/>
      <c r="D118" s="68"/>
      <c r="E118" s="68"/>
      <c r="F118" s="68"/>
      <c r="G118" s="68"/>
      <c r="H118" s="68"/>
      <c r="I118" s="68"/>
      <c r="J118" s="112" t="s">
        <v>613</v>
      </c>
      <c r="K118" s="69"/>
      <c r="L118" s="70"/>
      <c r="M118" s="70"/>
      <c r="N118" s="70"/>
      <c r="O118" s="60"/>
      <c r="P118" s="61"/>
      <c r="Q118" s="60"/>
      <c r="T118" s="5" t="s">
        <v>51</v>
      </c>
    </row>
    <row r="119" spans="2:20" ht="21" customHeight="1">
      <c r="B119" s="67" t="s">
        <v>531</v>
      </c>
      <c r="C119" s="68"/>
      <c r="D119" s="68"/>
      <c r="E119" s="68"/>
      <c r="F119" s="68"/>
      <c r="G119" s="68"/>
      <c r="H119" s="68"/>
      <c r="I119" s="68"/>
      <c r="J119" s="112" t="s">
        <v>613</v>
      </c>
      <c r="K119" s="69"/>
      <c r="L119" s="70"/>
      <c r="M119" s="70"/>
      <c r="N119" s="70"/>
      <c r="O119" s="60"/>
      <c r="P119" s="61"/>
      <c r="Q119" s="60"/>
      <c r="T119" s="5" t="s">
        <v>51</v>
      </c>
    </row>
    <row r="120" spans="1:20" ht="21" customHeight="1">
      <c r="A120" s="57">
        <f>A117+1</f>
        <v>62</v>
      </c>
      <c r="B120" s="86" t="s">
        <v>901</v>
      </c>
      <c r="C120" s="68"/>
      <c r="D120" s="68"/>
      <c r="E120" s="68"/>
      <c r="F120" s="68"/>
      <c r="G120" s="68"/>
      <c r="H120" s="68"/>
      <c r="I120" s="68"/>
      <c r="J120" s="69" t="s">
        <v>206</v>
      </c>
      <c r="K120" s="80">
        <v>2</v>
      </c>
      <c r="L120" s="81">
        <f>112+96</f>
        <v>208</v>
      </c>
      <c r="M120" s="70">
        <f t="shared" si="0"/>
        <v>1040</v>
      </c>
      <c r="N120" s="70">
        <f t="shared" si="1"/>
        <v>7280</v>
      </c>
      <c r="O120" s="60"/>
      <c r="P120" s="61"/>
      <c r="Q120" s="60"/>
      <c r="T120" s="5" t="s">
        <v>335</v>
      </c>
    </row>
    <row r="121" spans="2:20" ht="21" customHeight="1">
      <c r="B121" s="86" t="s">
        <v>901</v>
      </c>
      <c r="C121" s="68"/>
      <c r="D121" s="68"/>
      <c r="E121" s="68"/>
      <c r="F121" s="68"/>
      <c r="G121" s="68"/>
      <c r="H121" s="68"/>
      <c r="I121" s="68"/>
      <c r="J121" s="69" t="s">
        <v>206</v>
      </c>
      <c r="M121" s="70"/>
      <c r="N121" s="70"/>
      <c r="O121" s="60"/>
      <c r="P121" s="61"/>
      <c r="Q121" s="60"/>
      <c r="T121" s="5" t="s">
        <v>551</v>
      </c>
    </row>
    <row r="122" spans="1:20" ht="21" customHeight="1">
      <c r="A122" s="57">
        <f>A120+1</f>
        <v>63</v>
      </c>
      <c r="B122" s="67" t="s">
        <v>482</v>
      </c>
      <c r="C122" s="68">
        <v>7</v>
      </c>
      <c r="D122" s="68">
        <v>6</v>
      </c>
      <c r="E122" s="68"/>
      <c r="F122" s="68"/>
      <c r="G122" s="68"/>
      <c r="H122" s="68"/>
      <c r="I122" s="68"/>
      <c r="J122" s="113" t="s">
        <v>490</v>
      </c>
      <c r="K122" s="69">
        <v>2</v>
      </c>
      <c r="L122" s="69">
        <v>150</v>
      </c>
      <c r="M122" s="70">
        <f t="shared" si="0"/>
        <v>750</v>
      </c>
      <c r="N122" s="70">
        <f t="shared" si="1"/>
        <v>5250</v>
      </c>
      <c r="O122" s="60"/>
      <c r="P122" s="61"/>
      <c r="Q122" s="60"/>
      <c r="T122" s="5" t="s">
        <v>1116</v>
      </c>
    </row>
    <row r="123" spans="2:20" ht="21" customHeight="1">
      <c r="B123" s="67" t="s">
        <v>482</v>
      </c>
      <c r="C123" s="68">
        <v>7</v>
      </c>
      <c r="D123" s="68">
        <v>6</v>
      </c>
      <c r="E123" s="68"/>
      <c r="F123" s="68"/>
      <c r="G123" s="68"/>
      <c r="H123" s="68"/>
      <c r="I123" s="68"/>
      <c r="J123" s="113" t="s">
        <v>490</v>
      </c>
      <c r="K123" s="69"/>
      <c r="L123" s="69"/>
      <c r="M123" s="70"/>
      <c r="N123" s="70"/>
      <c r="O123" s="60"/>
      <c r="P123" s="61"/>
      <c r="Q123" s="60"/>
      <c r="T123" s="5" t="s">
        <v>1115</v>
      </c>
    </row>
    <row r="124" spans="1:20" ht="21" customHeight="1">
      <c r="A124" s="57">
        <f>A122+1</f>
        <v>64</v>
      </c>
      <c r="B124" s="67" t="s">
        <v>902</v>
      </c>
      <c r="C124" s="68">
        <v>7</v>
      </c>
      <c r="D124" s="68"/>
      <c r="E124" s="68"/>
      <c r="F124" s="68"/>
      <c r="G124" s="68"/>
      <c r="H124" s="68"/>
      <c r="I124" s="68"/>
      <c r="J124" s="112" t="s">
        <v>205</v>
      </c>
      <c r="K124" s="69">
        <v>1</v>
      </c>
      <c r="L124" s="70">
        <v>220</v>
      </c>
      <c r="M124" s="70">
        <f t="shared" si="0"/>
        <v>1100</v>
      </c>
      <c r="N124" s="70">
        <f t="shared" si="1"/>
        <v>7700</v>
      </c>
      <c r="O124" s="60"/>
      <c r="P124" s="61"/>
      <c r="Q124" s="60"/>
      <c r="T124" s="5" t="s">
        <v>132</v>
      </c>
    </row>
    <row r="125" spans="1:20" ht="21" customHeight="1">
      <c r="A125" s="57">
        <f>A124+1</f>
        <v>65</v>
      </c>
      <c r="B125" s="67" t="s">
        <v>350</v>
      </c>
      <c r="C125" s="68">
        <v>8</v>
      </c>
      <c r="D125" s="68">
        <v>7</v>
      </c>
      <c r="E125" s="68">
        <v>6</v>
      </c>
      <c r="F125" s="68"/>
      <c r="G125" s="68"/>
      <c r="H125" s="68"/>
      <c r="I125" s="68"/>
      <c r="J125" s="112" t="s">
        <v>391</v>
      </c>
      <c r="K125" s="69">
        <v>2</v>
      </c>
      <c r="L125" s="70">
        <f>119+115</f>
        <v>234</v>
      </c>
      <c r="M125" s="70">
        <f aca="true" t="shared" si="2" ref="M125:M250">L125*5</f>
        <v>1170</v>
      </c>
      <c r="N125" s="70">
        <f aca="true" t="shared" si="3" ref="N125:N250">M125*7</f>
        <v>8190</v>
      </c>
      <c r="O125" s="60"/>
      <c r="P125" s="61"/>
      <c r="Q125" s="60"/>
      <c r="T125" s="5" t="s">
        <v>986</v>
      </c>
    </row>
    <row r="126" spans="2:20" ht="21" customHeight="1">
      <c r="B126" s="67" t="s">
        <v>350</v>
      </c>
      <c r="C126" s="68"/>
      <c r="D126" s="68"/>
      <c r="E126" s="68"/>
      <c r="F126" s="68"/>
      <c r="G126" s="68"/>
      <c r="H126" s="68"/>
      <c r="I126" s="68"/>
      <c r="J126" s="112" t="s">
        <v>391</v>
      </c>
      <c r="K126" s="69"/>
      <c r="L126" s="70"/>
      <c r="M126" s="70"/>
      <c r="N126" s="70"/>
      <c r="O126" s="60"/>
      <c r="P126" s="61"/>
      <c r="Q126" s="60"/>
      <c r="T126" s="5" t="s">
        <v>483</v>
      </c>
    </row>
    <row r="127" spans="1:20" ht="21" customHeight="1">
      <c r="A127" s="57">
        <f>A125+1</f>
        <v>66</v>
      </c>
      <c r="B127" s="67" t="s">
        <v>903</v>
      </c>
      <c r="C127" s="68">
        <v>7</v>
      </c>
      <c r="D127" s="68">
        <v>6</v>
      </c>
      <c r="E127" s="68">
        <v>5</v>
      </c>
      <c r="F127" s="68"/>
      <c r="G127" s="68"/>
      <c r="H127" s="68"/>
      <c r="I127" s="68"/>
      <c r="J127" s="112" t="s">
        <v>208</v>
      </c>
      <c r="K127" s="69">
        <v>2</v>
      </c>
      <c r="L127" s="70">
        <f>131+121</f>
        <v>252</v>
      </c>
      <c r="M127" s="70">
        <f t="shared" si="2"/>
        <v>1260</v>
      </c>
      <c r="N127" s="70">
        <f t="shared" si="3"/>
        <v>8820</v>
      </c>
      <c r="O127" s="60"/>
      <c r="P127" s="61"/>
      <c r="Q127" s="60"/>
      <c r="T127" s="5" t="s">
        <v>335</v>
      </c>
    </row>
    <row r="128" spans="2:20" ht="21" customHeight="1">
      <c r="B128" s="67" t="s">
        <v>903</v>
      </c>
      <c r="C128" s="68"/>
      <c r="D128" s="68"/>
      <c r="E128" s="68"/>
      <c r="F128" s="68"/>
      <c r="G128" s="68"/>
      <c r="H128" s="68"/>
      <c r="I128" s="68"/>
      <c r="J128" s="112" t="s">
        <v>208</v>
      </c>
      <c r="K128" s="69"/>
      <c r="L128" s="70"/>
      <c r="M128" s="70"/>
      <c r="N128" s="70"/>
      <c r="O128" s="60"/>
      <c r="P128" s="61"/>
      <c r="Q128" s="60"/>
      <c r="T128" s="5" t="s">
        <v>320</v>
      </c>
    </row>
    <row r="129" spans="1:20" ht="21" customHeight="1">
      <c r="A129" s="57">
        <f>A127+1</f>
        <v>67</v>
      </c>
      <c r="B129" s="67" t="s">
        <v>904</v>
      </c>
      <c r="C129" s="68">
        <v>8</v>
      </c>
      <c r="D129" s="68">
        <v>7</v>
      </c>
      <c r="E129" s="68">
        <v>6</v>
      </c>
      <c r="F129" s="68"/>
      <c r="G129" s="68"/>
      <c r="H129" s="68"/>
      <c r="I129" s="68"/>
      <c r="J129" s="112" t="s">
        <v>207</v>
      </c>
      <c r="K129" s="69">
        <v>2</v>
      </c>
      <c r="L129" s="70">
        <f>69+69</f>
        <v>138</v>
      </c>
      <c r="M129" s="70">
        <f t="shared" si="2"/>
        <v>690</v>
      </c>
      <c r="N129" s="70">
        <f t="shared" si="3"/>
        <v>4830</v>
      </c>
      <c r="O129" s="60"/>
      <c r="P129" s="61"/>
      <c r="Q129" s="60"/>
      <c r="T129" s="5" t="s">
        <v>335</v>
      </c>
    </row>
    <row r="130" spans="2:20" ht="21" customHeight="1">
      <c r="B130" s="67" t="s">
        <v>904</v>
      </c>
      <c r="C130" s="68"/>
      <c r="D130" s="68"/>
      <c r="E130" s="68"/>
      <c r="F130" s="68"/>
      <c r="G130" s="68"/>
      <c r="H130" s="68"/>
      <c r="I130" s="68"/>
      <c r="J130" s="112" t="s">
        <v>207</v>
      </c>
      <c r="K130" s="69"/>
      <c r="L130" s="70"/>
      <c r="M130" s="70"/>
      <c r="N130" s="70"/>
      <c r="O130" s="60"/>
      <c r="P130" s="61"/>
      <c r="Q130" s="60"/>
      <c r="T130" s="5" t="s">
        <v>551</v>
      </c>
    </row>
    <row r="131" spans="1:20" ht="21" customHeight="1">
      <c r="A131" s="57">
        <f>A129+1</f>
        <v>68</v>
      </c>
      <c r="B131" s="67" t="s">
        <v>401</v>
      </c>
      <c r="C131" s="68">
        <v>9</v>
      </c>
      <c r="D131" s="68">
        <v>7</v>
      </c>
      <c r="E131" s="68">
        <v>6</v>
      </c>
      <c r="F131" s="68">
        <v>5</v>
      </c>
      <c r="G131" s="68">
        <v>4</v>
      </c>
      <c r="H131" s="68"/>
      <c r="I131" s="68"/>
      <c r="J131" s="69" t="s">
        <v>568</v>
      </c>
      <c r="K131" s="69">
        <v>2</v>
      </c>
      <c r="L131" s="70">
        <f>205+205</f>
        <v>410</v>
      </c>
      <c r="M131" s="70">
        <f t="shared" si="2"/>
        <v>2050</v>
      </c>
      <c r="N131" s="70">
        <f t="shared" si="3"/>
        <v>14350</v>
      </c>
      <c r="O131" s="60"/>
      <c r="P131" s="61"/>
      <c r="Q131" s="60"/>
      <c r="T131" s="5" t="s">
        <v>475</v>
      </c>
    </row>
    <row r="132" spans="2:20" ht="21" customHeight="1">
      <c r="B132" s="67" t="s">
        <v>401</v>
      </c>
      <c r="C132" s="68"/>
      <c r="D132" s="68"/>
      <c r="E132" s="68"/>
      <c r="F132" s="68"/>
      <c r="G132" s="68"/>
      <c r="H132" s="68"/>
      <c r="I132" s="68"/>
      <c r="J132" s="69" t="s">
        <v>568</v>
      </c>
      <c r="K132" s="69"/>
      <c r="L132" s="70"/>
      <c r="M132" s="70"/>
      <c r="N132" s="70"/>
      <c r="O132" s="60"/>
      <c r="P132" s="61"/>
      <c r="Q132" s="60"/>
      <c r="T132" s="5" t="s">
        <v>564</v>
      </c>
    </row>
    <row r="133" spans="1:20" ht="21" customHeight="1">
      <c r="A133" s="57">
        <f>A131+1</f>
        <v>69</v>
      </c>
      <c r="B133" s="67" t="s">
        <v>315</v>
      </c>
      <c r="C133" s="68">
        <v>8</v>
      </c>
      <c r="D133" s="68">
        <v>7</v>
      </c>
      <c r="E133" s="68">
        <v>6</v>
      </c>
      <c r="F133" s="68"/>
      <c r="G133" s="68"/>
      <c r="H133" s="68"/>
      <c r="I133" s="68"/>
      <c r="J133" s="112" t="s">
        <v>317</v>
      </c>
      <c r="K133" s="69">
        <v>2</v>
      </c>
      <c r="L133" s="69">
        <v>300</v>
      </c>
      <c r="M133" s="70">
        <f t="shared" si="2"/>
        <v>1500</v>
      </c>
      <c r="N133" s="70">
        <f t="shared" si="3"/>
        <v>10500</v>
      </c>
      <c r="O133" s="60"/>
      <c r="P133" s="61"/>
      <c r="Q133" s="60"/>
      <c r="T133" s="5" t="s">
        <v>965</v>
      </c>
    </row>
    <row r="134" spans="2:20" ht="21" customHeight="1">
      <c r="B134" s="67" t="s">
        <v>315</v>
      </c>
      <c r="C134" s="68"/>
      <c r="D134" s="68"/>
      <c r="E134" s="68"/>
      <c r="F134" s="68"/>
      <c r="G134" s="68"/>
      <c r="H134" s="68"/>
      <c r="I134" s="68"/>
      <c r="J134" s="112" t="s">
        <v>317</v>
      </c>
      <c r="K134" s="69"/>
      <c r="L134" s="69"/>
      <c r="M134" s="70"/>
      <c r="N134" s="70"/>
      <c r="O134" s="60"/>
      <c r="P134" s="61"/>
      <c r="Q134" s="60"/>
      <c r="T134" s="5" t="s">
        <v>966</v>
      </c>
    </row>
    <row r="135" spans="1:20" ht="21" customHeight="1">
      <c r="A135" s="57">
        <f>A133+1</f>
        <v>70</v>
      </c>
      <c r="B135" s="67" t="s">
        <v>801</v>
      </c>
      <c r="C135" s="68">
        <v>8</v>
      </c>
      <c r="D135" s="68">
        <v>7</v>
      </c>
      <c r="E135" s="68">
        <v>6</v>
      </c>
      <c r="F135" s="68"/>
      <c r="G135" s="68"/>
      <c r="H135" s="68"/>
      <c r="I135" s="68"/>
      <c r="J135" s="69" t="s">
        <v>991</v>
      </c>
      <c r="K135" s="69">
        <v>2</v>
      </c>
      <c r="L135" s="70">
        <f>250+150</f>
        <v>400</v>
      </c>
      <c r="M135" s="70">
        <f t="shared" si="2"/>
        <v>2000</v>
      </c>
      <c r="N135" s="70">
        <f t="shared" si="3"/>
        <v>14000</v>
      </c>
      <c r="O135" s="60"/>
      <c r="P135" s="61"/>
      <c r="Q135" s="60"/>
      <c r="T135" s="5" t="s">
        <v>992</v>
      </c>
    </row>
    <row r="136" spans="2:20" ht="21" customHeight="1">
      <c r="B136" s="67" t="s">
        <v>801</v>
      </c>
      <c r="C136" s="68">
        <v>8</v>
      </c>
      <c r="D136" s="68">
        <v>7</v>
      </c>
      <c r="E136" s="68">
        <v>6</v>
      </c>
      <c r="F136" s="68"/>
      <c r="G136" s="68"/>
      <c r="H136" s="68"/>
      <c r="I136" s="68"/>
      <c r="J136" s="69" t="s">
        <v>991</v>
      </c>
      <c r="K136" s="69"/>
      <c r="L136" s="70"/>
      <c r="M136" s="70"/>
      <c r="N136" s="70"/>
      <c r="O136" s="60"/>
      <c r="P136" s="61"/>
      <c r="Q136" s="60"/>
      <c r="T136" s="5" t="s">
        <v>745</v>
      </c>
    </row>
    <row r="137" spans="1:20" ht="21" customHeight="1">
      <c r="A137" s="57">
        <f>A135+1</f>
        <v>71</v>
      </c>
      <c r="B137" s="77" t="s">
        <v>403</v>
      </c>
      <c r="C137" s="68">
        <v>8</v>
      </c>
      <c r="D137" s="68">
        <v>7</v>
      </c>
      <c r="E137" s="68">
        <v>5</v>
      </c>
      <c r="F137" s="68"/>
      <c r="G137" s="68"/>
      <c r="H137" s="68"/>
      <c r="I137" s="68"/>
      <c r="J137" s="69" t="s">
        <v>587</v>
      </c>
      <c r="K137" s="69">
        <v>2</v>
      </c>
      <c r="L137" s="70">
        <f>350+77</f>
        <v>427</v>
      </c>
      <c r="M137" s="70">
        <f t="shared" si="2"/>
        <v>2135</v>
      </c>
      <c r="N137" s="70">
        <f t="shared" si="3"/>
        <v>14945</v>
      </c>
      <c r="O137" s="60"/>
      <c r="P137" s="61"/>
      <c r="Q137" s="60"/>
      <c r="T137" s="5" t="s">
        <v>87</v>
      </c>
    </row>
    <row r="138" spans="2:20" ht="21" customHeight="1">
      <c r="B138" s="77" t="s">
        <v>403</v>
      </c>
      <c r="C138" s="68"/>
      <c r="D138" s="68"/>
      <c r="E138" s="68"/>
      <c r="F138" s="68"/>
      <c r="G138" s="68"/>
      <c r="H138" s="68"/>
      <c r="I138" s="68"/>
      <c r="J138" s="69" t="s">
        <v>587</v>
      </c>
      <c r="K138" s="69"/>
      <c r="L138" s="70"/>
      <c r="M138" s="70"/>
      <c r="N138" s="70"/>
      <c r="O138" s="60"/>
      <c r="P138" s="61"/>
      <c r="Q138" s="60"/>
      <c r="T138" s="5" t="s">
        <v>88</v>
      </c>
    </row>
    <row r="139" spans="1:17" ht="21" customHeight="1">
      <c r="A139" s="57">
        <f>A137+1</f>
        <v>72</v>
      </c>
      <c r="B139" s="67" t="s">
        <v>802</v>
      </c>
      <c r="C139" s="68">
        <v>7</v>
      </c>
      <c r="D139" s="68">
        <v>6</v>
      </c>
      <c r="E139" s="68">
        <v>5</v>
      </c>
      <c r="F139" s="68"/>
      <c r="G139" s="68"/>
      <c r="H139" s="68"/>
      <c r="I139" s="68"/>
      <c r="J139" s="112" t="s">
        <v>209</v>
      </c>
      <c r="K139" s="69">
        <v>2</v>
      </c>
      <c r="L139" s="70">
        <v>248</v>
      </c>
      <c r="M139" s="70">
        <f t="shared" si="2"/>
        <v>1240</v>
      </c>
      <c r="N139" s="70">
        <f t="shared" si="3"/>
        <v>8680</v>
      </c>
      <c r="O139" s="60"/>
      <c r="P139" s="61"/>
      <c r="Q139" s="60"/>
    </row>
    <row r="140" spans="1:20" ht="21" customHeight="1">
      <c r="A140" s="57">
        <f>A139+1</f>
        <v>73</v>
      </c>
      <c r="B140" s="77" t="s">
        <v>803</v>
      </c>
      <c r="C140" s="68">
        <v>7</v>
      </c>
      <c r="D140" s="68">
        <v>6</v>
      </c>
      <c r="E140" s="68">
        <v>5</v>
      </c>
      <c r="F140" s="68"/>
      <c r="G140" s="68"/>
      <c r="H140" s="68"/>
      <c r="I140" s="68"/>
      <c r="J140" s="69" t="s">
        <v>334</v>
      </c>
      <c r="K140" s="69">
        <v>2</v>
      </c>
      <c r="L140" s="70">
        <f>147+109</f>
        <v>256</v>
      </c>
      <c r="M140" s="70">
        <f t="shared" si="2"/>
        <v>1280</v>
      </c>
      <c r="N140" s="70">
        <f t="shared" si="3"/>
        <v>8960</v>
      </c>
      <c r="O140" s="60"/>
      <c r="P140" s="61"/>
      <c r="Q140" s="60"/>
      <c r="T140" s="5" t="s">
        <v>335</v>
      </c>
    </row>
    <row r="141" spans="2:20" ht="21" customHeight="1">
      <c r="B141" s="77" t="s">
        <v>803</v>
      </c>
      <c r="C141" s="68"/>
      <c r="D141" s="68"/>
      <c r="E141" s="68"/>
      <c r="F141" s="68"/>
      <c r="G141" s="68"/>
      <c r="H141" s="68"/>
      <c r="I141" s="68"/>
      <c r="J141" s="69" t="s">
        <v>334</v>
      </c>
      <c r="K141" s="69"/>
      <c r="L141" s="70"/>
      <c r="M141" s="70"/>
      <c r="N141" s="70"/>
      <c r="O141" s="60"/>
      <c r="P141" s="61"/>
      <c r="Q141" s="60"/>
      <c r="T141" s="5" t="s">
        <v>320</v>
      </c>
    </row>
    <row r="142" spans="1:20" ht="21" customHeight="1">
      <c r="A142" s="57">
        <f>A140+1</f>
        <v>74</v>
      </c>
      <c r="B142" s="77" t="s">
        <v>504</v>
      </c>
      <c r="C142" s="68">
        <v>7</v>
      </c>
      <c r="D142" s="68">
        <v>6</v>
      </c>
      <c r="E142" s="68"/>
      <c r="F142" s="68"/>
      <c r="G142" s="68"/>
      <c r="H142" s="68"/>
      <c r="I142" s="68"/>
      <c r="J142" s="69" t="s">
        <v>443</v>
      </c>
      <c r="K142" s="69">
        <v>2</v>
      </c>
      <c r="L142" s="70">
        <f>155+155</f>
        <v>310</v>
      </c>
      <c r="M142" s="70">
        <f t="shared" si="2"/>
        <v>1550</v>
      </c>
      <c r="N142" s="70">
        <f t="shared" si="3"/>
        <v>10850</v>
      </c>
      <c r="O142" s="60"/>
      <c r="P142" s="61"/>
      <c r="Q142" s="60"/>
      <c r="T142" s="5" t="s">
        <v>83</v>
      </c>
    </row>
    <row r="143" spans="2:20" ht="21" customHeight="1">
      <c r="B143" s="77" t="s">
        <v>504</v>
      </c>
      <c r="C143" s="68"/>
      <c r="D143" s="68"/>
      <c r="E143" s="68"/>
      <c r="F143" s="68"/>
      <c r="G143" s="68"/>
      <c r="H143" s="68"/>
      <c r="I143" s="68"/>
      <c r="J143" s="69" t="s">
        <v>443</v>
      </c>
      <c r="K143" s="69"/>
      <c r="L143" s="70"/>
      <c r="M143" s="70"/>
      <c r="N143" s="70"/>
      <c r="O143" s="60"/>
      <c r="P143" s="61"/>
      <c r="Q143" s="60"/>
      <c r="T143" s="5" t="s">
        <v>84</v>
      </c>
    </row>
    <row r="144" spans="1:20" ht="21" customHeight="1">
      <c r="A144" s="57">
        <f>A142+1</f>
        <v>75</v>
      </c>
      <c r="B144" s="67" t="s">
        <v>905</v>
      </c>
      <c r="C144" s="68">
        <v>7</v>
      </c>
      <c r="D144" s="68">
        <v>6</v>
      </c>
      <c r="E144" s="68">
        <v>5</v>
      </c>
      <c r="F144" s="68"/>
      <c r="G144" s="68"/>
      <c r="H144" s="68"/>
      <c r="I144" s="68"/>
      <c r="J144" s="112" t="s">
        <v>210</v>
      </c>
      <c r="K144" s="69">
        <v>2</v>
      </c>
      <c r="L144" s="70">
        <f>295+66</f>
        <v>361</v>
      </c>
      <c r="M144" s="70">
        <f t="shared" si="2"/>
        <v>1805</v>
      </c>
      <c r="N144" s="70">
        <f t="shared" si="3"/>
        <v>12635</v>
      </c>
      <c r="O144" s="60"/>
      <c r="P144" s="61"/>
      <c r="Q144" s="60"/>
      <c r="T144" s="5" t="s">
        <v>483</v>
      </c>
    </row>
    <row r="145" spans="2:20" ht="21" customHeight="1">
      <c r="B145" s="67" t="s">
        <v>905</v>
      </c>
      <c r="C145" s="68"/>
      <c r="D145" s="68"/>
      <c r="E145" s="68"/>
      <c r="F145" s="68"/>
      <c r="G145" s="68"/>
      <c r="H145" s="68"/>
      <c r="I145" s="68"/>
      <c r="J145" s="112" t="s">
        <v>210</v>
      </c>
      <c r="K145" s="69"/>
      <c r="L145" s="70"/>
      <c r="M145" s="70"/>
      <c r="N145" s="70"/>
      <c r="O145" s="60"/>
      <c r="P145" s="61"/>
      <c r="Q145" s="60"/>
      <c r="T145" s="5" t="s">
        <v>320</v>
      </c>
    </row>
    <row r="146" spans="1:20" ht="21" customHeight="1">
      <c r="A146" s="57">
        <f>A144+1</f>
        <v>76</v>
      </c>
      <c r="B146" s="67" t="s">
        <v>906</v>
      </c>
      <c r="C146" s="68">
        <v>6</v>
      </c>
      <c r="D146" s="68">
        <v>5</v>
      </c>
      <c r="E146" s="68">
        <v>4</v>
      </c>
      <c r="F146" s="68"/>
      <c r="G146" s="68"/>
      <c r="H146" s="68"/>
      <c r="I146" s="68"/>
      <c r="J146" s="112" t="s">
        <v>211</v>
      </c>
      <c r="K146" s="69">
        <v>2</v>
      </c>
      <c r="L146" s="70">
        <f>130+89</f>
        <v>219</v>
      </c>
      <c r="M146" s="70">
        <f t="shared" si="2"/>
        <v>1095</v>
      </c>
      <c r="N146" s="70">
        <f t="shared" si="3"/>
        <v>7665</v>
      </c>
      <c r="O146" s="60"/>
      <c r="P146" s="61"/>
      <c r="Q146" s="60"/>
      <c r="T146" s="5" t="s">
        <v>1001</v>
      </c>
    </row>
    <row r="147" spans="2:20" ht="21" customHeight="1">
      <c r="B147" s="67" t="s">
        <v>906</v>
      </c>
      <c r="C147" s="68"/>
      <c r="D147" s="68"/>
      <c r="E147" s="68"/>
      <c r="F147" s="68"/>
      <c r="G147" s="68"/>
      <c r="H147" s="68"/>
      <c r="I147" s="68"/>
      <c r="J147" s="112" t="s">
        <v>211</v>
      </c>
      <c r="K147" s="69"/>
      <c r="L147" s="70"/>
      <c r="M147" s="70"/>
      <c r="N147" s="70"/>
      <c r="O147" s="60"/>
      <c r="P147" s="61"/>
      <c r="Q147" s="60"/>
      <c r="T147" s="5" t="s">
        <v>1002</v>
      </c>
    </row>
    <row r="148" spans="1:20" ht="21" customHeight="1">
      <c r="A148" s="57">
        <f>A146+1</f>
        <v>77</v>
      </c>
      <c r="B148" s="67" t="s">
        <v>404</v>
      </c>
      <c r="C148" s="68">
        <v>11</v>
      </c>
      <c r="D148" s="68">
        <v>10</v>
      </c>
      <c r="E148" s="68">
        <v>9</v>
      </c>
      <c r="F148" s="68">
        <v>8</v>
      </c>
      <c r="G148" s="68">
        <v>7</v>
      </c>
      <c r="H148" s="68">
        <v>6</v>
      </c>
      <c r="I148" s="68"/>
      <c r="J148" s="69" t="s">
        <v>444</v>
      </c>
      <c r="K148" s="69">
        <v>2</v>
      </c>
      <c r="L148" s="70">
        <f>155+122</f>
        <v>277</v>
      </c>
      <c r="M148" s="70">
        <f t="shared" si="2"/>
        <v>1385</v>
      </c>
      <c r="N148" s="70">
        <f t="shared" si="3"/>
        <v>9695</v>
      </c>
      <c r="O148" s="60"/>
      <c r="P148" s="61"/>
      <c r="Q148" s="60"/>
      <c r="T148" s="5" t="s">
        <v>945</v>
      </c>
    </row>
    <row r="149" spans="2:20" ht="21" customHeight="1">
      <c r="B149" s="67" t="s">
        <v>404</v>
      </c>
      <c r="C149" s="68"/>
      <c r="D149" s="68"/>
      <c r="E149" s="68"/>
      <c r="F149" s="68"/>
      <c r="G149" s="68"/>
      <c r="H149" s="68"/>
      <c r="I149" s="68"/>
      <c r="J149" s="69" t="s">
        <v>444</v>
      </c>
      <c r="K149" s="69"/>
      <c r="L149" s="70"/>
      <c r="M149" s="70"/>
      <c r="N149" s="70"/>
      <c r="O149" s="60"/>
      <c r="P149" s="61"/>
      <c r="Q149" s="60"/>
      <c r="T149" s="5" t="s">
        <v>946</v>
      </c>
    </row>
    <row r="150" spans="1:20" ht="21" customHeight="1">
      <c r="A150" s="57">
        <f>A148+1</f>
        <v>78</v>
      </c>
      <c r="B150" s="67" t="s">
        <v>384</v>
      </c>
      <c r="C150" s="68">
        <v>6</v>
      </c>
      <c r="D150" s="68">
        <v>5</v>
      </c>
      <c r="E150" s="68"/>
      <c r="F150" s="68"/>
      <c r="G150" s="68"/>
      <c r="H150" s="68"/>
      <c r="I150" s="68"/>
      <c r="J150" s="69" t="s">
        <v>385</v>
      </c>
      <c r="K150" s="69">
        <v>2</v>
      </c>
      <c r="L150" s="70">
        <f>374+75</f>
        <v>449</v>
      </c>
      <c r="M150" s="70">
        <f t="shared" si="2"/>
        <v>2245</v>
      </c>
      <c r="N150" s="70">
        <f t="shared" si="3"/>
        <v>15715</v>
      </c>
      <c r="O150" s="60"/>
      <c r="P150" s="61"/>
      <c r="Q150" s="60"/>
      <c r="T150" s="5" t="s">
        <v>1088</v>
      </c>
    </row>
    <row r="151" spans="2:20" ht="21" customHeight="1">
      <c r="B151" s="67" t="s">
        <v>384</v>
      </c>
      <c r="C151" s="68"/>
      <c r="D151" s="68"/>
      <c r="E151" s="68"/>
      <c r="F151" s="68"/>
      <c r="G151" s="68"/>
      <c r="H151" s="68"/>
      <c r="I151" s="68"/>
      <c r="J151" s="69" t="s">
        <v>385</v>
      </c>
      <c r="K151" s="69"/>
      <c r="L151" s="70"/>
      <c r="M151" s="70"/>
      <c r="N151" s="70"/>
      <c r="O151" s="60"/>
      <c r="P151" s="61"/>
      <c r="Q151" s="60"/>
      <c r="T151" s="5" t="s">
        <v>1089</v>
      </c>
    </row>
    <row r="152" spans="1:20" ht="21" customHeight="1">
      <c r="A152" s="57">
        <f>A150+1</f>
        <v>79</v>
      </c>
      <c r="B152" s="67" t="s">
        <v>804</v>
      </c>
      <c r="C152" s="68">
        <v>8</v>
      </c>
      <c r="D152" s="68">
        <v>6</v>
      </c>
      <c r="E152" s="68"/>
      <c r="F152" s="68"/>
      <c r="G152" s="68"/>
      <c r="H152" s="68"/>
      <c r="I152" s="68"/>
      <c r="J152" s="135" t="s">
        <v>212</v>
      </c>
      <c r="K152" s="69">
        <v>2</v>
      </c>
      <c r="L152" s="70">
        <f>125+81</f>
        <v>206</v>
      </c>
      <c r="M152" s="70">
        <f t="shared" si="2"/>
        <v>1030</v>
      </c>
      <c r="N152" s="70">
        <f t="shared" si="3"/>
        <v>7210</v>
      </c>
      <c r="O152" s="60"/>
      <c r="P152" s="61"/>
      <c r="Q152" s="60"/>
      <c r="T152" s="5" t="s">
        <v>957</v>
      </c>
    </row>
    <row r="153" spans="2:20" ht="21" customHeight="1">
      <c r="B153" s="67" t="s">
        <v>804</v>
      </c>
      <c r="C153" s="68"/>
      <c r="D153" s="68"/>
      <c r="E153" s="68"/>
      <c r="F153" s="68"/>
      <c r="G153" s="68"/>
      <c r="H153" s="68"/>
      <c r="I153" s="68"/>
      <c r="J153" s="135" t="s">
        <v>212</v>
      </c>
      <c r="K153" s="69"/>
      <c r="L153" s="70"/>
      <c r="M153" s="70"/>
      <c r="N153" s="70"/>
      <c r="O153" s="60"/>
      <c r="P153" s="61"/>
      <c r="Q153" s="60"/>
      <c r="T153" s="5" t="s">
        <v>566</v>
      </c>
    </row>
    <row r="154" spans="1:20" ht="21" customHeight="1">
      <c r="A154" s="57">
        <f>A152+1</f>
        <v>80</v>
      </c>
      <c r="B154" s="77" t="s">
        <v>907</v>
      </c>
      <c r="C154" s="68">
        <v>7</v>
      </c>
      <c r="D154" s="68">
        <v>6</v>
      </c>
      <c r="E154" s="68"/>
      <c r="F154" s="68"/>
      <c r="G154" s="68"/>
      <c r="H154" s="68"/>
      <c r="I154" s="68"/>
      <c r="J154" s="69" t="s">
        <v>935</v>
      </c>
      <c r="K154" s="69">
        <v>2</v>
      </c>
      <c r="L154" s="70">
        <f>100+52</f>
        <v>152</v>
      </c>
      <c r="M154" s="70">
        <f t="shared" si="2"/>
        <v>760</v>
      </c>
      <c r="N154" s="70">
        <f t="shared" si="3"/>
        <v>5320</v>
      </c>
      <c r="O154" s="60"/>
      <c r="P154" s="61"/>
      <c r="Q154" s="60"/>
      <c r="T154" s="5" t="s">
        <v>301</v>
      </c>
    </row>
    <row r="155" spans="2:20" ht="21" customHeight="1">
      <c r="B155" s="77" t="s">
        <v>907</v>
      </c>
      <c r="C155" s="68">
        <v>7</v>
      </c>
      <c r="D155" s="68">
        <v>6</v>
      </c>
      <c r="E155" s="68"/>
      <c r="F155" s="68"/>
      <c r="G155" s="68"/>
      <c r="H155" s="68"/>
      <c r="I155" s="68"/>
      <c r="J155" s="69" t="s">
        <v>935</v>
      </c>
      <c r="K155" s="69">
        <v>2</v>
      </c>
      <c r="L155" s="70">
        <f>100+52</f>
        <v>152</v>
      </c>
      <c r="M155" s="70">
        <f t="shared" si="2"/>
        <v>760</v>
      </c>
      <c r="N155" s="70">
        <f t="shared" si="3"/>
        <v>5320</v>
      </c>
      <c r="O155" s="60"/>
      <c r="P155" s="61"/>
      <c r="Q155" s="60"/>
      <c r="T155" s="5" t="s">
        <v>561</v>
      </c>
    </row>
    <row r="156" spans="1:20" ht="21" customHeight="1">
      <c r="A156" s="57">
        <f>A154+1</f>
        <v>81</v>
      </c>
      <c r="B156" s="77" t="s">
        <v>713</v>
      </c>
      <c r="C156" s="68">
        <v>7</v>
      </c>
      <c r="D156" s="68">
        <v>6</v>
      </c>
      <c r="E156" s="68">
        <v>5</v>
      </c>
      <c r="F156" s="68"/>
      <c r="G156" s="68"/>
      <c r="H156" s="68"/>
      <c r="I156" s="68"/>
      <c r="J156" s="69" t="s">
        <v>985</v>
      </c>
      <c r="K156" s="69">
        <v>2</v>
      </c>
      <c r="L156" s="70">
        <f>200+100</f>
        <v>300</v>
      </c>
      <c r="M156" s="70">
        <f t="shared" si="2"/>
        <v>1500</v>
      </c>
      <c r="N156" s="70">
        <f t="shared" si="3"/>
        <v>10500</v>
      </c>
      <c r="O156" s="60"/>
      <c r="P156" s="61"/>
      <c r="Q156" s="60"/>
      <c r="T156" s="5" t="s">
        <v>984</v>
      </c>
    </row>
    <row r="157" spans="2:20" ht="21" customHeight="1">
      <c r="B157" s="77" t="s">
        <v>1059</v>
      </c>
      <c r="C157" s="68"/>
      <c r="D157" s="68"/>
      <c r="E157" s="68"/>
      <c r="F157" s="68"/>
      <c r="G157" s="68"/>
      <c r="H157" s="68"/>
      <c r="I157" s="68"/>
      <c r="J157" s="135" t="s">
        <v>213</v>
      </c>
      <c r="K157" s="69"/>
      <c r="L157" s="70"/>
      <c r="M157" s="70"/>
      <c r="N157" s="70"/>
      <c r="O157" s="60"/>
      <c r="P157" s="61"/>
      <c r="Q157" s="60"/>
      <c r="T157" s="5" t="s">
        <v>475</v>
      </c>
    </row>
    <row r="158" spans="1:20" ht="21" customHeight="1">
      <c r="A158" s="57">
        <f>A156+1</f>
        <v>82</v>
      </c>
      <c r="B158" s="67" t="s">
        <v>734</v>
      </c>
      <c r="C158" s="68">
        <v>8</v>
      </c>
      <c r="D158" s="68">
        <v>7</v>
      </c>
      <c r="E158" s="68"/>
      <c r="F158" s="68"/>
      <c r="G158" s="68"/>
      <c r="H158" s="68"/>
      <c r="I158" s="68"/>
      <c r="J158" s="114" t="s">
        <v>465</v>
      </c>
      <c r="K158" s="69">
        <v>2</v>
      </c>
      <c r="L158" s="70">
        <f>338+301</f>
        <v>639</v>
      </c>
      <c r="M158" s="70">
        <f t="shared" si="2"/>
        <v>3195</v>
      </c>
      <c r="N158" s="70">
        <f t="shared" si="3"/>
        <v>22365</v>
      </c>
      <c r="O158" s="60"/>
      <c r="P158" s="61"/>
      <c r="Q158" s="60"/>
      <c r="T158" s="5" t="s">
        <v>941</v>
      </c>
    </row>
    <row r="159" spans="2:20" ht="21" customHeight="1">
      <c r="B159" s="67" t="s">
        <v>962</v>
      </c>
      <c r="C159" s="68"/>
      <c r="D159" s="68"/>
      <c r="E159" s="68"/>
      <c r="F159" s="68"/>
      <c r="G159" s="68"/>
      <c r="H159" s="68"/>
      <c r="I159" s="68"/>
      <c r="J159" s="113" t="s">
        <v>214</v>
      </c>
      <c r="K159" s="69"/>
      <c r="L159" s="70"/>
      <c r="M159" s="70"/>
      <c r="N159" s="70"/>
      <c r="O159" s="60"/>
      <c r="P159" s="61"/>
      <c r="Q159" s="60"/>
      <c r="T159" s="5" t="s">
        <v>963</v>
      </c>
    </row>
    <row r="160" spans="1:20" ht="21" customHeight="1">
      <c r="A160" s="57">
        <f>A158+1</f>
        <v>83</v>
      </c>
      <c r="B160" s="67" t="s">
        <v>805</v>
      </c>
      <c r="C160" s="68">
        <v>8</v>
      </c>
      <c r="D160" s="68">
        <v>7</v>
      </c>
      <c r="E160" s="68">
        <v>6</v>
      </c>
      <c r="F160" s="68"/>
      <c r="G160" s="68"/>
      <c r="H160" s="68"/>
      <c r="I160" s="68"/>
      <c r="J160" s="69" t="s">
        <v>488</v>
      </c>
      <c r="K160" s="69">
        <v>2</v>
      </c>
      <c r="L160" s="70">
        <f>202+103</f>
        <v>305</v>
      </c>
      <c r="M160" s="70">
        <f t="shared" si="2"/>
        <v>1525</v>
      </c>
      <c r="N160" s="70">
        <f t="shared" si="3"/>
        <v>10675</v>
      </c>
      <c r="O160" s="60"/>
      <c r="P160" s="61"/>
      <c r="Q160" s="60"/>
      <c r="T160" s="5" t="s">
        <v>996</v>
      </c>
    </row>
    <row r="161" spans="2:20" ht="21" customHeight="1">
      <c r="B161" s="67" t="s">
        <v>805</v>
      </c>
      <c r="C161" s="68"/>
      <c r="D161" s="68"/>
      <c r="E161" s="68"/>
      <c r="F161" s="68"/>
      <c r="G161" s="68"/>
      <c r="H161" s="68"/>
      <c r="I161" s="68"/>
      <c r="J161" s="69" t="s">
        <v>488</v>
      </c>
      <c r="K161" s="69"/>
      <c r="L161" s="70"/>
      <c r="M161" s="70"/>
      <c r="N161" s="70"/>
      <c r="O161" s="60"/>
      <c r="P161" s="61"/>
      <c r="Q161" s="60"/>
      <c r="T161" s="5" t="s">
        <v>937</v>
      </c>
    </row>
    <row r="162" spans="1:20" ht="21" customHeight="1">
      <c r="A162" s="57">
        <f>A160+1</f>
        <v>84</v>
      </c>
      <c r="B162" s="67" t="s">
        <v>1130</v>
      </c>
      <c r="C162" s="68">
        <v>9</v>
      </c>
      <c r="D162" s="68">
        <v>8</v>
      </c>
      <c r="E162" s="68">
        <v>7</v>
      </c>
      <c r="F162" s="68">
        <v>6</v>
      </c>
      <c r="G162" s="68">
        <v>5</v>
      </c>
      <c r="H162" s="68">
        <v>4</v>
      </c>
      <c r="I162" s="68"/>
      <c r="J162" s="69" t="s">
        <v>614</v>
      </c>
      <c r="K162" s="69">
        <v>2</v>
      </c>
      <c r="L162" s="70">
        <f>326+326</f>
        <v>652</v>
      </c>
      <c r="M162" s="70">
        <f t="shared" si="2"/>
        <v>3260</v>
      </c>
      <c r="N162" s="70">
        <f t="shared" si="3"/>
        <v>22820</v>
      </c>
      <c r="T162" s="5" t="s">
        <v>674</v>
      </c>
    </row>
    <row r="163" spans="2:20" ht="21" customHeight="1">
      <c r="B163" s="67" t="s">
        <v>1130</v>
      </c>
      <c r="C163" s="68">
        <v>9</v>
      </c>
      <c r="D163" s="68">
        <v>8</v>
      </c>
      <c r="E163" s="68">
        <v>7</v>
      </c>
      <c r="F163" s="68">
        <v>6</v>
      </c>
      <c r="G163" s="68">
        <v>5</v>
      </c>
      <c r="H163" s="68">
        <v>4</v>
      </c>
      <c r="I163" s="68"/>
      <c r="J163" s="69" t="s">
        <v>614</v>
      </c>
      <c r="K163" s="69"/>
      <c r="L163" s="70"/>
      <c r="M163" s="70"/>
      <c r="N163" s="70"/>
      <c r="T163" s="5" t="s">
        <v>152</v>
      </c>
    </row>
    <row r="164" spans="1:20" ht="21" customHeight="1">
      <c r="A164" s="57">
        <f>A162+1</f>
        <v>85</v>
      </c>
      <c r="B164" s="67" t="s">
        <v>1130</v>
      </c>
      <c r="C164" s="68">
        <v>9</v>
      </c>
      <c r="D164" s="68">
        <v>8</v>
      </c>
      <c r="E164" s="68">
        <v>7</v>
      </c>
      <c r="F164" s="68">
        <v>6</v>
      </c>
      <c r="G164" s="68">
        <v>5</v>
      </c>
      <c r="H164" s="68">
        <v>4</v>
      </c>
      <c r="I164" s="68"/>
      <c r="J164" s="69" t="s">
        <v>614</v>
      </c>
      <c r="K164" s="69">
        <v>2</v>
      </c>
      <c r="L164" s="70">
        <v>300</v>
      </c>
      <c r="M164" s="70">
        <f t="shared" si="2"/>
        <v>1500</v>
      </c>
      <c r="N164" s="70">
        <f t="shared" si="3"/>
        <v>10500</v>
      </c>
      <c r="O164" s="60"/>
      <c r="P164" s="61"/>
      <c r="Q164" s="60"/>
      <c r="T164" s="5" t="s">
        <v>745</v>
      </c>
    </row>
    <row r="165" spans="1:20" ht="21" customHeight="1">
      <c r="A165" s="57">
        <f>A164+1</f>
        <v>86</v>
      </c>
      <c r="B165" s="67" t="s">
        <v>908</v>
      </c>
      <c r="C165" s="68">
        <v>7</v>
      </c>
      <c r="D165" s="68">
        <v>6</v>
      </c>
      <c r="E165" s="68"/>
      <c r="F165" s="68"/>
      <c r="G165" s="68"/>
      <c r="H165" s="68"/>
      <c r="I165" s="68"/>
      <c r="J165" s="113" t="s">
        <v>215</v>
      </c>
      <c r="K165" s="69">
        <v>2</v>
      </c>
      <c r="L165" s="70">
        <f>119+100</f>
        <v>219</v>
      </c>
      <c r="M165" s="70">
        <f t="shared" si="2"/>
        <v>1095</v>
      </c>
      <c r="N165" s="70">
        <f t="shared" si="3"/>
        <v>7665</v>
      </c>
      <c r="O165" s="60"/>
      <c r="P165" s="61"/>
      <c r="Q165" s="60"/>
      <c r="T165" s="5" t="s">
        <v>943</v>
      </c>
    </row>
    <row r="166" spans="2:20" ht="21" customHeight="1">
      <c r="B166" s="67" t="s">
        <v>908</v>
      </c>
      <c r="C166" s="68"/>
      <c r="D166" s="68"/>
      <c r="E166" s="68"/>
      <c r="F166" s="68"/>
      <c r="G166" s="68"/>
      <c r="H166" s="68"/>
      <c r="I166" s="68"/>
      <c r="J166" s="113" t="s">
        <v>215</v>
      </c>
      <c r="K166" s="69"/>
      <c r="L166" s="70"/>
      <c r="M166" s="70"/>
      <c r="N166" s="70"/>
      <c r="O166" s="60"/>
      <c r="P166" s="61"/>
      <c r="Q166" s="60"/>
      <c r="T166" s="5" t="s">
        <v>564</v>
      </c>
    </row>
    <row r="167" spans="1:20" ht="21" customHeight="1">
      <c r="A167" s="57">
        <f>A165+1</f>
        <v>87</v>
      </c>
      <c r="B167" s="67" t="s">
        <v>806</v>
      </c>
      <c r="C167" s="68">
        <v>6</v>
      </c>
      <c r="D167" s="68">
        <v>5</v>
      </c>
      <c r="E167" s="68">
        <v>4</v>
      </c>
      <c r="F167" s="68"/>
      <c r="G167" s="68"/>
      <c r="H167" s="68"/>
      <c r="I167" s="68"/>
      <c r="J167" s="114" t="s">
        <v>216</v>
      </c>
      <c r="K167" s="69">
        <v>2</v>
      </c>
      <c r="L167" s="70">
        <v>175</v>
      </c>
      <c r="M167" s="70">
        <f t="shared" si="2"/>
        <v>875</v>
      </c>
      <c r="N167" s="70">
        <f t="shared" si="3"/>
        <v>6125</v>
      </c>
      <c r="O167" s="60"/>
      <c r="P167" s="61"/>
      <c r="Q167" s="60"/>
      <c r="T167" s="5" t="s">
        <v>562</v>
      </c>
    </row>
    <row r="168" spans="1:20" ht="21" customHeight="1">
      <c r="A168" s="57">
        <f>A167+1</f>
        <v>88</v>
      </c>
      <c r="B168" s="67" t="s">
        <v>807</v>
      </c>
      <c r="C168" s="68">
        <v>9</v>
      </c>
      <c r="D168" s="68">
        <v>8</v>
      </c>
      <c r="E168" s="68">
        <v>7</v>
      </c>
      <c r="F168" s="68"/>
      <c r="G168" s="68"/>
      <c r="H168" s="68"/>
      <c r="I168" s="68"/>
      <c r="J168" s="69" t="s">
        <v>572</v>
      </c>
      <c r="K168" s="69">
        <v>2</v>
      </c>
      <c r="L168" s="70">
        <f>280+145</f>
        <v>425</v>
      </c>
      <c r="M168" s="70">
        <f t="shared" si="2"/>
        <v>2125</v>
      </c>
      <c r="N168" s="70">
        <f t="shared" si="3"/>
        <v>14875</v>
      </c>
      <c r="O168" s="60"/>
      <c r="P168" s="61"/>
      <c r="Q168" s="60"/>
      <c r="T168" s="5" t="s">
        <v>937</v>
      </c>
    </row>
    <row r="169" spans="2:20" ht="21" customHeight="1">
      <c r="B169" s="67" t="s">
        <v>807</v>
      </c>
      <c r="C169" s="68"/>
      <c r="D169" s="68"/>
      <c r="E169" s="68"/>
      <c r="F169" s="68"/>
      <c r="G169" s="68"/>
      <c r="H169" s="68"/>
      <c r="I169" s="68"/>
      <c r="J169" s="69" t="s">
        <v>572</v>
      </c>
      <c r="K169" s="69"/>
      <c r="L169" s="70"/>
      <c r="M169" s="70"/>
      <c r="N169" s="70"/>
      <c r="O169" s="60"/>
      <c r="P169" s="61"/>
      <c r="Q169" s="60"/>
      <c r="T169" s="5" t="s">
        <v>996</v>
      </c>
    </row>
    <row r="170" spans="1:20" ht="21" customHeight="1">
      <c r="A170" s="57">
        <f>A168+1</f>
        <v>89</v>
      </c>
      <c r="B170" s="77" t="s">
        <v>808</v>
      </c>
      <c r="C170" s="68">
        <v>10</v>
      </c>
      <c r="D170" s="68">
        <v>8</v>
      </c>
      <c r="E170" s="68">
        <v>7</v>
      </c>
      <c r="F170" s="68">
        <v>6</v>
      </c>
      <c r="G170" s="68"/>
      <c r="H170" s="68"/>
      <c r="I170" s="68"/>
      <c r="J170" s="69" t="s">
        <v>585</v>
      </c>
      <c r="K170" s="69">
        <v>2</v>
      </c>
      <c r="L170" s="70">
        <f>274+155</f>
        <v>429</v>
      </c>
      <c r="M170" s="70">
        <f t="shared" si="2"/>
        <v>2145</v>
      </c>
      <c r="N170" s="70">
        <f t="shared" si="3"/>
        <v>15015</v>
      </c>
      <c r="O170" s="60"/>
      <c r="P170" s="61"/>
      <c r="Q170" s="60"/>
      <c r="T170" s="5" t="s">
        <v>127</v>
      </c>
    </row>
    <row r="171" spans="2:20" ht="21" customHeight="1">
      <c r="B171" s="77" t="s">
        <v>808</v>
      </c>
      <c r="C171" s="68"/>
      <c r="D171" s="68"/>
      <c r="E171" s="68"/>
      <c r="F171" s="68"/>
      <c r="G171" s="68"/>
      <c r="H171" s="68"/>
      <c r="I171" s="68"/>
      <c r="J171" s="69" t="s">
        <v>585</v>
      </c>
      <c r="K171" s="69"/>
      <c r="L171" s="70"/>
      <c r="M171" s="70"/>
      <c r="N171" s="70"/>
      <c r="O171" s="60"/>
      <c r="P171" s="61"/>
      <c r="Q171" s="60"/>
      <c r="T171" s="5" t="s">
        <v>128</v>
      </c>
    </row>
    <row r="172" spans="1:20" ht="21" customHeight="1">
      <c r="A172" s="57">
        <f>A170+1</f>
        <v>90</v>
      </c>
      <c r="B172" s="67" t="s">
        <v>599</v>
      </c>
      <c r="C172" s="68">
        <v>8</v>
      </c>
      <c r="D172" s="68">
        <v>7</v>
      </c>
      <c r="E172" s="68">
        <v>5</v>
      </c>
      <c r="F172" s="68"/>
      <c r="G172" s="68"/>
      <c r="H172" s="68"/>
      <c r="I172" s="68"/>
      <c r="J172" s="113" t="s">
        <v>616</v>
      </c>
      <c r="K172" s="69">
        <v>2</v>
      </c>
      <c r="L172" s="70">
        <f>127+59</f>
        <v>186</v>
      </c>
      <c r="M172" s="70">
        <f t="shared" si="2"/>
        <v>930</v>
      </c>
      <c r="N172" s="70">
        <f t="shared" si="3"/>
        <v>6510</v>
      </c>
      <c r="O172" s="60"/>
      <c r="P172" s="61"/>
      <c r="Q172" s="60"/>
      <c r="T172" s="5" t="s">
        <v>551</v>
      </c>
    </row>
    <row r="173" spans="2:20" ht="21" customHeight="1">
      <c r="B173" s="67" t="s">
        <v>599</v>
      </c>
      <c r="C173" s="68"/>
      <c r="D173" s="68"/>
      <c r="E173" s="68"/>
      <c r="F173" s="68"/>
      <c r="G173" s="68"/>
      <c r="H173" s="68"/>
      <c r="I173" s="68"/>
      <c r="J173" s="113" t="s">
        <v>616</v>
      </c>
      <c r="K173" s="69"/>
      <c r="L173" s="70"/>
      <c r="M173" s="70"/>
      <c r="N173" s="70"/>
      <c r="O173" s="60"/>
      <c r="P173" s="61"/>
      <c r="Q173" s="60"/>
      <c r="T173" s="5" t="s">
        <v>957</v>
      </c>
    </row>
    <row r="174" spans="1:20" ht="21" customHeight="1">
      <c r="A174" s="57">
        <f>A172+1</f>
        <v>91</v>
      </c>
      <c r="B174" s="67" t="s">
        <v>809</v>
      </c>
      <c r="C174" s="68">
        <v>8</v>
      </c>
      <c r="D174" s="68">
        <v>7</v>
      </c>
      <c r="E174" s="68"/>
      <c r="F174" s="68"/>
      <c r="G174" s="68"/>
      <c r="H174" s="68"/>
      <c r="I174" s="68"/>
      <c r="J174" s="69" t="s">
        <v>565</v>
      </c>
      <c r="K174" s="69">
        <v>2</v>
      </c>
      <c r="L174" s="70">
        <f>200+132</f>
        <v>332</v>
      </c>
      <c r="M174" s="70">
        <f t="shared" si="2"/>
        <v>1660</v>
      </c>
      <c r="N174" s="70">
        <f t="shared" si="3"/>
        <v>11620</v>
      </c>
      <c r="O174" s="60"/>
      <c r="P174" s="61"/>
      <c r="Q174" s="60"/>
      <c r="T174" s="5" t="s">
        <v>335</v>
      </c>
    </row>
    <row r="175" spans="2:20" ht="21" customHeight="1">
      <c r="B175" s="67" t="s">
        <v>809</v>
      </c>
      <c r="C175" s="68"/>
      <c r="D175" s="68"/>
      <c r="E175" s="68"/>
      <c r="F175" s="68"/>
      <c r="G175" s="68"/>
      <c r="H175" s="68"/>
      <c r="I175" s="68"/>
      <c r="J175" s="69" t="s">
        <v>565</v>
      </c>
      <c r="K175" s="69"/>
      <c r="L175" s="70"/>
      <c r="M175" s="70"/>
      <c r="N175" s="70"/>
      <c r="O175" s="60"/>
      <c r="P175" s="61"/>
      <c r="Q175" s="60"/>
      <c r="T175" s="5" t="s">
        <v>551</v>
      </c>
    </row>
    <row r="176" spans="1:20" ht="21" customHeight="1">
      <c r="A176" s="57">
        <f>A174+1</f>
        <v>92</v>
      </c>
      <c r="B176" s="67" t="s">
        <v>810</v>
      </c>
      <c r="C176" s="68">
        <v>8</v>
      </c>
      <c r="D176" s="68">
        <v>7</v>
      </c>
      <c r="E176" s="68"/>
      <c r="F176" s="68"/>
      <c r="G176" s="68"/>
      <c r="H176" s="68"/>
      <c r="I176" s="68"/>
      <c r="J176" s="69" t="s">
        <v>445</v>
      </c>
      <c r="K176" s="69">
        <v>2</v>
      </c>
      <c r="L176" s="70">
        <f>185+130</f>
        <v>315</v>
      </c>
      <c r="M176" s="70">
        <f t="shared" si="2"/>
        <v>1575</v>
      </c>
      <c r="N176" s="70">
        <f t="shared" si="3"/>
        <v>11025</v>
      </c>
      <c r="O176" s="60"/>
      <c r="P176" s="61"/>
      <c r="Q176" s="60"/>
      <c r="T176" s="5" t="s">
        <v>595</v>
      </c>
    </row>
    <row r="177" spans="2:20" ht="21" customHeight="1">
      <c r="B177" s="67" t="s">
        <v>810</v>
      </c>
      <c r="C177" s="68"/>
      <c r="D177" s="68"/>
      <c r="E177" s="68"/>
      <c r="F177" s="68"/>
      <c r="G177" s="68"/>
      <c r="H177" s="68"/>
      <c r="I177" s="68"/>
      <c r="J177" s="69" t="s">
        <v>445</v>
      </c>
      <c r="K177" s="69"/>
      <c r="L177" s="70"/>
      <c r="M177" s="70"/>
      <c r="N177" s="70"/>
      <c r="O177" s="60"/>
      <c r="P177" s="61"/>
      <c r="Q177" s="60"/>
      <c r="T177" s="5" t="s">
        <v>974</v>
      </c>
    </row>
    <row r="178" spans="1:20" ht="21" customHeight="1">
      <c r="A178" s="57">
        <f>A176+1</f>
        <v>93</v>
      </c>
      <c r="B178" s="67" t="s">
        <v>1131</v>
      </c>
      <c r="C178" s="68">
        <v>9</v>
      </c>
      <c r="D178" s="68">
        <v>8</v>
      </c>
      <c r="E178" s="68">
        <v>7</v>
      </c>
      <c r="F178" s="68">
        <v>6</v>
      </c>
      <c r="G178" s="68"/>
      <c r="H178" s="68"/>
      <c r="I178" s="68"/>
      <c r="J178" s="69" t="s">
        <v>615</v>
      </c>
      <c r="K178" s="69">
        <v>2</v>
      </c>
      <c r="L178" s="70">
        <f>123+109</f>
        <v>232</v>
      </c>
      <c r="M178" s="70">
        <f t="shared" si="2"/>
        <v>1160</v>
      </c>
      <c r="N178" s="70">
        <f t="shared" si="3"/>
        <v>8120</v>
      </c>
      <c r="O178" s="60"/>
      <c r="P178" s="61"/>
      <c r="Q178" s="60"/>
      <c r="T178" s="5" t="s">
        <v>181</v>
      </c>
    </row>
    <row r="179" spans="2:20" ht="21" customHeight="1">
      <c r="B179" s="67" t="s">
        <v>1131</v>
      </c>
      <c r="C179" s="68"/>
      <c r="D179" s="68"/>
      <c r="E179" s="68"/>
      <c r="F179" s="68"/>
      <c r="G179" s="68"/>
      <c r="H179" s="68"/>
      <c r="I179" s="68"/>
      <c r="J179" s="69" t="s">
        <v>615</v>
      </c>
      <c r="K179" s="69"/>
      <c r="L179" s="70"/>
      <c r="M179" s="70"/>
      <c r="N179" s="70"/>
      <c r="O179" s="60"/>
      <c r="P179" s="61"/>
      <c r="Q179" s="60"/>
      <c r="T179" s="5" t="s">
        <v>745</v>
      </c>
    </row>
    <row r="180" spans="1:20" ht="21" customHeight="1">
      <c r="A180" s="57">
        <f>A178+1</f>
        <v>94</v>
      </c>
      <c r="B180" s="67" t="s">
        <v>1132</v>
      </c>
      <c r="C180" s="68">
        <v>10</v>
      </c>
      <c r="D180" s="68">
        <v>8.5</v>
      </c>
      <c r="E180" s="68">
        <v>6</v>
      </c>
      <c r="F180" s="68"/>
      <c r="G180" s="68"/>
      <c r="H180" s="68"/>
      <c r="I180" s="68"/>
      <c r="J180" s="69" t="s">
        <v>617</v>
      </c>
      <c r="K180" s="69">
        <v>2</v>
      </c>
      <c r="L180" s="70">
        <f>169+122</f>
        <v>291</v>
      </c>
      <c r="M180" s="70">
        <f t="shared" si="2"/>
        <v>1455</v>
      </c>
      <c r="N180" s="70">
        <f t="shared" si="3"/>
        <v>10185</v>
      </c>
      <c r="O180" s="60"/>
      <c r="P180" s="61"/>
      <c r="Q180" s="60"/>
      <c r="T180" s="5" t="s">
        <v>6</v>
      </c>
    </row>
    <row r="181" spans="2:20" ht="21" customHeight="1">
      <c r="B181" s="67" t="s">
        <v>1132</v>
      </c>
      <c r="C181" s="68">
        <v>10</v>
      </c>
      <c r="D181" s="68">
        <v>8.5</v>
      </c>
      <c r="E181" s="68">
        <v>6</v>
      </c>
      <c r="F181" s="68"/>
      <c r="G181" s="68"/>
      <c r="H181" s="68"/>
      <c r="I181" s="68"/>
      <c r="J181" s="69" t="s">
        <v>617</v>
      </c>
      <c r="K181" s="69"/>
      <c r="L181" s="70"/>
      <c r="M181" s="70"/>
      <c r="N181" s="70"/>
      <c r="O181" s="60"/>
      <c r="P181" s="61"/>
      <c r="Q181" s="60"/>
      <c r="T181" s="5" t="s">
        <v>561</v>
      </c>
    </row>
    <row r="182" spans="2:20" ht="21" customHeight="1">
      <c r="B182" s="67" t="s">
        <v>1132</v>
      </c>
      <c r="C182" s="68">
        <v>10</v>
      </c>
      <c r="D182" s="68">
        <v>8.5</v>
      </c>
      <c r="E182" s="68">
        <v>6</v>
      </c>
      <c r="F182" s="68"/>
      <c r="G182" s="68"/>
      <c r="H182" s="68"/>
      <c r="I182" s="68"/>
      <c r="J182" s="69" t="s">
        <v>617</v>
      </c>
      <c r="K182" s="69"/>
      <c r="L182" s="70"/>
      <c r="M182" s="70"/>
      <c r="N182" s="70"/>
      <c r="O182" s="60"/>
      <c r="P182" s="61"/>
      <c r="Q182" s="60"/>
      <c r="T182" s="5" t="s">
        <v>561</v>
      </c>
    </row>
    <row r="183" spans="1:20" ht="21" customHeight="1">
      <c r="A183" s="57">
        <f>A180+1</f>
        <v>95</v>
      </c>
      <c r="B183" s="67" t="s">
        <v>909</v>
      </c>
      <c r="C183" s="68">
        <v>6</v>
      </c>
      <c r="D183" s="68">
        <v>5</v>
      </c>
      <c r="E183" s="68"/>
      <c r="F183" s="68"/>
      <c r="G183" s="68"/>
      <c r="H183" s="68"/>
      <c r="I183" s="68"/>
      <c r="J183" s="112" t="s">
        <v>217</v>
      </c>
      <c r="K183" s="69">
        <v>1</v>
      </c>
      <c r="L183" s="70">
        <v>400</v>
      </c>
      <c r="M183" s="70">
        <f t="shared" si="2"/>
        <v>2000</v>
      </c>
      <c r="N183" s="70">
        <f t="shared" si="3"/>
        <v>14000</v>
      </c>
      <c r="O183" s="60"/>
      <c r="P183" s="61"/>
      <c r="Q183" s="60"/>
      <c r="T183" s="5" t="s">
        <v>937</v>
      </c>
    </row>
    <row r="184" spans="1:20" ht="21" customHeight="1">
      <c r="A184" s="57">
        <f>A183+1</f>
        <v>96</v>
      </c>
      <c r="B184" s="67" t="s">
        <v>910</v>
      </c>
      <c r="C184" s="68">
        <v>7.5</v>
      </c>
      <c r="D184" s="68">
        <v>6</v>
      </c>
      <c r="E184" s="68"/>
      <c r="F184" s="68"/>
      <c r="G184" s="68"/>
      <c r="H184" s="68"/>
      <c r="I184" s="68"/>
      <c r="J184" s="113" t="s">
        <v>218</v>
      </c>
      <c r="K184" s="80">
        <v>2</v>
      </c>
      <c r="L184" s="81">
        <f>144+43</f>
        <v>187</v>
      </c>
      <c r="M184" s="70">
        <f t="shared" si="2"/>
        <v>935</v>
      </c>
      <c r="N184" s="70">
        <f t="shared" si="3"/>
        <v>6545</v>
      </c>
      <c r="O184" s="60"/>
      <c r="P184" s="61"/>
      <c r="Q184" s="60"/>
      <c r="T184" s="5" t="s">
        <v>82</v>
      </c>
    </row>
    <row r="185" spans="2:20" ht="21" customHeight="1">
      <c r="B185" s="67" t="s">
        <v>910</v>
      </c>
      <c r="C185" s="68"/>
      <c r="D185" s="68"/>
      <c r="E185" s="68"/>
      <c r="F185" s="68"/>
      <c r="G185" s="68"/>
      <c r="H185" s="68"/>
      <c r="I185" s="68"/>
      <c r="J185" s="113" t="s">
        <v>218</v>
      </c>
      <c r="M185" s="70"/>
      <c r="N185" s="70"/>
      <c r="O185" s="60"/>
      <c r="P185" s="61"/>
      <c r="Q185" s="60"/>
      <c r="T185" s="5" t="s">
        <v>81</v>
      </c>
    </row>
    <row r="186" spans="1:20" ht="21" customHeight="1">
      <c r="A186" s="57">
        <f>A184+1</f>
        <v>97</v>
      </c>
      <c r="B186" s="67" t="s">
        <v>541</v>
      </c>
      <c r="C186" s="68">
        <v>8</v>
      </c>
      <c r="D186" s="68">
        <v>7</v>
      </c>
      <c r="E186" s="68"/>
      <c r="F186" s="68"/>
      <c r="G186" s="68"/>
      <c r="H186" s="68"/>
      <c r="I186" s="68"/>
      <c r="J186" s="69" t="s">
        <v>1084</v>
      </c>
      <c r="K186" s="69">
        <v>2</v>
      </c>
      <c r="L186" s="70">
        <f>120+65</f>
        <v>185</v>
      </c>
      <c r="M186" s="70">
        <f t="shared" si="2"/>
        <v>925</v>
      </c>
      <c r="N186" s="70">
        <f t="shared" si="3"/>
        <v>6475</v>
      </c>
      <c r="O186" s="60"/>
      <c r="P186" s="61"/>
      <c r="Q186" s="60"/>
      <c r="T186" s="5" t="s">
        <v>1079</v>
      </c>
    </row>
    <row r="187" spans="2:20" ht="21" customHeight="1">
      <c r="B187" s="67" t="s">
        <v>541</v>
      </c>
      <c r="C187" s="68"/>
      <c r="D187" s="68"/>
      <c r="E187" s="68"/>
      <c r="F187" s="68"/>
      <c r="G187" s="68"/>
      <c r="H187" s="68"/>
      <c r="I187" s="68"/>
      <c r="J187" s="69" t="s">
        <v>1084</v>
      </c>
      <c r="K187" s="69"/>
      <c r="L187" s="70"/>
      <c r="M187" s="70"/>
      <c r="N187" s="70"/>
      <c r="O187" s="60"/>
      <c r="P187" s="61"/>
      <c r="Q187" s="60"/>
      <c r="T187" s="5" t="s">
        <v>1085</v>
      </c>
    </row>
    <row r="188" spans="1:20" ht="21" customHeight="1">
      <c r="A188" s="57">
        <f>A186+1</f>
        <v>98</v>
      </c>
      <c r="B188" s="67" t="s">
        <v>406</v>
      </c>
      <c r="C188" s="68">
        <v>8</v>
      </c>
      <c r="D188" s="68">
        <v>7.5</v>
      </c>
      <c r="E188" s="68">
        <v>6</v>
      </c>
      <c r="F188" s="68"/>
      <c r="G188" s="68"/>
      <c r="H188" s="68"/>
      <c r="I188" s="68"/>
      <c r="J188" s="69" t="s">
        <v>446</v>
      </c>
      <c r="K188" s="69">
        <v>2</v>
      </c>
      <c r="L188" s="70">
        <f>195+140</f>
        <v>335</v>
      </c>
      <c r="M188" s="70">
        <f t="shared" si="2"/>
        <v>1675</v>
      </c>
      <c r="N188" s="70">
        <f t="shared" si="3"/>
        <v>11725</v>
      </c>
      <c r="O188" s="60"/>
      <c r="P188" s="61"/>
      <c r="Q188" s="60"/>
      <c r="T188" s="5" t="s">
        <v>595</v>
      </c>
    </row>
    <row r="189" spans="2:20" ht="21" customHeight="1">
      <c r="B189" s="67" t="s">
        <v>406</v>
      </c>
      <c r="C189" s="68"/>
      <c r="D189" s="68"/>
      <c r="E189" s="68"/>
      <c r="F189" s="68"/>
      <c r="G189" s="68"/>
      <c r="H189" s="68"/>
      <c r="I189" s="68"/>
      <c r="J189" s="69" t="s">
        <v>446</v>
      </c>
      <c r="K189" s="69"/>
      <c r="L189" s="70"/>
      <c r="M189" s="70"/>
      <c r="N189" s="70"/>
      <c r="O189" s="60"/>
      <c r="P189" s="61"/>
      <c r="Q189" s="60"/>
      <c r="T189" s="5" t="s">
        <v>975</v>
      </c>
    </row>
    <row r="190" spans="1:20" ht="21" customHeight="1">
      <c r="A190" s="57">
        <f>A188+1</f>
        <v>99</v>
      </c>
      <c r="B190" s="77" t="s">
        <v>351</v>
      </c>
      <c r="C190" s="68">
        <v>8</v>
      </c>
      <c r="D190" s="68">
        <v>7</v>
      </c>
      <c r="E190" s="68"/>
      <c r="F190" s="68"/>
      <c r="G190" s="68"/>
      <c r="H190" s="68"/>
      <c r="I190" s="68"/>
      <c r="J190" s="69" t="s">
        <v>582</v>
      </c>
      <c r="K190" s="69">
        <v>2</v>
      </c>
      <c r="L190" s="70">
        <f>158+158</f>
        <v>316</v>
      </c>
      <c r="M190" s="70">
        <f t="shared" si="2"/>
        <v>1580</v>
      </c>
      <c r="N190" s="70">
        <f t="shared" si="3"/>
        <v>11060</v>
      </c>
      <c r="O190" s="60"/>
      <c r="P190" s="61"/>
      <c r="Q190" s="60"/>
      <c r="T190" s="5" t="s">
        <v>957</v>
      </c>
    </row>
    <row r="191" spans="2:20" ht="21" customHeight="1">
      <c r="B191" s="77" t="s">
        <v>351</v>
      </c>
      <c r="C191" s="68"/>
      <c r="D191" s="68"/>
      <c r="E191" s="68"/>
      <c r="F191" s="68"/>
      <c r="G191" s="68"/>
      <c r="H191" s="68"/>
      <c r="I191" s="68"/>
      <c r="J191" s="69" t="s">
        <v>582</v>
      </c>
      <c r="K191" s="69"/>
      <c r="L191" s="70"/>
      <c r="M191" s="70"/>
      <c r="N191" s="70"/>
      <c r="O191" s="60"/>
      <c r="P191" s="61"/>
      <c r="Q191" s="60"/>
      <c r="T191" s="5" t="s">
        <v>551</v>
      </c>
    </row>
    <row r="192" spans="1:20" ht="21" customHeight="1">
      <c r="A192" s="57">
        <f>A190+1</f>
        <v>100</v>
      </c>
      <c r="B192" s="77" t="s">
        <v>352</v>
      </c>
      <c r="C192" s="68">
        <v>8</v>
      </c>
      <c r="D192" s="68">
        <v>7</v>
      </c>
      <c r="E192" s="68"/>
      <c r="F192" s="68"/>
      <c r="G192" s="68"/>
      <c r="H192" s="68"/>
      <c r="I192" s="68"/>
      <c r="J192" s="113" t="s">
        <v>619</v>
      </c>
      <c r="K192" s="69">
        <v>2</v>
      </c>
      <c r="L192" s="70">
        <f>237+71</f>
        <v>308</v>
      </c>
      <c r="M192" s="70">
        <f t="shared" si="2"/>
        <v>1540</v>
      </c>
      <c r="N192" s="70">
        <f t="shared" si="3"/>
        <v>10780</v>
      </c>
      <c r="O192" s="60"/>
      <c r="P192" s="61"/>
      <c r="Q192" s="60"/>
      <c r="T192" s="5" t="s">
        <v>335</v>
      </c>
    </row>
    <row r="193" spans="2:20" ht="21" customHeight="1">
      <c r="B193" s="77" t="s">
        <v>352</v>
      </c>
      <c r="C193" s="68"/>
      <c r="D193" s="68"/>
      <c r="E193" s="68"/>
      <c r="F193" s="68"/>
      <c r="G193" s="68"/>
      <c r="H193" s="68"/>
      <c r="I193" s="68"/>
      <c r="J193" s="113" t="s">
        <v>619</v>
      </c>
      <c r="K193" s="69"/>
      <c r="L193" s="70"/>
      <c r="M193" s="70"/>
      <c r="N193" s="70"/>
      <c r="O193" s="60"/>
      <c r="P193" s="61"/>
      <c r="Q193" s="60"/>
      <c r="T193" s="5" t="s">
        <v>320</v>
      </c>
    </row>
    <row r="194" spans="1:20" ht="21" customHeight="1">
      <c r="A194" s="57">
        <f>A192+1</f>
        <v>101</v>
      </c>
      <c r="B194" s="67" t="s">
        <v>477</v>
      </c>
      <c r="C194" s="68">
        <v>8</v>
      </c>
      <c r="D194" s="68">
        <v>7</v>
      </c>
      <c r="E194" s="68">
        <v>6</v>
      </c>
      <c r="F194" s="68">
        <v>5</v>
      </c>
      <c r="G194" s="68"/>
      <c r="H194" s="68"/>
      <c r="I194" s="68"/>
      <c r="J194" s="69" t="s">
        <v>447</v>
      </c>
      <c r="K194" s="69">
        <v>2</v>
      </c>
      <c r="L194" s="70">
        <f>435+135</f>
        <v>570</v>
      </c>
      <c r="M194" s="70">
        <f t="shared" si="2"/>
        <v>2850</v>
      </c>
      <c r="N194" s="70">
        <f t="shared" si="3"/>
        <v>19950</v>
      </c>
      <c r="O194" s="60"/>
      <c r="P194" s="61"/>
      <c r="Q194" s="60"/>
      <c r="T194" s="5" t="s">
        <v>933</v>
      </c>
    </row>
    <row r="195" spans="2:20" ht="21" customHeight="1">
      <c r="B195" s="67" t="s">
        <v>477</v>
      </c>
      <c r="C195" s="68"/>
      <c r="D195" s="68"/>
      <c r="E195" s="68"/>
      <c r="F195" s="68"/>
      <c r="G195" s="68"/>
      <c r="H195" s="68"/>
      <c r="I195" s="68"/>
      <c r="J195" s="69" t="s">
        <v>447</v>
      </c>
      <c r="K195" s="69"/>
      <c r="L195" s="70"/>
      <c r="M195" s="70"/>
      <c r="N195" s="70"/>
      <c r="O195" s="60"/>
      <c r="P195" s="61"/>
      <c r="Q195" s="60"/>
      <c r="T195" s="5" t="s">
        <v>934</v>
      </c>
    </row>
    <row r="196" spans="1:20" ht="21" customHeight="1">
      <c r="A196" s="57">
        <f>A194+1</f>
        <v>102</v>
      </c>
      <c r="B196" s="77" t="s">
        <v>811</v>
      </c>
      <c r="C196" s="68">
        <v>7</v>
      </c>
      <c r="D196" s="68">
        <v>6</v>
      </c>
      <c r="E196" s="68">
        <v>5</v>
      </c>
      <c r="F196" s="68"/>
      <c r="G196" s="68"/>
      <c r="H196" s="68"/>
      <c r="I196" s="68"/>
      <c r="J196" s="113" t="s">
        <v>377</v>
      </c>
      <c r="K196" s="69">
        <v>2</v>
      </c>
      <c r="L196" s="70">
        <f>141+165</f>
        <v>306</v>
      </c>
      <c r="M196" s="70">
        <f t="shared" si="2"/>
        <v>1530</v>
      </c>
      <c r="N196" s="70">
        <f t="shared" si="3"/>
        <v>10710</v>
      </c>
      <c r="O196" s="60"/>
      <c r="P196" s="61"/>
      <c r="Q196" s="60"/>
      <c r="T196" s="5" t="s">
        <v>566</v>
      </c>
    </row>
    <row r="197" spans="2:20" ht="21" customHeight="1">
      <c r="B197" s="77" t="s">
        <v>811</v>
      </c>
      <c r="C197" s="68"/>
      <c r="D197" s="68"/>
      <c r="E197" s="68"/>
      <c r="F197" s="68"/>
      <c r="G197" s="68"/>
      <c r="H197" s="68"/>
      <c r="I197" s="68"/>
      <c r="J197" s="113" t="s">
        <v>377</v>
      </c>
      <c r="K197" s="69"/>
      <c r="L197" s="70"/>
      <c r="M197" s="70"/>
      <c r="N197" s="70"/>
      <c r="O197" s="60"/>
      <c r="P197" s="61"/>
      <c r="Q197" s="60"/>
      <c r="T197" s="5" t="s">
        <v>957</v>
      </c>
    </row>
    <row r="198" spans="1:20" ht="21" customHeight="1">
      <c r="A198" s="57">
        <f>A196+1</f>
        <v>103</v>
      </c>
      <c r="B198" s="67" t="s">
        <v>529</v>
      </c>
      <c r="C198" s="68">
        <v>9</v>
      </c>
      <c r="D198" s="68">
        <v>8</v>
      </c>
      <c r="E198" s="68">
        <v>8.5</v>
      </c>
      <c r="F198" s="68">
        <v>7.5</v>
      </c>
      <c r="G198" s="68">
        <v>5</v>
      </c>
      <c r="H198" s="68"/>
      <c r="I198" s="68"/>
      <c r="J198" s="114" t="s">
        <v>620</v>
      </c>
      <c r="K198" s="69">
        <v>2</v>
      </c>
      <c r="L198" s="70">
        <f>167+170</f>
        <v>337</v>
      </c>
      <c r="M198" s="70">
        <f t="shared" si="2"/>
        <v>1685</v>
      </c>
      <c r="N198" s="70">
        <f t="shared" si="3"/>
        <v>11795</v>
      </c>
      <c r="O198" s="60"/>
      <c r="P198" s="61"/>
      <c r="Q198" s="60"/>
      <c r="T198" s="5" t="s">
        <v>42</v>
      </c>
    </row>
    <row r="199" spans="2:20" ht="21" customHeight="1">
      <c r="B199" s="67" t="s">
        <v>529</v>
      </c>
      <c r="C199" s="68"/>
      <c r="D199" s="68"/>
      <c r="E199" s="68"/>
      <c r="F199" s="68"/>
      <c r="G199" s="68"/>
      <c r="H199" s="68"/>
      <c r="I199" s="68"/>
      <c r="J199" s="114" t="s">
        <v>620</v>
      </c>
      <c r="K199" s="69"/>
      <c r="L199" s="70"/>
      <c r="M199" s="70"/>
      <c r="N199" s="70"/>
      <c r="O199" s="60"/>
      <c r="P199" s="61"/>
      <c r="Q199" s="60"/>
      <c r="T199" s="5" t="s">
        <v>596</v>
      </c>
    </row>
    <row r="200" spans="1:20" ht="21" customHeight="1">
      <c r="A200" s="57">
        <f>A198+1</f>
        <v>104</v>
      </c>
      <c r="B200" s="67" t="s">
        <v>911</v>
      </c>
      <c r="C200" s="68">
        <v>9</v>
      </c>
      <c r="D200" s="68">
        <v>8</v>
      </c>
      <c r="E200" s="68">
        <v>8.5</v>
      </c>
      <c r="F200" s="68">
        <v>7.5</v>
      </c>
      <c r="G200" s="68">
        <v>5</v>
      </c>
      <c r="H200" s="68"/>
      <c r="I200" s="68"/>
      <c r="J200" s="114" t="s">
        <v>620</v>
      </c>
      <c r="K200" s="69">
        <v>1</v>
      </c>
      <c r="L200" s="70">
        <v>190</v>
      </c>
      <c r="M200" s="70">
        <f t="shared" si="2"/>
        <v>950</v>
      </c>
      <c r="N200" s="70">
        <f t="shared" si="3"/>
        <v>6650</v>
      </c>
      <c r="O200" s="60"/>
      <c r="P200" s="61"/>
      <c r="Q200" s="60"/>
      <c r="T200" s="5" t="s">
        <v>43</v>
      </c>
    </row>
    <row r="201" spans="1:20" s="60" customFormat="1" ht="21" customHeight="1">
      <c r="A201" s="57">
        <f>A200+1</f>
        <v>105</v>
      </c>
      <c r="B201" s="67" t="s">
        <v>812</v>
      </c>
      <c r="C201" s="68">
        <v>8</v>
      </c>
      <c r="D201" s="68">
        <v>7</v>
      </c>
      <c r="E201" s="68">
        <v>6</v>
      </c>
      <c r="F201" s="68">
        <v>3</v>
      </c>
      <c r="G201" s="68"/>
      <c r="H201" s="68"/>
      <c r="I201" s="68"/>
      <c r="J201" s="69" t="s">
        <v>574</v>
      </c>
      <c r="K201" s="69">
        <v>2</v>
      </c>
      <c r="L201" s="70">
        <f>230+197</f>
        <v>427</v>
      </c>
      <c r="M201" s="70">
        <f t="shared" si="2"/>
        <v>2135</v>
      </c>
      <c r="N201" s="70">
        <f t="shared" si="3"/>
        <v>14945</v>
      </c>
      <c r="P201" s="61"/>
      <c r="T201" s="5" t="s">
        <v>937</v>
      </c>
    </row>
    <row r="202" spans="1:20" s="60" customFormat="1" ht="21" customHeight="1">
      <c r="A202" s="57"/>
      <c r="B202" s="67" t="s">
        <v>812</v>
      </c>
      <c r="C202" s="68"/>
      <c r="D202" s="68"/>
      <c r="E202" s="68"/>
      <c r="F202" s="68"/>
      <c r="G202" s="68"/>
      <c r="H202" s="68"/>
      <c r="I202" s="68"/>
      <c r="J202" s="69" t="s">
        <v>574</v>
      </c>
      <c r="K202" s="69"/>
      <c r="L202" s="70"/>
      <c r="M202" s="70"/>
      <c r="N202" s="70"/>
      <c r="P202" s="61"/>
      <c r="T202" s="5" t="s">
        <v>1100</v>
      </c>
    </row>
    <row r="203" spans="1:20" ht="21" customHeight="1">
      <c r="A203" s="57">
        <f>A201+1</f>
        <v>106</v>
      </c>
      <c r="B203" s="67" t="s">
        <v>813</v>
      </c>
      <c r="C203" s="68"/>
      <c r="D203" s="68"/>
      <c r="E203" s="68"/>
      <c r="F203" s="68"/>
      <c r="G203" s="68"/>
      <c r="H203" s="68"/>
      <c r="I203" s="68"/>
      <c r="K203" s="80">
        <v>2</v>
      </c>
      <c r="L203" s="81">
        <f>172+172</f>
        <v>344</v>
      </c>
      <c r="M203" s="70">
        <f t="shared" si="2"/>
        <v>1720</v>
      </c>
      <c r="N203" s="70">
        <f t="shared" si="3"/>
        <v>12040</v>
      </c>
      <c r="O203" s="60"/>
      <c r="P203" s="61"/>
      <c r="Q203" s="60"/>
      <c r="T203" s="5" t="s">
        <v>937</v>
      </c>
    </row>
    <row r="204" spans="2:20" ht="21" customHeight="1">
      <c r="B204" s="67" t="s">
        <v>813</v>
      </c>
      <c r="C204" s="68"/>
      <c r="D204" s="68"/>
      <c r="E204" s="68"/>
      <c r="F204" s="68"/>
      <c r="G204" s="68"/>
      <c r="H204" s="68"/>
      <c r="I204" s="68"/>
      <c r="M204" s="70"/>
      <c r="N204" s="70"/>
      <c r="O204" s="60"/>
      <c r="P204" s="61"/>
      <c r="Q204" s="60"/>
      <c r="T204" s="5" t="s">
        <v>996</v>
      </c>
    </row>
    <row r="205" spans="1:20" ht="21" customHeight="1">
      <c r="A205" s="57">
        <f>A203+1</f>
        <v>107</v>
      </c>
      <c r="B205" s="67" t="s">
        <v>510</v>
      </c>
      <c r="C205" s="68">
        <v>9</v>
      </c>
      <c r="D205" s="68">
        <v>7</v>
      </c>
      <c r="E205" s="68">
        <v>6.5</v>
      </c>
      <c r="F205" s="68"/>
      <c r="G205" s="68"/>
      <c r="H205" s="68"/>
      <c r="I205" s="68"/>
      <c r="J205" s="112" t="s">
        <v>219</v>
      </c>
      <c r="K205" s="69">
        <v>2</v>
      </c>
      <c r="L205" s="70">
        <f>194+108</f>
        <v>302</v>
      </c>
      <c r="M205" s="70">
        <f t="shared" si="2"/>
        <v>1510</v>
      </c>
      <c r="N205" s="70">
        <f t="shared" si="3"/>
        <v>10570</v>
      </c>
      <c r="O205" s="60"/>
      <c r="P205" s="61"/>
      <c r="Q205" s="60"/>
      <c r="T205" s="5" t="s">
        <v>335</v>
      </c>
    </row>
    <row r="206" spans="2:20" ht="21" customHeight="1">
      <c r="B206" s="67" t="s">
        <v>510</v>
      </c>
      <c r="C206" s="68"/>
      <c r="D206" s="68"/>
      <c r="E206" s="68"/>
      <c r="F206" s="68"/>
      <c r="G206" s="68"/>
      <c r="H206" s="68"/>
      <c r="I206" s="68"/>
      <c r="J206" s="112" t="s">
        <v>219</v>
      </c>
      <c r="K206" s="69"/>
      <c r="L206" s="70"/>
      <c r="M206" s="70"/>
      <c r="N206" s="70"/>
      <c r="O206" s="60"/>
      <c r="P206" s="61"/>
      <c r="Q206" s="60"/>
      <c r="T206" s="5" t="s">
        <v>551</v>
      </c>
    </row>
    <row r="207" spans="1:20" ht="21" customHeight="1">
      <c r="A207" s="57">
        <f>A205+1</f>
        <v>108</v>
      </c>
      <c r="B207" s="77" t="s">
        <v>814</v>
      </c>
      <c r="C207" s="68">
        <v>6</v>
      </c>
      <c r="D207" s="68">
        <v>5</v>
      </c>
      <c r="E207" s="68"/>
      <c r="F207" s="68"/>
      <c r="G207" s="68"/>
      <c r="H207" s="68"/>
      <c r="I207" s="68"/>
      <c r="J207" s="112" t="s">
        <v>220</v>
      </c>
      <c r="K207" s="69">
        <v>2</v>
      </c>
      <c r="L207" s="70">
        <f>126+124</f>
        <v>250</v>
      </c>
      <c r="M207" s="70">
        <f t="shared" si="2"/>
        <v>1250</v>
      </c>
      <c r="N207" s="70">
        <f t="shared" si="3"/>
        <v>8750</v>
      </c>
      <c r="O207" s="60"/>
      <c r="P207" s="61"/>
      <c r="Q207" s="60"/>
      <c r="T207" s="5" t="s">
        <v>335</v>
      </c>
    </row>
    <row r="208" spans="2:20" ht="21" customHeight="1">
      <c r="B208" s="77" t="s">
        <v>814</v>
      </c>
      <c r="C208" s="68"/>
      <c r="D208" s="68"/>
      <c r="E208" s="68"/>
      <c r="F208" s="68"/>
      <c r="G208" s="68"/>
      <c r="H208" s="68"/>
      <c r="I208" s="68"/>
      <c r="J208" s="112" t="s">
        <v>220</v>
      </c>
      <c r="K208" s="69"/>
      <c r="L208" s="70"/>
      <c r="M208" s="70"/>
      <c r="N208" s="70"/>
      <c r="O208" s="60"/>
      <c r="P208" s="61"/>
      <c r="Q208" s="60"/>
      <c r="T208" s="5" t="s">
        <v>966</v>
      </c>
    </row>
    <row r="209" spans="1:20" ht="21" customHeight="1">
      <c r="A209" s="57">
        <f>A207+1</f>
        <v>109</v>
      </c>
      <c r="B209" s="77" t="s">
        <v>500</v>
      </c>
      <c r="C209" s="68">
        <v>10</v>
      </c>
      <c r="D209" s="68">
        <v>8</v>
      </c>
      <c r="E209" s="68">
        <v>6</v>
      </c>
      <c r="F209" s="68"/>
      <c r="G209" s="68"/>
      <c r="H209" s="68"/>
      <c r="I209" s="68"/>
      <c r="J209" s="112" t="s">
        <v>395</v>
      </c>
      <c r="K209" s="69">
        <v>2</v>
      </c>
      <c r="L209" s="70">
        <f>200+55</f>
        <v>255</v>
      </c>
      <c r="M209" s="70">
        <f t="shared" si="2"/>
        <v>1275</v>
      </c>
      <c r="N209" s="70">
        <f t="shared" si="3"/>
        <v>8925</v>
      </c>
      <c r="T209" s="5" t="s">
        <v>335</v>
      </c>
    </row>
    <row r="210" spans="2:20" ht="21" customHeight="1">
      <c r="B210" s="77" t="s">
        <v>500</v>
      </c>
      <c r="C210" s="68"/>
      <c r="D210" s="68"/>
      <c r="E210" s="68"/>
      <c r="F210" s="68"/>
      <c r="G210" s="68"/>
      <c r="H210" s="68"/>
      <c r="I210" s="68"/>
      <c r="J210" s="112" t="s">
        <v>395</v>
      </c>
      <c r="K210" s="69"/>
      <c r="L210" s="70"/>
      <c r="M210" s="70"/>
      <c r="N210" s="70"/>
      <c r="T210" s="5" t="s">
        <v>551</v>
      </c>
    </row>
    <row r="211" spans="1:20" ht="21" customHeight="1">
      <c r="A211" s="57">
        <f>A209+1</f>
        <v>110</v>
      </c>
      <c r="B211" s="67" t="s">
        <v>912</v>
      </c>
      <c r="C211" s="68">
        <v>6</v>
      </c>
      <c r="D211" s="68">
        <v>5</v>
      </c>
      <c r="E211" s="68"/>
      <c r="F211" s="68"/>
      <c r="G211" s="68"/>
      <c r="H211" s="68"/>
      <c r="I211" s="68"/>
      <c r="J211" s="113" t="s">
        <v>221</v>
      </c>
      <c r="K211" s="69">
        <v>2</v>
      </c>
      <c r="L211" s="70">
        <f>79+57</f>
        <v>136</v>
      </c>
      <c r="M211" s="70">
        <f t="shared" si="2"/>
        <v>680</v>
      </c>
      <c r="N211" s="70">
        <f t="shared" si="3"/>
        <v>4760</v>
      </c>
      <c r="T211" s="5" t="s">
        <v>75</v>
      </c>
    </row>
    <row r="212" spans="2:20" ht="21" customHeight="1">
      <c r="B212" s="67" t="s">
        <v>912</v>
      </c>
      <c r="C212" s="68"/>
      <c r="D212" s="68"/>
      <c r="E212" s="68"/>
      <c r="F212" s="68"/>
      <c r="G212" s="68"/>
      <c r="H212" s="68"/>
      <c r="I212" s="68"/>
      <c r="J212" s="113" t="s">
        <v>221</v>
      </c>
      <c r="K212" s="69"/>
      <c r="L212" s="70"/>
      <c r="M212" s="70"/>
      <c r="N212" s="70"/>
      <c r="T212" s="5" t="s">
        <v>76</v>
      </c>
    </row>
    <row r="213" spans="1:20" ht="21" customHeight="1">
      <c r="A213" s="57">
        <f>A211+1</f>
        <v>111</v>
      </c>
      <c r="B213" s="67" t="s">
        <v>815</v>
      </c>
      <c r="C213" s="68">
        <v>10</v>
      </c>
      <c r="D213" s="68">
        <v>9</v>
      </c>
      <c r="E213" s="68">
        <v>8</v>
      </c>
      <c r="F213" s="68">
        <v>7</v>
      </c>
      <c r="G213" s="68">
        <v>6</v>
      </c>
      <c r="H213" s="68">
        <v>5</v>
      </c>
      <c r="I213" s="68"/>
      <c r="J213" s="69" t="s">
        <v>468</v>
      </c>
      <c r="K213" s="69">
        <v>2</v>
      </c>
      <c r="L213" s="70">
        <f>122+76</f>
        <v>198</v>
      </c>
      <c r="M213" s="70">
        <f t="shared" si="2"/>
        <v>990</v>
      </c>
      <c r="N213" s="70">
        <f t="shared" si="3"/>
        <v>6930</v>
      </c>
      <c r="O213" s="60"/>
      <c r="P213" s="61"/>
      <c r="Q213" s="60"/>
      <c r="T213" s="5" t="s">
        <v>952</v>
      </c>
    </row>
    <row r="214" spans="2:20" ht="21" customHeight="1">
      <c r="B214" s="67" t="s">
        <v>815</v>
      </c>
      <c r="C214" s="68"/>
      <c r="D214" s="68"/>
      <c r="E214" s="68"/>
      <c r="F214" s="68"/>
      <c r="G214" s="68"/>
      <c r="H214" s="68"/>
      <c r="I214" s="68"/>
      <c r="J214" s="69" t="s">
        <v>468</v>
      </c>
      <c r="K214" s="69"/>
      <c r="L214" s="70"/>
      <c r="M214" s="70"/>
      <c r="N214" s="70"/>
      <c r="O214" s="60"/>
      <c r="P214" s="61"/>
      <c r="Q214" s="60"/>
      <c r="T214" s="5" t="s">
        <v>953</v>
      </c>
    </row>
    <row r="215" spans="1:20" ht="21" customHeight="1">
      <c r="A215" s="57">
        <f>A213+1</f>
        <v>112</v>
      </c>
      <c r="B215" s="67" t="s">
        <v>388</v>
      </c>
      <c r="C215" s="68">
        <v>7</v>
      </c>
      <c r="D215" s="68">
        <v>5</v>
      </c>
      <c r="E215" s="68"/>
      <c r="F215" s="68"/>
      <c r="G215" s="68"/>
      <c r="H215" s="68"/>
      <c r="I215" s="68"/>
      <c r="J215" s="112" t="s">
        <v>378</v>
      </c>
      <c r="K215" s="69">
        <v>2</v>
      </c>
      <c r="L215" s="70">
        <f>224+90</f>
        <v>314</v>
      </c>
      <c r="M215" s="70">
        <f t="shared" si="2"/>
        <v>1570</v>
      </c>
      <c r="N215" s="70">
        <f t="shared" si="3"/>
        <v>10990</v>
      </c>
      <c r="O215" s="60"/>
      <c r="P215" s="61"/>
      <c r="Q215" s="60"/>
      <c r="T215" s="5" t="s">
        <v>941</v>
      </c>
    </row>
    <row r="216" spans="2:20" ht="21" customHeight="1">
      <c r="B216" s="67" t="s">
        <v>388</v>
      </c>
      <c r="C216" s="68"/>
      <c r="D216" s="68"/>
      <c r="E216" s="68"/>
      <c r="F216" s="68"/>
      <c r="G216" s="68"/>
      <c r="H216" s="68"/>
      <c r="I216" s="68"/>
      <c r="J216" s="112" t="s">
        <v>378</v>
      </c>
      <c r="K216" s="69"/>
      <c r="L216" s="70"/>
      <c r="M216" s="70"/>
      <c r="N216" s="70"/>
      <c r="O216" s="60"/>
      <c r="P216" s="61"/>
      <c r="Q216" s="60"/>
      <c r="T216" s="5" t="s">
        <v>936</v>
      </c>
    </row>
    <row r="217" spans="2:20" ht="21" customHeight="1">
      <c r="B217" s="67" t="s">
        <v>388</v>
      </c>
      <c r="C217" s="68"/>
      <c r="D217" s="68"/>
      <c r="E217" s="68"/>
      <c r="F217" s="68"/>
      <c r="G217" s="68"/>
      <c r="H217" s="68"/>
      <c r="I217" s="68"/>
      <c r="J217" s="112" t="s">
        <v>378</v>
      </c>
      <c r="K217" s="69"/>
      <c r="L217" s="70"/>
      <c r="M217" s="70"/>
      <c r="N217" s="70"/>
      <c r="O217" s="60"/>
      <c r="P217" s="61"/>
      <c r="Q217" s="60"/>
      <c r="T217" s="5" t="s">
        <v>984</v>
      </c>
    </row>
    <row r="218" spans="1:20" ht="21" customHeight="1">
      <c r="A218" s="57">
        <f>A215+1</f>
        <v>113</v>
      </c>
      <c r="B218" s="77" t="s">
        <v>409</v>
      </c>
      <c r="C218" s="68">
        <v>8</v>
      </c>
      <c r="D218" s="68">
        <v>7</v>
      </c>
      <c r="E218" s="68"/>
      <c r="F218" s="68"/>
      <c r="G218" s="68"/>
      <c r="H218" s="68"/>
      <c r="I218" s="68"/>
      <c r="J218" s="113" t="s">
        <v>448</v>
      </c>
      <c r="K218" s="69">
        <v>2</v>
      </c>
      <c r="L218" s="70">
        <f>200+100</f>
        <v>300</v>
      </c>
      <c r="M218" s="70">
        <f t="shared" si="2"/>
        <v>1500</v>
      </c>
      <c r="N218" s="70">
        <f t="shared" si="3"/>
        <v>10500</v>
      </c>
      <c r="O218" s="60"/>
      <c r="P218" s="61"/>
      <c r="Q218" s="60"/>
      <c r="T218" s="5" t="s">
        <v>994</v>
      </c>
    </row>
    <row r="219" spans="2:20" ht="21" customHeight="1">
      <c r="B219" s="77" t="s">
        <v>409</v>
      </c>
      <c r="C219" s="68"/>
      <c r="D219" s="68"/>
      <c r="E219" s="68"/>
      <c r="F219" s="68"/>
      <c r="G219" s="68"/>
      <c r="H219" s="68"/>
      <c r="I219" s="68"/>
      <c r="J219" s="113" t="s">
        <v>448</v>
      </c>
      <c r="K219" s="69"/>
      <c r="L219" s="70"/>
      <c r="M219" s="70"/>
      <c r="N219" s="70"/>
      <c r="O219" s="60"/>
      <c r="P219" s="61"/>
      <c r="Q219" s="60"/>
      <c r="T219" s="5" t="s">
        <v>996</v>
      </c>
    </row>
    <row r="220" spans="1:20" ht="21" customHeight="1">
      <c r="A220" s="57">
        <f>A218+1</f>
        <v>114</v>
      </c>
      <c r="B220" s="67" t="s">
        <v>913</v>
      </c>
      <c r="C220" s="68">
        <v>8</v>
      </c>
      <c r="D220" s="68">
        <v>6</v>
      </c>
      <c r="E220" s="68">
        <v>5</v>
      </c>
      <c r="F220" s="68"/>
      <c r="G220" s="68"/>
      <c r="H220" s="68"/>
      <c r="I220" s="68"/>
      <c r="J220" s="112" t="s">
        <v>222</v>
      </c>
      <c r="K220" s="69">
        <v>2</v>
      </c>
      <c r="L220" s="70">
        <f>118+88</f>
        <v>206</v>
      </c>
      <c r="M220" s="70">
        <f t="shared" si="2"/>
        <v>1030</v>
      </c>
      <c r="N220" s="70">
        <f t="shared" si="3"/>
        <v>7210</v>
      </c>
      <c r="O220" s="60"/>
      <c r="P220" s="61"/>
      <c r="Q220" s="60"/>
      <c r="T220" s="5" t="s">
        <v>335</v>
      </c>
    </row>
    <row r="221" spans="2:20" ht="21" customHeight="1">
      <c r="B221" s="67" t="s">
        <v>913</v>
      </c>
      <c r="C221" s="68"/>
      <c r="D221" s="68"/>
      <c r="E221" s="68"/>
      <c r="F221" s="68"/>
      <c r="G221" s="68"/>
      <c r="H221" s="68"/>
      <c r="I221" s="68"/>
      <c r="J221" s="112" t="s">
        <v>222</v>
      </c>
      <c r="K221" s="69"/>
      <c r="L221" s="70"/>
      <c r="M221" s="70"/>
      <c r="N221" s="70"/>
      <c r="O221" s="60"/>
      <c r="P221" s="61"/>
      <c r="Q221" s="60"/>
      <c r="T221" s="5" t="s">
        <v>320</v>
      </c>
    </row>
    <row r="222" spans="1:20" ht="21" customHeight="1">
      <c r="A222" s="57">
        <f>A220+1</f>
        <v>115</v>
      </c>
      <c r="B222" s="77" t="s">
        <v>1014</v>
      </c>
      <c r="C222" s="68">
        <v>7</v>
      </c>
      <c r="D222" s="68">
        <v>6</v>
      </c>
      <c r="E222" s="68"/>
      <c r="F222" s="68"/>
      <c r="G222" s="68"/>
      <c r="H222" s="68"/>
      <c r="I222" s="68"/>
      <c r="J222" s="113" t="s">
        <v>1016</v>
      </c>
      <c r="K222" s="69">
        <v>2</v>
      </c>
      <c r="L222" s="70">
        <f>219+179</f>
        <v>398</v>
      </c>
      <c r="M222" s="70">
        <f t="shared" si="2"/>
        <v>1990</v>
      </c>
      <c r="N222" s="70">
        <f t="shared" si="3"/>
        <v>13930</v>
      </c>
      <c r="O222" s="60"/>
      <c r="P222" s="61"/>
      <c r="Q222" s="60"/>
      <c r="T222" s="5" t="s">
        <v>551</v>
      </c>
    </row>
    <row r="223" spans="2:20" ht="21" customHeight="1">
      <c r="B223" s="77" t="s">
        <v>692</v>
      </c>
      <c r="C223" s="68"/>
      <c r="D223" s="68"/>
      <c r="E223" s="68"/>
      <c r="F223" s="68"/>
      <c r="G223" s="68"/>
      <c r="H223" s="68"/>
      <c r="I223" s="68"/>
      <c r="J223" s="113" t="s">
        <v>704</v>
      </c>
      <c r="K223" s="69"/>
      <c r="L223" s="70"/>
      <c r="M223" s="70"/>
      <c r="N223" s="70"/>
      <c r="O223" s="60"/>
      <c r="P223" s="61"/>
      <c r="Q223" s="60"/>
      <c r="T223" s="5" t="s">
        <v>957</v>
      </c>
    </row>
    <row r="224" spans="1:20" ht="21" customHeight="1">
      <c r="A224" s="57">
        <f>A222+1</f>
        <v>116</v>
      </c>
      <c r="B224" s="67" t="s">
        <v>532</v>
      </c>
      <c r="C224" s="68">
        <v>9</v>
      </c>
      <c r="D224" s="68">
        <v>8</v>
      </c>
      <c r="E224" s="68">
        <v>7</v>
      </c>
      <c r="F224" s="68">
        <v>6</v>
      </c>
      <c r="G224" s="68">
        <v>5</v>
      </c>
      <c r="H224" s="68"/>
      <c r="I224" s="68"/>
      <c r="J224" s="69" t="s">
        <v>623</v>
      </c>
      <c r="K224" s="69">
        <v>2</v>
      </c>
      <c r="L224" s="70">
        <f>333+182</f>
        <v>515</v>
      </c>
      <c r="M224" s="70">
        <f t="shared" si="2"/>
        <v>2575</v>
      </c>
      <c r="N224" s="70">
        <f t="shared" si="3"/>
        <v>18025</v>
      </c>
      <c r="O224" s="60"/>
      <c r="P224" s="61"/>
      <c r="Q224" s="60"/>
      <c r="T224" s="5" t="s">
        <v>54</v>
      </c>
    </row>
    <row r="225" spans="2:20" ht="21" customHeight="1">
      <c r="B225" s="67" t="s">
        <v>532</v>
      </c>
      <c r="C225" s="68"/>
      <c r="D225" s="68"/>
      <c r="E225" s="68"/>
      <c r="F225" s="68"/>
      <c r="G225" s="68"/>
      <c r="H225" s="68"/>
      <c r="I225" s="68"/>
      <c r="J225" s="69" t="s">
        <v>623</v>
      </c>
      <c r="K225" s="69"/>
      <c r="L225" s="70"/>
      <c r="M225" s="70"/>
      <c r="N225" s="70"/>
      <c r="O225" s="60"/>
      <c r="P225" s="61"/>
      <c r="Q225" s="60"/>
      <c r="T225" s="5" t="s">
        <v>30</v>
      </c>
    </row>
    <row r="226" spans="1:20" ht="21" customHeight="1">
      <c r="A226" s="57">
        <f>A224+1</f>
        <v>117</v>
      </c>
      <c r="B226" s="67" t="s">
        <v>532</v>
      </c>
      <c r="C226" s="68">
        <v>9</v>
      </c>
      <c r="D226" s="68">
        <v>8</v>
      </c>
      <c r="E226" s="68">
        <v>7</v>
      </c>
      <c r="F226" s="68">
        <v>6</v>
      </c>
      <c r="G226" s="68">
        <v>5</v>
      </c>
      <c r="H226" s="68"/>
      <c r="I226" s="68"/>
      <c r="J226" s="69" t="s">
        <v>623</v>
      </c>
      <c r="K226" s="69">
        <v>2</v>
      </c>
      <c r="L226" s="69">
        <f>113+124</f>
        <v>237</v>
      </c>
      <c r="M226" s="70">
        <f t="shared" si="2"/>
        <v>1185</v>
      </c>
      <c r="N226" s="70">
        <f t="shared" si="3"/>
        <v>8295</v>
      </c>
      <c r="O226" s="60"/>
      <c r="P226" s="61"/>
      <c r="Q226" s="60"/>
      <c r="T226" s="5" t="s">
        <v>11</v>
      </c>
    </row>
    <row r="227" spans="2:20" ht="21" customHeight="1">
      <c r="B227" s="67" t="s">
        <v>532</v>
      </c>
      <c r="C227" s="68"/>
      <c r="D227" s="68"/>
      <c r="E227" s="68"/>
      <c r="F227" s="68"/>
      <c r="G227" s="68"/>
      <c r="H227" s="68"/>
      <c r="I227" s="68"/>
      <c r="J227" s="69" t="s">
        <v>623</v>
      </c>
      <c r="K227" s="69"/>
      <c r="L227" s="69"/>
      <c r="M227" s="70"/>
      <c r="N227" s="70"/>
      <c r="O227" s="60"/>
      <c r="P227" s="61"/>
      <c r="Q227" s="60"/>
      <c r="T227" s="5" t="s">
        <v>55</v>
      </c>
    </row>
    <row r="228" spans="1:20" ht="21" customHeight="1">
      <c r="A228" s="57">
        <f>A226+1</f>
        <v>118</v>
      </c>
      <c r="B228" s="67" t="s">
        <v>816</v>
      </c>
      <c r="C228" s="68">
        <v>7</v>
      </c>
      <c r="D228" s="68">
        <v>6</v>
      </c>
      <c r="E228" s="68"/>
      <c r="F228" s="68"/>
      <c r="G228" s="68"/>
      <c r="H228" s="68"/>
      <c r="I228" s="68"/>
      <c r="J228" s="113" t="s">
        <v>449</v>
      </c>
      <c r="K228" s="69">
        <v>2</v>
      </c>
      <c r="L228" s="70">
        <f>624+76</f>
        <v>700</v>
      </c>
      <c r="M228" s="70">
        <f t="shared" si="2"/>
        <v>3500</v>
      </c>
      <c r="N228" s="70">
        <f t="shared" si="3"/>
        <v>24500</v>
      </c>
      <c r="O228" s="60"/>
      <c r="P228" s="61"/>
      <c r="Q228" s="60"/>
      <c r="T228" s="5" t="s">
        <v>335</v>
      </c>
    </row>
    <row r="229" spans="2:20" ht="21" customHeight="1">
      <c r="B229" s="67" t="s">
        <v>816</v>
      </c>
      <c r="C229" s="68"/>
      <c r="D229" s="68"/>
      <c r="E229" s="68"/>
      <c r="F229" s="68"/>
      <c r="G229" s="68"/>
      <c r="H229" s="68"/>
      <c r="I229" s="68"/>
      <c r="J229" s="113" t="s">
        <v>449</v>
      </c>
      <c r="K229" s="69"/>
      <c r="L229" s="70"/>
      <c r="M229" s="70"/>
      <c r="N229" s="70"/>
      <c r="O229" s="60"/>
      <c r="P229" s="61"/>
      <c r="Q229" s="60"/>
      <c r="T229" s="5" t="s">
        <v>320</v>
      </c>
    </row>
    <row r="230" spans="1:20" ht="21" customHeight="1">
      <c r="A230" s="57">
        <f>A228+1</f>
        <v>119</v>
      </c>
      <c r="B230" s="67" t="s">
        <v>539</v>
      </c>
      <c r="C230" s="68">
        <v>11</v>
      </c>
      <c r="D230" s="68">
        <v>10</v>
      </c>
      <c r="E230" s="68">
        <v>9</v>
      </c>
      <c r="F230" s="68">
        <v>5</v>
      </c>
      <c r="G230" s="68"/>
      <c r="H230" s="68"/>
      <c r="I230" s="68"/>
      <c r="J230" s="112" t="s">
        <v>624</v>
      </c>
      <c r="K230" s="69">
        <v>2</v>
      </c>
      <c r="L230" s="70">
        <f>350+188</f>
        <v>538</v>
      </c>
      <c r="M230" s="70">
        <f t="shared" si="2"/>
        <v>2690</v>
      </c>
      <c r="N230" s="70">
        <f t="shared" si="3"/>
        <v>18830</v>
      </c>
      <c r="O230" s="60"/>
      <c r="P230" s="61"/>
      <c r="Q230" s="60"/>
      <c r="T230" s="5" t="s">
        <v>596</v>
      </c>
    </row>
    <row r="231" spans="2:20" ht="21" customHeight="1">
      <c r="B231" s="67" t="s">
        <v>539</v>
      </c>
      <c r="C231" s="68"/>
      <c r="D231" s="68"/>
      <c r="E231" s="68"/>
      <c r="F231" s="68"/>
      <c r="G231" s="68"/>
      <c r="H231" s="68"/>
      <c r="I231" s="68"/>
      <c r="J231" s="112" t="s">
        <v>624</v>
      </c>
      <c r="K231" s="69"/>
      <c r="L231" s="70"/>
      <c r="M231" s="70"/>
      <c r="N231" s="70"/>
      <c r="O231" s="60"/>
      <c r="P231" s="61"/>
      <c r="Q231" s="60"/>
      <c r="T231" s="5" t="s">
        <v>947</v>
      </c>
    </row>
    <row r="232" spans="1:20" ht="21" customHeight="1">
      <c r="A232" s="57">
        <f>A230+1</f>
        <v>120</v>
      </c>
      <c r="B232" s="67" t="s">
        <v>539</v>
      </c>
      <c r="C232" s="68">
        <v>11</v>
      </c>
      <c r="D232" s="68">
        <v>10</v>
      </c>
      <c r="E232" s="68">
        <v>9</v>
      </c>
      <c r="F232" s="68">
        <v>5</v>
      </c>
      <c r="G232" s="68"/>
      <c r="H232" s="68"/>
      <c r="I232" s="68"/>
      <c r="J232" s="112" t="s">
        <v>624</v>
      </c>
      <c r="K232" s="69">
        <v>2</v>
      </c>
      <c r="L232" s="70">
        <f>296+66</f>
        <v>362</v>
      </c>
      <c r="M232" s="70">
        <f t="shared" si="2"/>
        <v>1810</v>
      </c>
      <c r="N232" s="70">
        <f t="shared" si="3"/>
        <v>12670</v>
      </c>
      <c r="O232" s="60"/>
      <c r="P232" s="61"/>
      <c r="Q232" s="60"/>
      <c r="T232" s="5" t="s">
        <v>33</v>
      </c>
    </row>
    <row r="233" spans="2:20" ht="21" customHeight="1">
      <c r="B233" s="67" t="s">
        <v>539</v>
      </c>
      <c r="C233" s="68"/>
      <c r="D233" s="68"/>
      <c r="E233" s="68"/>
      <c r="F233" s="68"/>
      <c r="G233" s="68"/>
      <c r="H233" s="68"/>
      <c r="I233" s="68"/>
      <c r="J233" s="112" t="s">
        <v>624</v>
      </c>
      <c r="K233" s="69"/>
      <c r="L233" s="70"/>
      <c r="M233" s="70"/>
      <c r="N233" s="70"/>
      <c r="O233" s="60"/>
      <c r="P233" s="61"/>
      <c r="Q233" s="60"/>
      <c r="T233" s="5" t="s">
        <v>34</v>
      </c>
    </row>
    <row r="234" spans="1:20" ht="21" customHeight="1">
      <c r="A234" s="57">
        <f>A232+1</f>
        <v>121</v>
      </c>
      <c r="B234" s="67" t="s">
        <v>110</v>
      </c>
      <c r="C234" s="68">
        <v>8</v>
      </c>
      <c r="D234" s="68">
        <v>6.5</v>
      </c>
      <c r="E234" s="68">
        <v>6</v>
      </c>
      <c r="F234" s="68"/>
      <c r="G234" s="68"/>
      <c r="H234" s="68"/>
      <c r="I234" s="68"/>
      <c r="J234" s="69" t="s">
        <v>109</v>
      </c>
      <c r="K234" s="69">
        <v>1</v>
      </c>
      <c r="L234" s="70">
        <f>420</f>
        <v>420</v>
      </c>
      <c r="M234" s="70">
        <f t="shared" si="2"/>
        <v>2100</v>
      </c>
      <c r="N234" s="70">
        <f t="shared" si="3"/>
        <v>14700</v>
      </c>
      <c r="O234" s="87"/>
      <c r="P234" s="88"/>
      <c r="Q234" s="87"/>
      <c r="T234" s="5" t="s">
        <v>111</v>
      </c>
    </row>
    <row r="235" spans="1:20" ht="21" customHeight="1">
      <c r="A235" s="57">
        <f>A234+1</f>
        <v>122</v>
      </c>
      <c r="B235" s="67" t="s">
        <v>1133</v>
      </c>
      <c r="C235" s="68">
        <v>9.5</v>
      </c>
      <c r="D235" s="68">
        <v>7.5</v>
      </c>
      <c r="E235" s="68">
        <v>6.5</v>
      </c>
      <c r="F235" s="68"/>
      <c r="G235" s="68"/>
      <c r="H235" s="68"/>
      <c r="I235" s="68"/>
      <c r="J235" s="69" t="s">
        <v>625</v>
      </c>
      <c r="K235" s="69">
        <v>2</v>
      </c>
      <c r="L235" s="70">
        <f>189+122</f>
        <v>311</v>
      </c>
      <c r="M235" s="70">
        <f t="shared" si="2"/>
        <v>1555</v>
      </c>
      <c r="N235" s="70">
        <f t="shared" si="3"/>
        <v>10885</v>
      </c>
      <c r="O235" s="60"/>
      <c r="P235" s="61"/>
      <c r="Q235" s="60"/>
      <c r="T235" s="5" t="s">
        <v>6</v>
      </c>
    </row>
    <row r="236" spans="2:20" ht="21" customHeight="1">
      <c r="B236" s="67" t="s">
        <v>1133</v>
      </c>
      <c r="C236" s="68">
        <v>9.5</v>
      </c>
      <c r="D236" s="68">
        <v>7.5</v>
      </c>
      <c r="E236" s="68">
        <v>6.5</v>
      </c>
      <c r="F236" s="68"/>
      <c r="G236" s="68"/>
      <c r="H236" s="68"/>
      <c r="I236" s="68"/>
      <c r="J236" s="69" t="s">
        <v>625</v>
      </c>
      <c r="K236" s="69"/>
      <c r="L236" s="70"/>
      <c r="M236" s="70"/>
      <c r="N236" s="70"/>
      <c r="O236" s="60"/>
      <c r="P236" s="61"/>
      <c r="Q236" s="60"/>
      <c r="T236" s="5" t="s">
        <v>6</v>
      </c>
    </row>
    <row r="237" spans="2:20" ht="21" customHeight="1">
      <c r="B237" s="67" t="s">
        <v>1133</v>
      </c>
      <c r="C237" s="68">
        <v>9.5</v>
      </c>
      <c r="D237" s="68">
        <v>7.5</v>
      </c>
      <c r="E237" s="68">
        <v>6.5</v>
      </c>
      <c r="F237" s="68"/>
      <c r="G237" s="68"/>
      <c r="H237" s="68"/>
      <c r="I237" s="68"/>
      <c r="J237" s="69" t="s">
        <v>625</v>
      </c>
      <c r="K237" s="69"/>
      <c r="L237" s="70"/>
      <c r="M237" s="70"/>
      <c r="N237" s="70"/>
      <c r="O237" s="60"/>
      <c r="P237" s="61"/>
      <c r="Q237" s="60"/>
      <c r="T237" s="5" t="s">
        <v>561</v>
      </c>
    </row>
    <row r="238" spans="1:20" ht="21" customHeight="1">
      <c r="A238" s="57">
        <f>A235+1</f>
        <v>123</v>
      </c>
      <c r="B238" s="67" t="s">
        <v>526</v>
      </c>
      <c r="C238" s="68">
        <v>9</v>
      </c>
      <c r="D238" s="68">
        <v>7</v>
      </c>
      <c r="E238" s="68">
        <v>8</v>
      </c>
      <c r="F238" s="68">
        <v>6</v>
      </c>
      <c r="G238" s="68">
        <v>5</v>
      </c>
      <c r="H238" s="68"/>
      <c r="I238" s="68"/>
      <c r="J238" s="112" t="s">
        <v>626</v>
      </c>
      <c r="K238" s="69">
        <v>2</v>
      </c>
      <c r="L238" s="70">
        <f>160+161+258</f>
        <v>579</v>
      </c>
      <c r="M238" s="70">
        <f t="shared" si="2"/>
        <v>2895</v>
      </c>
      <c r="N238" s="70">
        <f t="shared" si="3"/>
        <v>20265</v>
      </c>
      <c r="O238" s="60"/>
      <c r="P238" s="61"/>
      <c r="Q238" s="60"/>
      <c r="T238" s="5" t="s">
        <v>973</v>
      </c>
    </row>
    <row r="239" spans="2:20" ht="21" customHeight="1">
      <c r="B239" s="67" t="s">
        <v>526</v>
      </c>
      <c r="C239" s="68">
        <v>9</v>
      </c>
      <c r="D239" s="68">
        <v>7</v>
      </c>
      <c r="E239" s="68">
        <v>8</v>
      </c>
      <c r="F239" s="68">
        <v>6</v>
      </c>
      <c r="G239" s="68">
        <v>5</v>
      </c>
      <c r="H239" s="68"/>
      <c r="I239" s="68"/>
      <c r="J239" s="112" t="s">
        <v>626</v>
      </c>
      <c r="K239" s="69">
        <v>2</v>
      </c>
      <c r="L239" s="70">
        <f>160+161+258</f>
        <v>579</v>
      </c>
      <c r="M239" s="70">
        <f t="shared" si="2"/>
        <v>2895</v>
      </c>
      <c r="N239" s="70">
        <f t="shared" si="3"/>
        <v>20265</v>
      </c>
      <c r="O239" s="60"/>
      <c r="P239" s="61"/>
      <c r="Q239" s="60"/>
      <c r="T239" s="5" t="s">
        <v>24</v>
      </c>
    </row>
    <row r="240" spans="2:20" ht="21" customHeight="1">
      <c r="B240" s="67" t="s">
        <v>526</v>
      </c>
      <c r="C240" s="68"/>
      <c r="D240" s="68"/>
      <c r="E240" s="68"/>
      <c r="F240" s="68"/>
      <c r="G240" s="68"/>
      <c r="H240" s="68"/>
      <c r="I240" s="68"/>
      <c r="J240" s="112" t="s">
        <v>626</v>
      </c>
      <c r="K240" s="69"/>
      <c r="L240" s="70"/>
      <c r="M240" s="70"/>
      <c r="N240" s="70"/>
      <c r="O240" s="60"/>
      <c r="P240" s="61"/>
      <c r="Q240" s="60"/>
      <c r="T240" s="5" t="s">
        <v>596</v>
      </c>
    </row>
    <row r="241" spans="1:20" ht="21" customHeight="1">
      <c r="A241" s="57">
        <f>A238+1</f>
        <v>124</v>
      </c>
      <c r="B241" s="67" t="s">
        <v>410</v>
      </c>
      <c r="C241" s="68">
        <v>10</v>
      </c>
      <c r="D241" s="68">
        <v>8.5</v>
      </c>
      <c r="E241" s="68">
        <v>7.5</v>
      </c>
      <c r="F241" s="68"/>
      <c r="G241" s="68"/>
      <c r="H241" s="68"/>
      <c r="I241" s="68"/>
      <c r="J241" s="69" t="s">
        <v>442</v>
      </c>
      <c r="K241" s="69">
        <v>2</v>
      </c>
      <c r="L241" s="70">
        <f>420+160</f>
        <v>580</v>
      </c>
      <c r="M241" s="70">
        <f t="shared" si="2"/>
        <v>2900</v>
      </c>
      <c r="N241" s="70">
        <f t="shared" si="3"/>
        <v>20300</v>
      </c>
      <c r="O241" s="60"/>
      <c r="P241" s="61"/>
      <c r="Q241" s="60"/>
      <c r="T241" s="5" t="s">
        <v>112</v>
      </c>
    </row>
    <row r="242" spans="2:20" ht="21" customHeight="1">
      <c r="B242" s="67" t="s">
        <v>410</v>
      </c>
      <c r="C242" s="68"/>
      <c r="D242" s="68"/>
      <c r="E242" s="68"/>
      <c r="F242" s="68"/>
      <c r="G242" s="68"/>
      <c r="H242" s="68"/>
      <c r="I242" s="68"/>
      <c r="J242" s="69" t="s">
        <v>442</v>
      </c>
      <c r="K242" s="69"/>
      <c r="L242" s="70"/>
      <c r="M242" s="70"/>
      <c r="N242" s="70"/>
      <c r="O242" s="60"/>
      <c r="P242" s="61"/>
      <c r="Q242" s="60"/>
      <c r="T242" s="5" t="s">
        <v>113</v>
      </c>
    </row>
    <row r="243" spans="2:20" ht="21" customHeight="1">
      <c r="B243" s="67" t="s">
        <v>410</v>
      </c>
      <c r="C243" s="68"/>
      <c r="D243" s="68"/>
      <c r="E243" s="68"/>
      <c r="F243" s="68"/>
      <c r="G243" s="68"/>
      <c r="H243" s="68"/>
      <c r="I243" s="68"/>
      <c r="J243" s="69" t="s">
        <v>442</v>
      </c>
      <c r="K243" s="69"/>
      <c r="L243" s="70"/>
      <c r="M243" s="70"/>
      <c r="N243" s="70"/>
      <c r="O243" s="60"/>
      <c r="P243" s="61"/>
      <c r="Q243" s="60"/>
      <c r="T243" s="5" t="s">
        <v>114</v>
      </c>
    </row>
    <row r="244" spans="1:20" ht="21" customHeight="1">
      <c r="A244" s="57">
        <f>A241+1</f>
        <v>125</v>
      </c>
      <c r="B244" s="67" t="s">
        <v>411</v>
      </c>
      <c r="C244" s="68">
        <v>9</v>
      </c>
      <c r="D244" s="68">
        <v>7</v>
      </c>
      <c r="E244" s="68"/>
      <c r="F244" s="68"/>
      <c r="G244" s="68"/>
      <c r="H244" s="68"/>
      <c r="I244" s="68"/>
      <c r="J244" s="112" t="s">
        <v>450</v>
      </c>
      <c r="K244" s="69">
        <v>2</v>
      </c>
      <c r="L244" s="70">
        <f>111+61</f>
        <v>172</v>
      </c>
      <c r="M244" s="70">
        <f t="shared" si="2"/>
        <v>860</v>
      </c>
      <c r="N244" s="70">
        <f t="shared" si="3"/>
        <v>6020</v>
      </c>
      <c r="O244" s="60"/>
      <c r="P244" s="61"/>
      <c r="Q244" s="60"/>
      <c r="T244" s="5" t="s">
        <v>335</v>
      </c>
    </row>
    <row r="245" spans="2:20" ht="21" customHeight="1">
      <c r="B245" s="67" t="s">
        <v>411</v>
      </c>
      <c r="C245" s="68"/>
      <c r="D245" s="68"/>
      <c r="E245" s="68"/>
      <c r="F245" s="68"/>
      <c r="G245" s="68"/>
      <c r="H245" s="68"/>
      <c r="I245" s="68"/>
      <c r="J245" s="112" t="s">
        <v>450</v>
      </c>
      <c r="K245" s="69"/>
      <c r="L245" s="70"/>
      <c r="M245" s="70"/>
      <c r="N245" s="70"/>
      <c r="O245" s="60"/>
      <c r="P245" s="61"/>
      <c r="Q245" s="60"/>
      <c r="T245" s="5" t="s">
        <v>1050</v>
      </c>
    </row>
    <row r="246" spans="1:20" ht="21" customHeight="1">
      <c r="A246" s="57">
        <f>A244+1</f>
        <v>126</v>
      </c>
      <c r="B246" s="67" t="s">
        <v>914</v>
      </c>
      <c r="C246" s="68">
        <v>6</v>
      </c>
      <c r="D246" s="68"/>
      <c r="E246" s="68"/>
      <c r="F246" s="68"/>
      <c r="G246" s="68"/>
      <c r="H246" s="68"/>
      <c r="I246" s="68"/>
      <c r="J246" s="112" t="s">
        <v>389</v>
      </c>
      <c r="K246" s="69">
        <v>2</v>
      </c>
      <c r="L246" s="70">
        <f>81+80</f>
        <v>161</v>
      </c>
      <c r="M246" s="70">
        <f t="shared" si="2"/>
        <v>805</v>
      </c>
      <c r="N246" s="70">
        <f t="shared" si="3"/>
        <v>5635</v>
      </c>
      <c r="O246" s="60"/>
      <c r="P246" s="61"/>
      <c r="Q246" s="60"/>
      <c r="T246" s="5" t="s">
        <v>390</v>
      </c>
    </row>
    <row r="247" spans="2:20" ht="21" customHeight="1">
      <c r="B247" s="67" t="s">
        <v>914</v>
      </c>
      <c r="C247" s="68">
        <v>6</v>
      </c>
      <c r="D247" s="68"/>
      <c r="E247" s="68"/>
      <c r="F247" s="68"/>
      <c r="G247" s="68"/>
      <c r="H247" s="68"/>
      <c r="I247" s="68"/>
      <c r="J247" s="112" t="s">
        <v>389</v>
      </c>
      <c r="K247" s="69"/>
      <c r="L247" s="70"/>
      <c r="M247" s="70"/>
      <c r="N247" s="70"/>
      <c r="O247" s="60"/>
      <c r="P247" s="61"/>
      <c r="Q247" s="60"/>
      <c r="T247" s="5" t="s">
        <v>478</v>
      </c>
    </row>
    <row r="248" spans="1:20" ht="21" customHeight="1">
      <c r="A248" s="57">
        <f>A246+1</f>
        <v>127</v>
      </c>
      <c r="B248" s="77" t="s">
        <v>434</v>
      </c>
      <c r="C248" s="68">
        <v>9</v>
      </c>
      <c r="D248" s="68">
        <v>8</v>
      </c>
      <c r="E248" s="68">
        <v>7</v>
      </c>
      <c r="F248" s="68"/>
      <c r="G248" s="68"/>
      <c r="H248" s="68"/>
      <c r="I248" s="68"/>
      <c r="J248" s="112" t="s">
        <v>223</v>
      </c>
      <c r="K248" s="69">
        <v>2</v>
      </c>
      <c r="L248" s="70">
        <f>238+216</f>
        <v>454</v>
      </c>
      <c r="M248" s="70">
        <f t="shared" si="2"/>
        <v>2270</v>
      </c>
      <c r="N248" s="70">
        <f t="shared" si="3"/>
        <v>15890</v>
      </c>
      <c r="T248" s="5" t="s">
        <v>335</v>
      </c>
    </row>
    <row r="249" spans="2:20" ht="21" customHeight="1">
      <c r="B249" s="77" t="s">
        <v>434</v>
      </c>
      <c r="C249" s="68"/>
      <c r="D249" s="68"/>
      <c r="E249" s="68"/>
      <c r="F249" s="68"/>
      <c r="G249" s="68"/>
      <c r="H249" s="68"/>
      <c r="I249" s="68"/>
      <c r="J249" s="112" t="s">
        <v>223</v>
      </c>
      <c r="K249" s="69"/>
      <c r="L249" s="70"/>
      <c r="M249" s="70"/>
      <c r="N249" s="70"/>
      <c r="T249" s="5" t="s">
        <v>551</v>
      </c>
    </row>
    <row r="250" spans="1:20" ht="21" customHeight="1">
      <c r="A250" s="57">
        <f>A248+1</f>
        <v>128</v>
      </c>
      <c r="B250" s="77" t="s">
        <v>817</v>
      </c>
      <c r="C250" s="68">
        <v>7</v>
      </c>
      <c r="D250" s="68">
        <v>6</v>
      </c>
      <c r="E250" s="68"/>
      <c r="F250" s="68"/>
      <c r="G250" s="68"/>
      <c r="H250" s="68"/>
      <c r="I250" s="68"/>
      <c r="J250" s="69" t="s">
        <v>433</v>
      </c>
      <c r="K250" s="69">
        <v>2</v>
      </c>
      <c r="L250" s="70">
        <f>250+120</f>
        <v>370</v>
      </c>
      <c r="M250" s="70">
        <f t="shared" si="2"/>
        <v>1850</v>
      </c>
      <c r="N250" s="70">
        <f t="shared" si="3"/>
        <v>12950</v>
      </c>
      <c r="O250" s="60"/>
      <c r="P250" s="61"/>
      <c r="Q250" s="60"/>
      <c r="T250" s="5" t="s">
        <v>335</v>
      </c>
    </row>
    <row r="251" spans="2:20" ht="21" customHeight="1">
      <c r="B251" s="77" t="s">
        <v>817</v>
      </c>
      <c r="C251" s="68"/>
      <c r="D251" s="68"/>
      <c r="E251" s="68"/>
      <c r="F251" s="68"/>
      <c r="G251" s="68"/>
      <c r="H251" s="68"/>
      <c r="I251" s="68"/>
      <c r="J251" s="69" t="s">
        <v>433</v>
      </c>
      <c r="K251" s="69"/>
      <c r="L251" s="70"/>
      <c r="M251" s="70"/>
      <c r="N251" s="70"/>
      <c r="O251" s="60"/>
      <c r="P251" s="61"/>
      <c r="Q251" s="60"/>
      <c r="T251" s="5" t="s">
        <v>551</v>
      </c>
    </row>
    <row r="252" spans="1:20" ht="21" customHeight="1">
      <c r="A252" s="57">
        <f>A250+1</f>
        <v>129</v>
      </c>
      <c r="B252" s="67" t="s">
        <v>323</v>
      </c>
      <c r="C252" s="68">
        <v>7</v>
      </c>
      <c r="D252" s="68">
        <v>6</v>
      </c>
      <c r="E252" s="68"/>
      <c r="F252" s="68"/>
      <c r="G252" s="68"/>
      <c r="H252" s="68"/>
      <c r="I252" s="68"/>
      <c r="J252" s="69" t="s">
        <v>342</v>
      </c>
      <c r="K252" s="69">
        <v>2</v>
      </c>
      <c r="L252" s="70">
        <f>285+180</f>
        <v>465</v>
      </c>
      <c r="M252" s="70">
        <f aca="true" t="shared" si="4" ref="M252:M368">L252*5</f>
        <v>2325</v>
      </c>
      <c r="N252" s="70">
        <f aca="true" t="shared" si="5" ref="N252:N368">M252*7</f>
        <v>16275</v>
      </c>
      <c r="O252" s="60"/>
      <c r="P252" s="61"/>
      <c r="Q252" s="60"/>
      <c r="T252" s="5" t="s">
        <v>595</v>
      </c>
    </row>
    <row r="253" spans="2:20" ht="21" customHeight="1">
      <c r="B253" s="67" t="s">
        <v>323</v>
      </c>
      <c r="C253" s="68"/>
      <c r="D253" s="68"/>
      <c r="E253" s="68"/>
      <c r="F253" s="68"/>
      <c r="G253" s="68"/>
      <c r="H253" s="68"/>
      <c r="I253" s="68"/>
      <c r="J253" s="69" t="s">
        <v>342</v>
      </c>
      <c r="K253" s="69"/>
      <c r="L253" s="70"/>
      <c r="M253" s="70"/>
      <c r="N253" s="70"/>
      <c r="O253" s="60"/>
      <c r="P253" s="61"/>
      <c r="Q253" s="60"/>
      <c r="T253" s="5" t="s">
        <v>976</v>
      </c>
    </row>
    <row r="254" spans="2:20" ht="21" customHeight="1">
      <c r="B254" s="67" t="s">
        <v>323</v>
      </c>
      <c r="C254" s="68"/>
      <c r="D254" s="68"/>
      <c r="E254" s="68"/>
      <c r="F254" s="68"/>
      <c r="G254" s="68"/>
      <c r="H254" s="68"/>
      <c r="I254" s="68"/>
      <c r="J254" s="69" t="s">
        <v>342</v>
      </c>
      <c r="K254" s="69"/>
      <c r="L254" s="70"/>
      <c r="M254" s="70"/>
      <c r="N254" s="70"/>
      <c r="O254" s="60"/>
      <c r="P254" s="61"/>
      <c r="Q254" s="60"/>
      <c r="T254" s="5" t="s">
        <v>974</v>
      </c>
    </row>
    <row r="255" spans="1:20" ht="21" customHeight="1">
      <c r="A255" s="57">
        <f>A252+1</f>
        <v>130</v>
      </c>
      <c r="B255" s="67" t="s">
        <v>818</v>
      </c>
      <c r="C255" s="68">
        <v>8</v>
      </c>
      <c r="D255" s="68">
        <v>7</v>
      </c>
      <c r="E255" s="68"/>
      <c r="F255" s="68"/>
      <c r="G255" s="68"/>
      <c r="H255" s="68"/>
      <c r="I255" s="68"/>
      <c r="J255" s="69" t="s">
        <v>441</v>
      </c>
      <c r="K255" s="69">
        <v>2</v>
      </c>
      <c r="L255" s="70">
        <f>230+170</f>
        <v>400</v>
      </c>
      <c r="M255" s="70">
        <f t="shared" si="4"/>
        <v>2000</v>
      </c>
      <c r="N255" s="70">
        <f t="shared" si="5"/>
        <v>14000</v>
      </c>
      <c r="O255" s="60"/>
      <c r="P255" s="61"/>
      <c r="Q255" s="60"/>
      <c r="T255" s="5" t="s">
        <v>996</v>
      </c>
    </row>
    <row r="256" spans="2:20" ht="21" customHeight="1">
      <c r="B256" s="67" t="s">
        <v>818</v>
      </c>
      <c r="C256" s="68"/>
      <c r="D256" s="68"/>
      <c r="E256" s="68"/>
      <c r="F256" s="68"/>
      <c r="G256" s="68"/>
      <c r="H256" s="68"/>
      <c r="I256" s="68"/>
      <c r="J256" s="69" t="s">
        <v>441</v>
      </c>
      <c r="K256" s="69"/>
      <c r="L256" s="70"/>
      <c r="M256" s="70"/>
      <c r="N256" s="70"/>
      <c r="O256" s="60"/>
      <c r="P256" s="61"/>
      <c r="Q256" s="60"/>
      <c r="T256" s="5" t="s">
        <v>937</v>
      </c>
    </row>
    <row r="257" spans="1:20" ht="21" customHeight="1">
      <c r="A257" s="57">
        <f>A255+1</f>
        <v>131</v>
      </c>
      <c r="B257" s="67" t="s">
        <v>818</v>
      </c>
      <c r="C257" s="68">
        <v>8</v>
      </c>
      <c r="D257" s="68">
        <v>7</v>
      </c>
      <c r="E257" s="68"/>
      <c r="F257" s="68"/>
      <c r="G257" s="68"/>
      <c r="H257" s="68"/>
      <c r="I257" s="68"/>
      <c r="J257" s="69" t="s">
        <v>441</v>
      </c>
      <c r="K257" s="69">
        <v>1</v>
      </c>
      <c r="L257" s="70">
        <v>200</v>
      </c>
      <c r="M257" s="70">
        <f t="shared" si="4"/>
        <v>1000</v>
      </c>
      <c r="N257" s="70">
        <f t="shared" si="5"/>
        <v>7000</v>
      </c>
      <c r="O257" s="60"/>
      <c r="P257" s="61"/>
      <c r="Q257" s="60"/>
      <c r="T257" s="5" t="s">
        <v>1098</v>
      </c>
    </row>
    <row r="258" spans="1:20" ht="21" customHeight="1">
      <c r="A258" s="57">
        <f>A257+1</f>
        <v>132</v>
      </c>
      <c r="B258" s="77" t="s">
        <v>819</v>
      </c>
      <c r="C258" s="68">
        <v>7</v>
      </c>
      <c r="D258" s="68"/>
      <c r="E258" s="68"/>
      <c r="F258" s="68"/>
      <c r="G258" s="68"/>
      <c r="H258" s="68"/>
      <c r="I258" s="68"/>
      <c r="J258" s="112" t="s">
        <v>379</v>
      </c>
      <c r="K258" s="69">
        <v>2</v>
      </c>
      <c r="L258" s="70">
        <f>125+80</f>
        <v>205</v>
      </c>
      <c r="M258" s="70">
        <f t="shared" si="4"/>
        <v>1025</v>
      </c>
      <c r="N258" s="70">
        <f t="shared" si="5"/>
        <v>7175</v>
      </c>
      <c r="O258" s="60"/>
      <c r="P258" s="61"/>
      <c r="Q258" s="60"/>
      <c r="T258" s="5" t="s">
        <v>551</v>
      </c>
    </row>
    <row r="259" spans="2:20" ht="21" customHeight="1">
      <c r="B259" s="77" t="s">
        <v>819</v>
      </c>
      <c r="C259" s="68"/>
      <c r="D259" s="68"/>
      <c r="E259" s="68"/>
      <c r="F259" s="68"/>
      <c r="G259" s="68"/>
      <c r="H259" s="68"/>
      <c r="I259" s="68"/>
      <c r="J259" s="112" t="s">
        <v>379</v>
      </c>
      <c r="K259" s="69"/>
      <c r="L259" s="70"/>
      <c r="M259" s="70"/>
      <c r="N259" s="70"/>
      <c r="O259" s="60"/>
      <c r="P259" s="61"/>
      <c r="Q259" s="60"/>
      <c r="T259" s="5" t="s">
        <v>335</v>
      </c>
    </row>
    <row r="260" spans="1:20" ht="21" customHeight="1">
      <c r="A260" s="57">
        <f>A258+1</f>
        <v>133</v>
      </c>
      <c r="B260" s="67" t="s">
        <v>915</v>
      </c>
      <c r="C260" s="68">
        <v>7</v>
      </c>
      <c r="D260" s="68"/>
      <c r="E260" s="68"/>
      <c r="F260" s="68"/>
      <c r="G260" s="68"/>
      <c r="H260" s="68"/>
      <c r="I260" s="68"/>
      <c r="J260" s="112" t="s">
        <v>224</v>
      </c>
      <c r="K260" s="69">
        <v>2</v>
      </c>
      <c r="L260" s="70">
        <f>100+80</f>
        <v>180</v>
      </c>
      <c r="M260" s="70">
        <f t="shared" si="4"/>
        <v>900</v>
      </c>
      <c r="N260" s="70">
        <f t="shared" si="5"/>
        <v>6300</v>
      </c>
      <c r="O260" s="60"/>
      <c r="P260" s="61"/>
      <c r="Q260" s="60"/>
      <c r="T260" s="5" t="s">
        <v>551</v>
      </c>
    </row>
    <row r="261" spans="2:20" ht="21" customHeight="1">
      <c r="B261" s="67" t="s">
        <v>915</v>
      </c>
      <c r="C261" s="68">
        <v>7</v>
      </c>
      <c r="D261" s="68"/>
      <c r="E261" s="68"/>
      <c r="F261" s="68"/>
      <c r="G261" s="68"/>
      <c r="H261" s="68"/>
      <c r="I261" s="68"/>
      <c r="J261" s="112" t="s">
        <v>224</v>
      </c>
      <c r="K261" s="69"/>
      <c r="L261" s="70"/>
      <c r="M261" s="70"/>
      <c r="N261" s="70"/>
      <c r="O261" s="60"/>
      <c r="P261" s="61"/>
      <c r="Q261" s="60"/>
      <c r="T261" s="5" t="s">
        <v>335</v>
      </c>
    </row>
    <row r="262" spans="1:20" ht="21" customHeight="1">
      <c r="A262" s="57">
        <f>A260+1</f>
        <v>134</v>
      </c>
      <c r="B262" s="67" t="s">
        <v>820</v>
      </c>
      <c r="C262" s="68">
        <v>6</v>
      </c>
      <c r="D262" s="68"/>
      <c r="E262" s="68"/>
      <c r="F262" s="68"/>
      <c r="G262" s="68"/>
      <c r="H262" s="68"/>
      <c r="I262" s="68"/>
      <c r="J262" s="113" t="s">
        <v>225</v>
      </c>
      <c r="K262" s="69">
        <v>2</v>
      </c>
      <c r="L262" s="70">
        <v>247</v>
      </c>
      <c r="M262" s="70">
        <f t="shared" si="4"/>
        <v>1235</v>
      </c>
      <c r="N262" s="70">
        <f t="shared" si="5"/>
        <v>8645</v>
      </c>
      <c r="O262" s="60"/>
      <c r="P262" s="61"/>
      <c r="Q262" s="60"/>
      <c r="T262" s="5" t="s">
        <v>60</v>
      </c>
    </row>
    <row r="263" spans="1:20" ht="21" customHeight="1">
      <c r="A263" s="57">
        <f>A262+1</f>
        <v>135</v>
      </c>
      <c r="B263" s="67" t="s">
        <v>916</v>
      </c>
      <c r="C263" s="68">
        <v>7</v>
      </c>
      <c r="D263" s="68">
        <v>6</v>
      </c>
      <c r="E263" s="68">
        <v>5.5</v>
      </c>
      <c r="F263" s="68"/>
      <c r="G263" s="68"/>
      <c r="H263" s="68"/>
      <c r="I263" s="68"/>
      <c r="J263" s="69" t="s">
        <v>982</v>
      </c>
      <c r="K263" s="69">
        <v>2</v>
      </c>
      <c r="L263" s="70">
        <f>116+103</f>
        <v>219</v>
      </c>
      <c r="M263" s="70">
        <f t="shared" si="4"/>
        <v>1095</v>
      </c>
      <c r="N263" s="70">
        <f t="shared" si="5"/>
        <v>7665</v>
      </c>
      <c r="O263" s="60"/>
      <c r="P263" s="61"/>
      <c r="Q263" s="60"/>
      <c r="T263" s="5" t="s">
        <v>983</v>
      </c>
    </row>
    <row r="264" spans="2:20" ht="21" customHeight="1">
      <c r="B264" s="67" t="s">
        <v>916</v>
      </c>
      <c r="C264" s="68"/>
      <c r="D264" s="68"/>
      <c r="E264" s="68"/>
      <c r="F264" s="68"/>
      <c r="G264" s="68"/>
      <c r="H264" s="68"/>
      <c r="I264" s="68"/>
      <c r="J264" s="69" t="s">
        <v>982</v>
      </c>
      <c r="K264" s="69"/>
      <c r="L264" s="70"/>
      <c r="M264" s="70"/>
      <c r="N264" s="70"/>
      <c r="O264" s="60"/>
      <c r="P264" s="61"/>
      <c r="Q264" s="60"/>
      <c r="T264" s="5" t="s">
        <v>561</v>
      </c>
    </row>
    <row r="265" spans="1:20" ht="21" customHeight="1">
      <c r="A265" s="57">
        <f>A263+1</f>
        <v>136</v>
      </c>
      <c r="B265" s="67" t="s">
        <v>821</v>
      </c>
      <c r="C265" s="68">
        <v>9</v>
      </c>
      <c r="D265" s="68">
        <v>8</v>
      </c>
      <c r="E265" s="68">
        <v>7</v>
      </c>
      <c r="F265" s="68"/>
      <c r="G265" s="68"/>
      <c r="H265" s="68"/>
      <c r="I265" s="68"/>
      <c r="J265" s="69" t="s">
        <v>576</v>
      </c>
      <c r="K265" s="69">
        <v>2</v>
      </c>
      <c r="L265" s="70">
        <v>200</v>
      </c>
      <c r="M265" s="70">
        <f t="shared" si="4"/>
        <v>1000</v>
      </c>
      <c r="N265" s="70">
        <f t="shared" si="5"/>
        <v>7000</v>
      </c>
      <c r="O265" s="60"/>
      <c r="P265" s="61"/>
      <c r="Q265" s="60"/>
      <c r="T265" s="5" t="s">
        <v>937</v>
      </c>
    </row>
    <row r="266" spans="2:20" ht="21" customHeight="1">
      <c r="B266" s="67" t="s">
        <v>1103</v>
      </c>
      <c r="C266" s="68"/>
      <c r="D266" s="68"/>
      <c r="E266" s="68"/>
      <c r="F266" s="68"/>
      <c r="G266" s="68"/>
      <c r="H266" s="68"/>
      <c r="I266" s="68"/>
      <c r="J266" s="69" t="s">
        <v>1104</v>
      </c>
      <c r="K266" s="69"/>
      <c r="L266" s="70"/>
      <c r="M266" s="70"/>
      <c r="N266" s="70"/>
      <c r="O266" s="60"/>
      <c r="P266" s="61"/>
      <c r="Q266" s="60"/>
      <c r="T266" s="5" t="s">
        <v>996</v>
      </c>
    </row>
    <row r="267" spans="1:20" ht="21" customHeight="1">
      <c r="A267" s="57">
        <f>A265+1</f>
        <v>137</v>
      </c>
      <c r="B267" s="77" t="s">
        <v>822</v>
      </c>
      <c r="C267" s="68">
        <v>8</v>
      </c>
      <c r="D267" s="68">
        <v>7</v>
      </c>
      <c r="E267" s="68">
        <v>6</v>
      </c>
      <c r="F267" s="68"/>
      <c r="G267" s="68"/>
      <c r="H267" s="68"/>
      <c r="I267" s="68"/>
      <c r="J267" s="113" t="s">
        <v>226</v>
      </c>
      <c r="K267" s="69">
        <v>2</v>
      </c>
      <c r="L267" s="70">
        <f>300+90</f>
        <v>390</v>
      </c>
      <c r="M267" s="70">
        <f t="shared" si="4"/>
        <v>1950</v>
      </c>
      <c r="N267" s="70">
        <f t="shared" si="5"/>
        <v>13650</v>
      </c>
      <c r="O267" s="60"/>
      <c r="P267" s="61"/>
      <c r="Q267" s="60"/>
      <c r="T267" s="5" t="s">
        <v>335</v>
      </c>
    </row>
    <row r="268" spans="2:20" ht="21" customHeight="1">
      <c r="B268" s="77" t="s">
        <v>822</v>
      </c>
      <c r="C268" s="68"/>
      <c r="D268" s="68"/>
      <c r="E268" s="68"/>
      <c r="F268" s="68"/>
      <c r="G268" s="68"/>
      <c r="H268" s="68"/>
      <c r="I268" s="68"/>
      <c r="J268" s="113" t="s">
        <v>226</v>
      </c>
      <c r="K268" s="69"/>
      <c r="L268" s="70"/>
      <c r="M268" s="70"/>
      <c r="N268" s="70"/>
      <c r="O268" s="60"/>
      <c r="P268" s="61"/>
      <c r="Q268" s="60"/>
      <c r="T268" s="5" t="s">
        <v>551</v>
      </c>
    </row>
    <row r="269" spans="1:20" s="60" customFormat="1" ht="21" customHeight="1">
      <c r="A269" s="57">
        <f>A267+1</f>
        <v>138</v>
      </c>
      <c r="B269" s="67" t="s">
        <v>823</v>
      </c>
      <c r="C269" s="68">
        <v>7</v>
      </c>
      <c r="D269" s="68"/>
      <c r="E269" s="68"/>
      <c r="F269" s="68"/>
      <c r="G269" s="68"/>
      <c r="H269" s="68"/>
      <c r="I269" s="68"/>
      <c r="J269" s="112" t="s">
        <v>627</v>
      </c>
      <c r="K269" s="69">
        <v>2</v>
      </c>
      <c r="L269" s="70">
        <f>180+180</f>
        <v>360</v>
      </c>
      <c r="M269" s="70">
        <f t="shared" si="4"/>
        <v>1800</v>
      </c>
      <c r="N269" s="70">
        <f t="shared" si="5"/>
        <v>12600</v>
      </c>
      <c r="P269" s="61"/>
      <c r="T269" s="5" t="s">
        <v>698</v>
      </c>
    </row>
    <row r="270" spans="1:20" s="60" customFormat="1" ht="21" customHeight="1">
      <c r="A270" s="57"/>
      <c r="B270" s="67" t="s">
        <v>823</v>
      </c>
      <c r="C270" s="68"/>
      <c r="D270" s="68"/>
      <c r="E270" s="68"/>
      <c r="F270" s="68"/>
      <c r="G270" s="68"/>
      <c r="H270" s="68"/>
      <c r="I270" s="68"/>
      <c r="J270" s="112" t="s">
        <v>627</v>
      </c>
      <c r="K270" s="69"/>
      <c r="L270" s="70"/>
      <c r="M270" s="70"/>
      <c r="N270" s="70"/>
      <c r="P270" s="61"/>
      <c r="T270" s="5" t="s">
        <v>1080</v>
      </c>
    </row>
    <row r="271" spans="1:20" ht="21" customHeight="1">
      <c r="A271" s="57">
        <f>A269+1</f>
        <v>139</v>
      </c>
      <c r="B271" s="67" t="s">
        <v>1134</v>
      </c>
      <c r="C271" s="68"/>
      <c r="D271" s="68"/>
      <c r="E271" s="68"/>
      <c r="F271" s="68"/>
      <c r="G271" s="68"/>
      <c r="H271" s="68"/>
      <c r="I271" s="68"/>
      <c r="J271" s="69" t="s">
        <v>1135</v>
      </c>
      <c r="K271" s="69">
        <v>2</v>
      </c>
      <c r="L271" s="70">
        <f>100+80</f>
        <v>180</v>
      </c>
      <c r="M271" s="70">
        <f t="shared" si="4"/>
        <v>900</v>
      </c>
      <c r="N271" s="70">
        <f t="shared" si="5"/>
        <v>6300</v>
      </c>
      <c r="O271" s="60"/>
      <c r="P271" s="61"/>
      <c r="Q271" s="60"/>
      <c r="T271" s="5" t="s">
        <v>154</v>
      </c>
    </row>
    <row r="272" spans="2:20" ht="21" customHeight="1">
      <c r="B272" s="67" t="s">
        <v>1134</v>
      </c>
      <c r="C272" s="68"/>
      <c r="D272" s="68"/>
      <c r="E272" s="68"/>
      <c r="F272" s="68"/>
      <c r="G272" s="68"/>
      <c r="H272" s="68"/>
      <c r="I272" s="68"/>
      <c r="J272" s="69" t="s">
        <v>1135</v>
      </c>
      <c r="K272" s="69"/>
      <c r="L272" s="70"/>
      <c r="M272" s="70"/>
      <c r="N272" s="70"/>
      <c r="O272" s="60"/>
      <c r="P272" s="61"/>
      <c r="Q272" s="60"/>
      <c r="T272" s="5" t="s">
        <v>155</v>
      </c>
    </row>
    <row r="273" spans="1:20" ht="21" customHeight="1">
      <c r="A273" s="57">
        <f>A271+1</f>
        <v>140</v>
      </c>
      <c r="B273" s="67" t="s">
        <v>396</v>
      </c>
      <c r="C273" s="68">
        <v>15</v>
      </c>
      <c r="D273" s="68">
        <v>13</v>
      </c>
      <c r="E273" s="68">
        <v>12</v>
      </c>
      <c r="F273" s="68">
        <v>10</v>
      </c>
      <c r="G273" s="68"/>
      <c r="H273" s="68"/>
      <c r="I273" s="68"/>
      <c r="J273" s="112" t="s">
        <v>451</v>
      </c>
      <c r="K273" s="69">
        <v>2</v>
      </c>
      <c r="L273" s="70">
        <f>281+279</f>
        <v>560</v>
      </c>
      <c r="M273" s="70">
        <f t="shared" si="4"/>
        <v>2800</v>
      </c>
      <c r="N273" s="70">
        <f t="shared" si="5"/>
        <v>19600</v>
      </c>
      <c r="T273" s="5" t="s">
        <v>1069</v>
      </c>
    </row>
    <row r="274" spans="2:20" ht="21" customHeight="1">
      <c r="B274" s="67" t="s">
        <v>396</v>
      </c>
      <c r="C274" s="68">
        <v>15</v>
      </c>
      <c r="D274" s="68">
        <v>13</v>
      </c>
      <c r="E274" s="68">
        <v>12</v>
      </c>
      <c r="F274" s="68">
        <v>10</v>
      </c>
      <c r="G274" s="68"/>
      <c r="H274" s="68"/>
      <c r="I274" s="68"/>
      <c r="J274" s="112" t="s">
        <v>451</v>
      </c>
      <c r="K274" s="69"/>
      <c r="L274" s="70"/>
      <c r="M274" s="70"/>
      <c r="N274" s="70"/>
      <c r="T274" s="5" t="s">
        <v>1070</v>
      </c>
    </row>
    <row r="275" spans="1:20" ht="21" customHeight="1">
      <c r="A275" s="57">
        <f>A273+1</f>
        <v>141</v>
      </c>
      <c r="B275" s="77" t="s">
        <v>396</v>
      </c>
      <c r="C275" s="68">
        <v>15</v>
      </c>
      <c r="D275" s="68">
        <v>13</v>
      </c>
      <c r="E275" s="68">
        <v>12</v>
      </c>
      <c r="F275" s="68">
        <v>10</v>
      </c>
      <c r="G275" s="68"/>
      <c r="H275" s="68"/>
      <c r="I275" s="68"/>
      <c r="J275" s="112" t="s">
        <v>451</v>
      </c>
      <c r="K275" s="69">
        <v>2</v>
      </c>
      <c r="L275" s="69">
        <f>119+149</f>
        <v>268</v>
      </c>
      <c r="M275" s="70">
        <f t="shared" si="4"/>
        <v>1340</v>
      </c>
      <c r="N275" s="70">
        <f t="shared" si="5"/>
        <v>9380</v>
      </c>
      <c r="O275" s="60"/>
      <c r="P275" s="61"/>
      <c r="Q275" s="60"/>
      <c r="T275" s="5" t="s">
        <v>1071</v>
      </c>
    </row>
    <row r="276" spans="2:20" ht="21" customHeight="1">
      <c r="B276" s="77" t="s">
        <v>396</v>
      </c>
      <c r="C276" s="68"/>
      <c r="D276" s="68"/>
      <c r="E276" s="68"/>
      <c r="F276" s="68"/>
      <c r="G276" s="68"/>
      <c r="H276" s="68"/>
      <c r="I276" s="68"/>
      <c r="J276" s="112" t="s">
        <v>451</v>
      </c>
      <c r="K276" s="69"/>
      <c r="L276" s="69"/>
      <c r="M276" s="70"/>
      <c r="N276" s="70"/>
      <c r="O276" s="60"/>
      <c r="P276" s="61"/>
      <c r="Q276" s="60"/>
      <c r="T276" s="5" t="s">
        <v>1072</v>
      </c>
    </row>
    <row r="277" spans="1:20" ht="21" customHeight="1">
      <c r="A277" s="57">
        <f>A275+1</f>
        <v>142</v>
      </c>
      <c r="B277" s="77" t="s">
        <v>308</v>
      </c>
      <c r="C277" s="68">
        <v>14</v>
      </c>
      <c r="D277" s="68">
        <v>12</v>
      </c>
      <c r="E277" s="68">
        <v>10</v>
      </c>
      <c r="F277" s="68"/>
      <c r="G277" s="68"/>
      <c r="H277" s="68"/>
      <c r="I277" s="68"/>
      <c r="J277" s="69" t="s">
        <v>311</v>
      </c>
      <c r="K277" s="69">
        <v>3</v>
      </c>
      <c r="L277" s="70">
        <f>70+70+70</f>
        <v>210</v>
      </c>
      <c r="M277" s="70">
        <f t="shared" si="4"/>
        <v>1050</v>
      </c>
      <c r="N277" s="70">
        <f t="shared" si="5"/>
        <v>7350</v>
      </c>
      <c r="O277" s="60"/>
      <c r="P277" s="61"/>
      <c r="Q277" s="60"/>
      <c r="T277" s="5" t="s">
        <v>597</v>
      </c>
    </row>
    <row r="278" spans="2:20" ht="21" customHeight="1">
      <c r="B278" s="77" t="s">
        <v>308</v>
      </c>
      <c r="C278" s="68"/>
      <c r="D278" s="68"/>
      <c r="E278" s="68"/>
      <c r="F278" s="68"/>
      <c r="G278" s="68"/>
      <c r="H278" s="68"/>
      <c r="I278" s="68"/>
      <c r="J278" s="69" t="s">
        <v>311</v>
      </c>
      <c r="K278" s="69"/>
      <c r="L278" s="70"/>
      <c r="M278" s="70"/>
      <c r="N278" s="70"/>
      <c r="O278" s="60"/>
      <c r="P278" s="61"/>
      <c r="Q278" s="60"/>
      <c r="T278" s="5" t="s">
        <v>597</v>
      </c>
    </row>
    <row r="279" spans="1:20" ht="21" customHeight="1">
      <c r="A279" s="57">
        <f>A277+1</f>
        <v>143</v>
      </c>
      <c r="B279" s="77" t="s">
        <v>308</v>
      </c>
      <c r="C279" s="68">
        <v>14</v>
      </c>
      <c r="D279" s="68">
        <v>12</v>
      </c>
      <c r="E279" s="68">
        <v>10</v>
      </c>
      <c r="F279" s="68"/>
      <c r="G279" s="68"/>
      <c r="H279" s="68"/>
      <c r="I279" s="68"/>
      <c r="J279" s="69" t="s">
        <v>311</v>
      </c>
      <c r="K279" s="69">
        <v>2</v>
      </c>
      <c r="L279" s="70">
        <f>60+60</f>
        <v>120</v>
      </c>
      <c r="M279" s="70">
        <f t="shared" si="4"/>
        <v>600</v>
      </c>
      <c r="N279" s="70">
        <f t="shared" si="5"/>
        <v>4200</v>
      </c>
      <c r="O279" s="60"/>
      <c r="P279" s="61"/>
      <c r="Q279" s="60"/>
      <c r="T279" s="5" t="s">
        <v>947</v>
      </c>
    </row>
    <row r="280" spans="2:20" ht="21" customHeight="1">
      <c r="B280" s="77" t="s">
        <v>308</v>
      </c>
      <c r="C280" s="68"/>
      <c r="D280" s="68"/>
      <c r="E280" s="68"/>
      <c r="F280" s="68"/>
      <c r="G280" s="68"/>
      <c r="H280" s="68"/>
      <c r="I280" s="68"/>
      <c r="J280" s="69" t="s">
        <v>311</v>
      </c>
      <c r="K280" s="69"/>
      <c r="L280" s="70"/>
      <c r="M280" s="70"/>
      <c r="N280" s="70"/>
      <c r="O280" s="60"/>
      <c r="P280" s="61"/>
      <c r="Q280" s="60"/>
      <c r="T280" s="5" t="s">
        <v>972</v>
      </c>
    </row>
    <row r="281" spans="2:20" ht="21" customHeight="1">
      <c r="B281" s="77" t="s">
        <v>308</v>
      </c>
      <c r="C281" s="68"/>
      <c r="D281" s="68"/>
      <c r="E281" s="68"/>
      <c r="F281" s="68"/>
      <c r="G281" s="68"/>
      <c r="H281" s="68"/>
      <c r="I281" s="68"/>
      <c r="J281" s="69" t="s">
        <v>311</v>
      </c>
      <c r="K281" s="69"/>
      <c r="L281" s="70"/>
      <c r="M281" s="70"/>
      <c r="N281" s="70"/>
      <c r="O281" s="60"/>
      <c r="P281" s="61"/>
      <c r="Q281" s="60"/>
      <c r="T281" s="5" t="s">
        <v>973</v>
      </c>
    </row>
    <row r="282" spans="1:20" ht="21" customHeight="1">
      <c r="A282" s="57">
        <f>A279+1</f>
        <v>144</v>
      </c>
      <c r="B282" s="67" t="s">
        <v>917</v>
      </c>
      <c r="C282" s="68">
        <v>14</v>
      </c>
      <c r="D282" s="68">
        <v>12</v>
      </c>
      <c r="E282" s="68">
        <v>10</v>
      </c>
      <c r="F282" s="68">
        <v>8</v>
      </c>
      <c r="G282" s="68"/>
      <c r="H282" s="68"/>
      <c r="I282" s="68"/>
      <c r="J282" s="112" t="s">
        <v>628</v>
      </c>
      <c r="K282" s="69">
        <v>2</v>
      </c>
      <c r="L282" s="70">
        <f>185+195</f>
        <v>380</v>
      </c>
      <c r="M282" s="70">
        <f t="shared" si="4"/>
        <v>1900</v>
      </c>
      <c r="N282" s="70">
        <f t="shared" si="5"/>
        <v>13300</v>
      </c>
      <c r="O282" s="60"/>
      <c r="P282" s="61"/>
      <c r="Q282" s="60"/>
      <c r="T282" s="5" t="s">
        <v>194</v>
      </c>
    </row>
    <row r="283" spans="2:20" ht="21" customHeight="1">
      <c r="B283" s="67" t="s">
        <v>917</v>
      </c>
      <c r="C283" s="68"/>
      <c r="D283" s="68"/>
      <c r="E283" s="68"/>
      <c r="F283" s="68"/>
      <c r="G283" s="68"/>
      <c r="H283" s="68"/>
      <c r="I283" s="68"/>
      <c r="J283" s="112" t="s">
        <v>628</v>
      </c>
      <c r="K283" s="69"/>
      <c r="L283" s="70"/>
      <c r="M283" s="70"/>
      <c r="N283" s="70"/>
      <c r="O283" s="60"/>
      <c r="P283" s="61"/>
      <c r="Q283" s="60"/>
      <c r="T283" s="5" t="s">
        <v>195</v>
      </c>
    </row>
    <row r="284" spans="2:20" ht="21" customHeight="1">
      <c r="B284" s="67" t="s">
        <v>917</v>
      </c>
      <c r="C284" s="68"/>
      <c r="D284" s="68"/>
      <c r="E284" s="68"/>
      <c r="F284" s="68"/>
      <c r="G284" s="68"/>
      <c r="H284" s="68"/>
      <c r="I284" s="68"/>
      <c r="J284" s="112" t="s">
        <v>628</v>
      </c>
      <c r="K284" s="69"/>
      <c r="L284" s="70"/>
      <c r="M284" s="70"/>
      <c r="N284" s="70"/>
      <c r="O284" s="60"/>
      <c r="P284" s="61"/>
      <c r="Q284" s="60"/>
      <c r="T284" s="5" t="s">
        <v>196</v>
      </c>
    </row>
    <row r="285" spans="1:20" ht="21" customHeight="1">
      <c r="A285" s="57">
        <f>A282+1</f>
        <v>145</v>
      </c>
      <c r="B285" s="67" t="s">
        <v>412</v>
      </c>
      <c r="C285" s="68">
        <v>10</v>
      </c>
      <c r="D285" s="68">
        <v>9</v>
      </c>
      <c r="E285" s="68">
        <v>7</v>
      </c>
      <c r="F285" s="68"/>
      <c r="G285" s="68"/>
      <c r="H285" s="68"/>
      <c r="I285" s="68"/>
      <c r="J285" s="69" t="s">
        <v>438</v>
      </c>
      <c r="K285" s="69">
        <v>2</v>
      </c>
      <c r="L285" s="70">
        <f>134+135</f>
        <v>269</v>
      </c>
      <c r="M285" s="70">
        <f t="shared" si="4"/>
        <v>1345</v>
      </c>
      <c r="N285" s="70">
        <f t="shared" si="5"/>
        <v>9415</v>
      </c>
      <c r="O285" s="60"/>
      <c r="P285" s="61"/>
      <c r="Q285" s="60"/>
      <c r="T285" s="5" t="s">
        <v>952</v>
      </c>
    </row>
    <row r="286" spans="2:20" ht="21" customHeight="1">
      <c r="B286" s="67" t="s">
        <v>412</v>
      </c>
      <c r="C286" s="68"/>
      <c r="D286" s="68"/>
      <c r="E286" s="68"/>
      <c r="F286" s="68"/>
      <c r="G286" s="68"/>
      <c r="H286" s="68"/>
      <c r="I286" s="68"/>
      <c r="J286" s="69" t="s">
        <v>438</v>
      </c>
      <c r="K286" s="69"/>
      <c r="L286" s="70"/>
      <c r="M286" s="70"/>
      <c r="N286" s="70"/>
      <c r="O286" s="60"/>
      <c r="P286" s="61"/>
      <c r="Q286" s="60"/>
      <c r="T286" s="5" t="s">
        <v>1087</v>
      </c>
    </row>
    <row r="287" spans="1:20" ht="21" customHeight="1">
      <c r="A287" s="57">
        <f>A285+1</f>
        <v>146</v>
      </c>
      <c r="B287" s="67" t="s">
        <v>824</v>
      </c>
      <c r="C287" s="68">
        <v>10</v>
      </c>
      <c r="D287" s="68">
        <v>8</v>
      </c>
      <c r="E287" s="68">
        <v>4</v>
      </c>
      <c r="F287" s="68">
        <v>6</v>
      </c>
      <c r="G287" s="68"/>
      <c r="H287" s="68"/>
      <c r="I287" s="68"/>
      <c r="J287" s="113" t="s">
        <v>367</v>
      </c>
      <c r="K287" s="69">
        <v>2</v>
      </c>
      <c r="L287" s="70">
        <f>355+69</f>
        <v>424</v>
      </c>
      <c r="M287" s="70">
        <f t="shared" si="4"/>
        <v>2120</v>
      </c>
      <c r="N287" s="70">
        <f t="shared" si="5"/>
        <v>14840</v>
      </c>
      <c r="O287" s="60"/>
      <c r="P287" s="61"/>
      <c r="Q287" s="60"/>
      <c r="T287" s="5" t="s">
        <v>1118</v>
      </c>
    </row>
    <row r="288" spans="2:20" ht="21" customHeight="1">
      <c r="B288" s="67" t="s">
        <v>824</v>
      </c>
      <c r="C288" s="68"/>
      <c r="D288" s="68"/>
      <c r="E288" s="68"/>
      <c r="F288" s="68"/>
      <c r="G288" s="68"/>
      <c r="H288" s="68"/>
      <c r="I288" s="68"/>
      <c r="J288" s="113" t="s">
        <v>367</v>
      </c>
      <c r="K288" s="69"/>
      <c r="L288" s="70"/>
      <c r="M288" s="70"/>
      <c r="N288" s="70"/>
      <c r="O288" s="60"/>
      <c r="P288" s="61"/>
      <c r="Q288" s="60"/>
      <c r="T288" s="5" t="s">
        <v>1119</v>
      </c>
    </row>
    <row r="289" spans="2:20" ht="21" customHeight="1">
      <c r="B289" s="67" t="s">
        <v>824</v>
      </c>
      <c r="C289" s="68"/>
      <c r="D289" s="68"/>
      <c r="E289" s="68"/>
      <c r="F289" s="68"/>
      <c r="G289" s="68"/>
      <c r="H289" s="68"/>
      <c r="I289" s="68"/>
      <c r="J289" s="113" t="s">
        <v>367</v>
      </c>
      <c r="K289" s="69"/>
      <c r="L289" s="70"/>
      <c r="M289" s="70"/>
      <c r="N289" s="70"/>
      <c r="O289" s="60"/>
      <c r="P289" s="61"/>
      <c r="Q289" s="60"/>
      <c r="T289" s="5" t="s">
        <v>1120</v>
      </c>
    </row>
    <row r="290" spans="1:20" ht="21" customHeight="1">
      <c r="A290" s="57">
        <f>A287+1</f>
        <v>147</v>
      </c>
      <c r="B290" s="67" t="s">
        <v>484</v>
      </c>
      <c r="C290" s="68">
        <v>10</v>
      </c>
      <c r="D290" s="68">
        <v>8</v>
      </c>
      <c r="E290" s="68">
        <v>6</v>
      </c>
      <c r="F290" s="68"/>
      <c r="G290" s="68"/>
      <c r="H290" s="68"/>
      <c r="I290" s="68"/>
      <c r="J290" s="69" t="s">
        <v>485</v>
      </c>
      <c r="K290" s="69">
        <v>2</v>
      </c>
      <c r="L290" s="70">
        <f>190+70</f>
        <v>260</v>
      </c>
      <c r="M290" s="70">
        <f t="shared" si="4"/>
        <v>1300</v>
      </c>
      <c r="N290" s="70">
        <f t="shared" si="5"/>
        <v>9100</v>
      </c>
      <c r="O290" s="60"/>
      <c r="P290" s="61"/>
      <c r="Q290" s="60"/>
      <c r="T290" s="5" t="s">
        <v>335</v>
      </c>
    </row>
    <row r="291" spans="2:20" ht="21" customHeight="1">
      <c r="B291" s="67" t="s">
        <v>484</v>
      </c>
      <c r="C291" s="68"/>
      <c r="D291" s="68"/>
      <c r="E291" s="68"/>
      <c r="F291" s="68"/>
      <c r="G291" s="68"/>
      <c r="H291" s="68"/>
      <c r="I291" s="68"/>
      <c r="J291" s="69" t="s">
        <v>485</v>
      </c>
      <c r="K291" s="69"/>
      <c r="L291" s="70"/>
      <c r="M291" s="70"/>
      <c r="N291" s="70"/>
      <c r="O291" s="60"/>
      <c r="P291" s="61"/>
      <c r="Q291" s="60"/>
      <c r="T291" s="5" t="s">
        <v>1050</v>
      </c>
    </row>
    <row r="292" spans="1:20" ht="21" customHeight="1">
      <c r="A292" s="57">
        <f>A290+1</f>
        <v>148</v>
      </c>
      <c r="B292" s="67" t="s">
        <v>502</v>
      </c>
      <c r="C292" s="68">
        <v>10</v>
      </c>
      <c r="D292" s="68">
        <v>8</v>
      </c>
      <c r="E292" s="68">
        <v>6</v>
      </c>
      <c r="F292" s="68"/>
      <c r="G292" s="68"/>
      <c r="H292" s="68"/>
      <c r="I292" s="68"/>
      <c r="J292" s="69" t="s">
        <v>583</v>
      </c>
      <c r="K292" s="69">
        <v>2</v>
      </c>
      <c r="L292" s="70">
        <f>144+92</f>
        <v>236</v>
      </c>
      <c r="M292" s="70">
        <f t="shared" si="4"/>
        <v>1180</v>
      </c>
      <c r="N292" s="70">
        <f t="shared" si="5"/>
        <v>8260</v>
      </c>
      <c r="O292" s="60"/>
      <c r="P292" s="61"/>
      <c r="Q292" s="60"/>
      <c r="T292" s="5" t="s">
        <v>312</v>
      </c>
    </row>
    <row r="293" spans="2:20" ht="21" customHeight="1">
      <c r="B293" s="67" t="s">
        <v>502</v>
      </c>
      <c r="C293" s="68"/>
      <c r="D293" s="68"/>
      <c r="E293" s="68"/>
      <c r="F293" s="68"/>
      <c r="G293" s="68"/>
      <c r="H293" s="68"/>
      <c r="I293" s="68"/>
      <c r="J293" s="69" t="s">
        <v>583</v>
      </c>
      <c r="K293" s="69"/>
      <c r="L293" s="70"/>
      <c r="M293" s="70"/>
      <c r="N293" s="70"/>
      <c r="O293" s="60"/>
      <c r="P293" s="61"/>
      <c r="Q293" s="60"/>
      <c r="T293" s="5" t="s">
        <v>69</v>
      </c>
    </row>
    <row r="294" spans="1:20" s="89" customFormat="1" ht="21" customHeight="1">
      <c r="A294" s="57">
        <f>A292+1</f>
        <v>149</v>
      </c>
      <c r="B294" s="67" t="s">
        <v>825</v>
      </c>
      <c r="C294" s="68">
        <v>6</v>
      </c>
      <c r="D294" s="68"/>
      <c r="E294" s="68"/>
      <c r="F294" s="68"/>
      <c r="G294" s="68"/>
      <c r="H294" s="68"/>
      <c r="I294" s="68"/>
      <c r="J294" s="69" t="s">
        <v>487</v>
      </c>
      <c r="K294" s="69">
        <v>2</v>
      </c>
      <c r="L294" s="70">
        <f>60+60</f>
        <v>120</v>
      </c>
      <c r="M294" s="70">
        <f t="shared" si="4"/>
        <v>600</v>
      </c>
      <c r="N294" s="70">
        <f t="shared" si="5"/>
        <v>4200</v>
      </c>
      <c r="P294" s="90"/>
      <c r="T294" s="5" t="s">
        <v>390</v>
      </c>
    </row>
    <row r="295" spans="1:20" ht="21" customHeight="1">
      <c r="A295" s="57">
        <f>A294+1</f>
        <v>150</v>
      </c>
      <c r="B295" s="67" t="s">
        <v>826</v>
      </c>
      <c r="C295" s="68">
        <v>6</v>
      </c>
      <c r="D295" s="68"/>
      <c r="E295" s="68"/>
      <c r="F295" s="68"/>
      <c r="G295" s="68"/>
      <c r="H295" s="68"/>
      <c r="I295" s="68"/>
      <c r="J295" s="69" t="s">
        <v>581</v>
      </c>
      <c r="K295" s="80">
        <v>2</v>
      </c>
      <c r="L295" s="81">
        <f>50+50</f>
        <v>100</v>
      </c>
      <c r="M295" s="70">
        <f t="shared" si="4"/>
        <v>500</v>
      </c>
      <c r="N295" s="70">
        <f t="shared" si="5"/>
        <v>3500</v>
      </c>
      <c r="O295" s="60"/>
      <c r="P295" s="61"/>
      <c r="Q295" s="60"/>
      <c r="T295" s="5" t="s">
        <v>566</v>
      </c>
    </row>
    <row r="296" spans="1:20" ht="21" customHeight="1">
      <c r="A296" s="57">
        <f>A295+1</f>
        <v>151</v>
      </c>
      <c r="B296" s="67" t="s">
        <v>826</v>
      </c>
      <c r="C296" s="68">
        <v>6</v>
      </c>
      <c r="D296" s="68"/>
      <c r="E296" s="68"/>
      <c r="F296" s="68"/>
      <c r="G296" s="68"/>
      <c r="H296" s="68"/>
      <c r="I296" s="68"/>
      <c r="J296" s="69" t="s">
        <v>581</v>
      </c>
      <c r="K296" s="69">
        <v>1</v>
      </c>
      <c r="L296" s="70">
        <f>80</f>
        <v>80</v>
      </c>
      <c r="M296" s="70">
        <f t="shared" si="4"/>
        <v>400</v>
      </c>
      <c r="N296" s="70">
        <f t="shared" si="5"/>
        <v>2800</v>
      </c>
      <c r="O296" s="60"/>
      <c r="P296" s="61"/>
      <c r="Q296" s="60"/>
      <c r="T296" s="5" t="s">
        <v>562</v>
      </c>
    </row>
    <row r="297" spans="1:20" ht="21" customHeight="1">
      <c r="A297" s="57">
        <f>A296+1</f>
        <v>152</v>
      </c>
      <c r="B297" s="67" t="s">
        <v>413</v>
      </c>
      <c r="C297" s="68">
        <v>11</v>
      </c>
      <c r="D297" s="68">
        <v>9</v>
      </c>
      <c r="E297" s="68">
        <v>7</v>
      </c>
      <c r="F297" s="68"/>
      <c r="G297" s="68"/>
      <c r="H297" s="68"/>
      <c r="I297" s="68"/>
      <c r="J297" s="69" t="s">
        <v>1099</v>
      </c>
      <c r="K297" s="69">
        <v>2</v>
      </c>
      <c r="L297" s="70">
        <f>420+185</f>
        <v>605</v>
      </c>
      <c r="M297" s="70">
        <f t="shared" si="4"/>
        <v>3025</v>
      </c>
      <c r="N297" s="70">
        <f t="shared" si="5"/>
        <v>21175</v>
      </c>
      <c r="O297" s="60"/>
      <c r="P297" s="61"/>
      <c r="Q297" s="60"/>
      <c r="T297" s="5" t="s">
        <v>952</v>
      </c>
    </row>
    <row r="298" spans="2:20" ht="21" customHeight="1">
      <c r="B298" s="67" t="s">
        <v>413</v>
      </c>
      <c r="C298" s="68"/>
      <c r="D298" s="68"/>
      <c r="E298" s="68"/>
      <c r="F298" s="68"/>
      <c r="G298" s="68"/>
      <c r="H298" s="68"/>
      <c r="I298" s="68"/>
      <c r="J298" s="69" t="s">
        <v>1099</v>
      </c>
      <c r="K298" s="69"/>
      <c r="L298" s="70"/>
      <c r="M298" s="70"/>
      <c r="N298" s="70"/>
      <c r="O298" s="60"/>
      <c r="P298" s="61"/>
      <c r="Q298" s="60"/>
      <c r="T298" s="5" t="s">
        <v>1087</v>
      </c>
    </row>
    <row r="299" spans="1:20" ht="21" customHeight="1">
      <c r="A299" s="57">
        <f>A297+1</f>
        <v>153</v>
      </c>
      <c r="B299" s="67" t="s">
        <v>413</v>
      </c>
      <c r="C299" s="68">
        <v>11</v>
      </c>
      <c r="D299" s="68">
        <v>9</v>
      </c>
      <c r="E299" s="68">
        <v>7</v>
      </c>
      <c r="F299" s="68"/>
      <c r="G299" s="68"/>
      <c r="H299" s="68"/>
      <c r="I299" s="68"/>
      <c r="J299" s="69" t="s">
        <v>1099</v>
      </c>
      <c r="K299" s="69">
        <v>2</v>
      </c>
      <c r="L299" s="69">
        <v>130</v>
      </c>
      <c r="M299" s="70">
        <f t="shared" si="4"/>
        <v>650</v>
      </c>
      <c r="N299" s="70">
        <f t="shared" si="5"/>
        <v>4550</v>
      </c>
      <c r="O299" s="60"/>
      <c r="P299" s="61"/>
      <c r="Q299" s="60"/>
      <c r="T299" s="5" t="s">
        <v>676</v>
      </c>
    </row>
    <row r="300" spans="1:20" ht="21" customHeight="1">
      <c r="A300" s="57">
        <f>A299+1</f>
        <v>154</v>
      </c>
      <c r="B300" s="67" t="s">
        <v>519</v>
      </c>
      <c r="C300" s="68">
        <v>16</v>
      </c>
      <c r="D300" s="68">
        <v>14</v>
      </c>
      <c r="E300" s="68">
        <v>12</v>
      </c>
      <c r="F300" s="68">
        <v>8</v>
      </c>
      <c r="G300" s="68"/>
      <c r="H300" s="68"/>
      <c r="I300" s="68"/>
      <c r="J300" s="114" t="s">
        <v>629</v>
      </c>
      <c r="K300" s="69">
        <v>2</v>
      </c>
      <c r="L300" s="70">
        <f>282+81</f>
        <v>363</v>
      </c>
      <c r="M300" s="70">
        <f t="shared" si="4"/>
        <v>1815</v>
      </c>
      <c r="N300" s="70">
        <f t="shared" si="5"/>
        <v>12705</v>
      </c>
      <c r="O300" s="60"/>
      <c r="P300" s="61"/>
      <c r="Q300" s="60"/>
      <c r="T300" s="5" t="s">
        <v>596</v>
      </c>
    </row>
    <row r="301" spans="2:20" ht="21" customHeight="1">
      <c r="B301" s="67" t="s">
        <v>519</v>
      </c>
      <c r="C301" s="68"/>
      <c r="D301" s="68"/>
      <c r="E301" s="68"/>
      <c r="F301" s="68"/>
      <c r="G301" s="68"/>
      <c r="H301" s="68"/>
      <c r="I301" s="68"/>
      <c r="J301" s="114" t="s">
        <v>629</v>
      </c>
      <c r="K301" s="69"/>
      <c r="L301" s="70"/>
      <c r="M301" s="70"/>
      <c r="N301" s="70"/>
      <c r="O301" s="60"/>
      <c r="P301" s="61"/>
      <c r="Q301" s="60"/>
      <c r="T301" s="5" t="s">
        <v>28</v>
      </c>
    </row>
    <row r="302" spans="1:20" ht="21" customHeight="1">
      <c r="A302" s="57">
        <f>A300+1</f>
        <v>155</v>
      </c>
      <c r="B302" s="67" t="s">
        <v>519</v>
      </c>
      <c r="C302" s="68">
        <v>16</v>
      </c>
      <c r="D302" s="68">
        <v>14</v>
      </c>
      <c r="E302" s="68">
        <v>12</v>
      </c>
      <c r="F302" s="68">
        <v>8</v>
      </c>
      <c r="G302" s="68"/>
      <c r="H302" s="68"/>
      <c r="I302" s="68"/>
      <c r="J302" s="114" t="s">
        <v>629</v>
      </c>
      <c r="K302" s="69">
        <v>2</v>
      </c>
      <c r="L302" s="69">
        <f>144+143</f>
        <v>287</v>
      </c>
      <c r="M302" s="70">
        <f t="shared" si="4"/>
        <v>1435</v>
      </c>
      <c r="N302" s="70">
        <f t="shared" si="5"/>
        <v>10045</v>
      </c>
      <c r="T302" s="5" t="s">
        <v>947</v>
      </c>
    </row>
    <row r="303" spans="2:20" ht="21" customHeight="1">
      <c r="B303" s="67" t="s">
        <v>519</v>
      </c>
      <c r="C303" s="68"/>
      <c r="D303" s="68"/>
      <c r="E303" s="68"/>
      <c r="F303" s="68"/>
      <c r="G303" s="68"/>
      <c r="H303" s="68"/>
      <c r="I303" s="68"/>
      <c r="J303" s="114" t="s">
        <v>629</v>
      </c>
      <c r="K303" s="69"/>
      <c r="L303" s="69"/>
      <c r="M303" s="70"/>
      <c r="N303" s="70"/>
      <c r="T303" s="5" t="s">
        <v>973</v>
      </c>
    </row>
    <row r="304" spans="1:20" ht="21" customHeight="1">
      <c r="A304" s="57">
        <f>A302+1</f>
        <v>156</v>
      </c>
      <c r="B304" s="67" t="s">
        <v>1136</v>
      </c>
      <c r="C304" s="68">
        <v>12</v>
      </c>
      <c r="D304" s="68">
        <v>10</v>
      </c>
      <c r="E304" s="68">
        <v>8</v>
      </c>
      <c r="F304" s="68">
        <v>7</v>
      </c>
      <c r="G304" s="68">
        <v>6</v>
      </c>
      <c r="H304" s="68"/>
      <c r="I304" s="68"/>
      <c r="J304" s="69" t="s">
        <v>630</v>
      </c>
      <c r="K304" s="69">
        <v>2</v>
      </c>
      <c r="L304" s="70">
        <f>194+194</f>
        <v>388</v>
      </c>
      <c r="M304" s="70">
        <f t="shared" si="4"/>
        <v>1940</v>
      </c>
      <c r="N304" s="70">
        <f t="shared" si="5"/>
        <v>13580</v>
      </c>
      <c r="O304" s="60"/>
      <c r="P304" s="61"/>
      <c r="Q304" s="60"/>
      <c r="T304" s="5" t="s">
        <v>156</v>
      </c>
    </row>
    <row r="305" spans="2:20" ht="21" customHeight="1">
      <c r="B305" s="67" t="s">
        <v>1136</v>
      </c>
      <c r="C305" s="68">
        <v>12</v>
      </c>
      <c r="D305" s="68">
        <v>10</v>
      </c>
      <c r="E305" s="68">
        <v>8</v>
      </c>
      <c r="F305" s="68">
        <v>7</v>
      </c>
      <c r="G305" s="68">
        <v>6</v>
      </c>
      <c r="H305" s="68"/>
      <c r="I305" s="68"/>
      <c r="J305" s="69" t="s">
        <v>630</v>
      </c>
      <c r="K305" s="69"/>
      <c r="L305" s="70"/>
      <c r="M305" s="70"/>
      <c r="N305" s="70"/>
      <c r="O305" s="60"/>
      <c r="P305" s="61"/>
      <c r="Q305" s="60"/>
      <c r="T305" s="5" t="s">
        <v>157</v>
      </c>
    </row>
    <row r="306" spans="1:20" ht="21" customHeight="1">
      <c r="A306" s="57">
        <f>A304+1</f>
        <v>157</v>
      </c>
      <c r="B306" s="67" t="s">
        <v>827</v>
      </c>
      <c r="C306" s="68">
        <v>10</v>
      </c>
      <c r="D306" s="68">
        <v>8</v>
      </c>
      <c r="E306" s="68">
        <v>6</v>
      </c>
      <c r="F306" s="68"/>
      <c r="G306" s="68"/>
      <c r="H306" s="68"/>
      <c r="I306" s="68"/>
      <c r="J306" s="69" t="s">
        <v>374</v>
      </c>
      <c r="K306" s="69">
        <v>2</v>
      </c>
      <c r="L306" s="70">
        <f>120+70</f>
        <v>190</v>
      </c>
      <c r="M306" s="70">
        <f t="shared" si="4"/>
        <v>950</v>
      </c>
      <c r="N306" s="70">
        <f t="shared" si="5"/>
        <v>6650</v>
      </c>
      <c r="O306" s="60"/>
      <c r="P306" s="61"/>
      <c r="Q306" s="60"/>
      <c r="T306" s="5" t="s">
        <v>312</v>
      </c>
    </row>
    <row r="307" spans="2:20" ht="21" customHeight="1">
      <c r="B307" s="67" t="s">
        <v>827</v>
      </c>
      <c r="C307" s="68"/>
      <c r="D307" s="68"/>
      <c r="E307" s="68"/>
      <c r="F307" s="68"/>
      <c r="G307" s="68"/>
      <c r="H307" s="68"/>
      <c r="I307" s="68"/>
      <c r="J307" s="69" t="s">
        <v>374</v>
      </c>
      <c r="K307" s="69"/>
      <c r="L307" s="70"/>
      <c r="M307" s="70"/>
      <c r="N307" s="70"/>
      <c r="O307" s="60"/>
      <c r="P307" s="61"/>
      <c r="Q307" s="60"/>
      <c r="T307" s="5" t="s">
        <v>69</v>
      </c>
    </row>
    <row r="308" spans="1:20" ht="21" customHeight="1">
      <c r="A308" s="57">
        <f>A306+1</f>
        <v>158</v>
      </c>
      <c r="B308" s="67" t="s">
        <v>828</v>
      </c>
      <c r="C308" s="68">
        <v>10</v>
      </c>
      <c r="D308" s="68">
        <v>8</v>
      </c>
      <c r="E308" s="68"/>
      <c r="F308" s="68"/>
      <c r="G308" s="68"/>
      <c r="H308" s="68"/>
      <c r="I308" s="68"/>
      <c r="J308" s="113" t="s">
        <v>368</v>
      </c>
      <c r="K308" s="69">
        <v>2</v>
      </c>
      <c r="L308" s="70">
        <f>230+180</f>
        <v>410</v>
      </c>
      <c r="M308" s="70">
        <f t="shared" si="4"/>
        <v>2050</v>
      </c>
      <c r="N308" s="70">
        <f t="shared" si="5"/>
        <v>14350</v>
      </c>
      <c r="O308" s="60"/>
      <c r="P308" s="61"/>
      <c r="Q308" s="60"/>
      <c r="T308" s="5" t="s">
        <v>1024</v>
      </c>
    </row>
    <row r="309" spans="2:20" ht="21" customHeight="1">
      <c r="B309" s="67" t="s">
        <v>828</v>
      </c>
      <c r="C309" s="68"/>
      <c r="D309" s="68"/>
      <c r="E309" s="68"/>
      <c r="F309" s="68"/>
      <c r="G309" s="68"/>
      <c r="H309" s="68"/>
      <c r="I309" s="68"/>
      <c r="J309" s="113" t="s">
        <v>368</v>
      </c>
      <c r="K309" s="69"/>
      <c r="L309" s="70"/>
      <c r="M309" s="70"/>
      <c r="N309" s="70"/>
      <c r="O309" s="60"/>
      <c r="P309" s="61"/>
      <c r="Q309" s="60"/>
      <c r="T309" s="5" t="s">
        <v>1025</v>
      </c>
    </row>
    <row r="310" spans="1:20" ht="21" customHeight="1">
      <c r="A310" s="57">
        <f>A308+1</f>
        <v>159</v>
      </c>
      <c r="B310" s="67" t="s">
        <v>1137</v>
      </c>
      <c r="C310" s="68">
        <v>13</v>
      </c>
      <c r="D310" s="68">
        <v>10</v>
      </c>
      <c r="E310" s="68">
        <v>9</v>
      </c>
      <c r="F310" s="68">
        <v>8</v>
      </c>
      <c r="G310" s="68"/>
      <c r="H310" s="68"/>
      <c r="I310" s="68"/>
      <c r="J310" s="69" t="s">
        <v>631</v>
      </c>
      <c r="K310" s="69">
        <v>2</v>
      </c>
      <c r="L310" s="70">
        <v>150</v>
      </c>
      <c r="M310" s="70">
        <f t="shared" si="4"/>
        <v>750</v>
      </c>
      <c r="N310" s="70">
        <f t="shared" si="5"/>
        <v>5250</v>
      </c>
      <c r="O310" s="60"/>
      <c r="P310" s="61"/>
      <c r="Q310" s="60"/>
      <c r="T310" s="5" t="s">
        <v>147</v>
      </c>
    </row>
    <row r="311" spans="2:20" ht="21" customHeight="1">
      <c r="B311" s="67" t="s">
        <v>1137</v>
      </c>
      <c r="C311" s="68">
        <v>13</v>
      </c>
      <c r="D311" s="68">
        <v>10</v>
      </c>
      <c r="E311" s="68">
        <v>9</v>
      </c>
      <c r="F311" s="68">
        <v>8</v>
      </c>
      <c r="G311" s="68"/>
      <c r="H311" s="68"/>
      <c r="I311" s="68"/>
      <c r="J311" s="69" t="s">
        <v>631</v>
      </c>
      <c r="K311" s="69"/>
      <c r="L311" s="70"/>
      <c r="M311" s="70"/>
      <c r="N311" s="70"/>
      <c r="O311" s="60"/>
      <c r="P311" s="61"/>
      <c r="Q311" s="60"/>
      <c r="T311" s="5" t="s">
        <v>148</v>
      </c>
    </row>
    <row r="312" spans="1:20" ht="21" customHeight="1">
      <c r="A312" s="57">
        <f>A310+1</f>
        <v>160</v>
      </c>
      <c r="B312" s="67" t="s">
        <v>1137</v>
      </c>
      <c r="C312" s="68">
        <v>13</v>
      </c>
      <c r="D312" s="68">
        <v>10</v>
      </c>
      <c r="E312" s="68">
        <v>9</v>
      </c>
      <c r="F312" s="68">
        <v>8</v>
      </c>
      <c r="G312" s="68"/>
      <c r="H312" s="68"/>
      <c r="I312" s="68"/>
      <c r="J312" s="69" t="s">
        <v>631</v>
      </c>
      <c r="K312" s="69">
        <v>2</v>
      </c>
      <c r="L312" s="70">
        <f>300+300</f>
        <v>600</v>
      </c>
      <c r="M312" s="70">
        <f t="shared" si="4"/>
        <v>3000</v>
      </c>
      <c r="N312" s="70">
        <f t="shared" si="5"/>
        <v>21000</v>
      </c>
      <c r="O312" s="60"/>
      <c r="P312" s="61"/>
      <c r="Q312" s="60"/>
      <c r="T312" s="5" t="s">
        <v>1076</v>
      </c>
    </row>
    <row r="313" spans="2:20" ht="21" customHeight="1">
      <c r="B313" s="67" t="s">
        <v>1137</v>
      </c>
      <c r="C313" s="68">
        <v>13</v>
      </c>
      <c r="D313" s="68">
        <v>10</v>
      </c>
      <c r="E313" s="68">
        <v>9</v>
      </c>
      <c r="F313" s="68">
        <v>8</v>
      </c>
      <c r="G313" s="68"/>
      <c r="H313" s="68"/>
      <c r="I313" s="68"/>
      <c r="J313" s="69" t="s">
        <v>631</v>
      </c>
      <c r="K313" s="69"/>
      <c r="L313" s="70"/>
      <c r="M313" s="70"/>
      <c r="N313" s="70"/>
      <c r="O313" s="60"/>
      <c r="P313" s="61"/>
      <c r="Q313" s="60"/>
      <c r="T313" s="5" t="s">
        <v>674</v>
      </c>
    </row>
    <row r="314" spans="1:20" ht="21" customHeight="1">
      <c r="A314" s="57">
        <f>A312+1</f>
        <v>161</v>
      </c>
      <c r="B314" s="67" t="s">
        <v>1137</v>
      </c>
      <c r="C314" s="68">
        <v>13</v>
      </c>
      <c r="D314" s="68">
        <v>10</v>
      </c>
      <c r="E314" s="68">
        <v>9</v>
      </c>
      <c r="F314" s="68">
        <v>8</v>
      </c>
      <c r="G314" s="68"/>
      <c r="H314" s="68"/>
      <c r="I314" s="68"/>
      <c r="J314" s="69" t="s">
        <v>631</v>
      </c>
      <c r="K314" s="69">
        <v>2</v>
      </c>
      <c r="L314" s="70">
        <v>300</v>
      </c>
      <c r="M314" s="70">
        <f t="shared" si="4"/>
        <v>1500</v>
      </c>
      <c r="N314" s="70">
        <f t="shared" si="5"/>
        <v>10500</v>
      </c>
      <c r="O314" s="60"/>
      <c r="P314" s="61"/>
      <c r="Q314" s="60"/>
      <c r="T314" s="5" t="s">
        <v>149</v>
      </c>
    </row>
    <row r="315" spans="1:20" ht="21" customHeight="1">
      <c r="A315" s="57">
        <f>A314+1</f>
        <v>162</v>
      </c>
      <c r="B315" s="67" t="s">
        <v>428</v>
      </c>
      <c r="C315" s="68">
        <v>9</v>
      </c>
      <c r="D315" s="68">
        <v>7</v>
      </c>
      <c r="E315" s="68"/>
      <c r="F315" s="68"/>
      <c r="G315" s="68"/>
      <c r="H315" s="68"/>
      <c r="I315" s="68"/>
      <c r="J315" s="112" t="s">
        <v>452</v>
      </c>
      <c r="K315" s="69">
        <v>2</v>
      </c>
      <c r="L315" s="70">
        <v>150</v>
      </c>
      <c r="M315" s="70">
        <f t="shared" si="4"/>
        <v>750</v>
      </c>
      <c r="N315" s="70">
        <f t="shared" si="5"/>
        <v>5250</v>
      </c>
      <c r="O315" s="60"/>
      <c r="P315" s="61"/>
      <c r="Q315" s="60"/>
      <c r="T315" s="5" t="s">
        <v>335</v>
      </c>
    </row>
    <row r="316" spans="2:20" ht="21" customHeight="1">
      <c r="B316" s="67" t="s">
        <v>428</v>
      </c>
      <c r="C316" s="68"/>
      <c r="D316" s="68"/>
      <c r="E316" s="68"/>
      <c r="F316" s="68"/>
      <c r="G316" s="68"/>
      <c r="H316" s="68"/>
      <c r="I316" s="68"/>
      <c r="J316" s="112" t="s">
        <v>452</v>
      </c>
      <c r="K316" s="69"/>
      <c r="L316" s="70"/>
      <c r="M316" s="70"/>
      <c r="N316" s="70"/>
      <c r="O316" s="60"/>
      <c r="P316" s="61"/>
      <c r="Q316" s="60"/>
      <c r="T316" s="5" t="s">
        <v>312</v>
      </c>
    </row>
    <row r="317" spans="2:20" ht="21" customHeight="1">
      <c r="B317" s="67" t="s">
        <v>428</v>
      </c>
      <c r="C317" s="68"/>
      <c r="D317" s="68"/>
      <c r="E317" s="68"/>
      <c r="F317" s="68"/>
      <c r="G317" s="68"/>
      <c r="H317" s="68"/>
      <c r="I317" s="68"/>
      <c r="J317" s="112" t="s">
        <v>452</v>
      </c>
      <c r="K317" s="69"/>
      <c r="L317" s="70"/>
      <c r="M317" s="70"/>
      <c r="N317" s="70"/>
      <c r="O317" s="60"/>
      <c r="P317" s="61"/>
      <c r="Q317" s="60"/>
      <c r="T317" s="5" t="s">
        <v>551</v>
      </c>
    </row>
    <row r="318" spans="1:20" s="89" customFormat="1" ht="21" customHeight="1">
      <c r="A318" s="57">
        <f>A315+1</f>
        <v>163</v>
      </c>
      <c r="B318" s="67" t="s">
        <v>414</v>
      </c>
      <c r="C318" s="68">
        <v>10</v>
      </c>
      <c r="D318" s="68">
        <v>9</v>
      </c>
      <c r="E318" s="68"/>
      <c r="F318" s="68"/>
      <c r="G318" s="68"/>
      <c r="H318" s="68"/>
      <c r="I318" s="68"/>
      <c r="J318" s="112" t="s">
        <v>453</v>
      </c>
      <c r="K318" s="69">
        <v>2</v>
      </c>
      <c r="L318" s="70">
        <f>179+185</f>
        <v>364</v>
      </c>
      <c r="M318" s="70">
        <f t="shared" si="4"/>
        <v>1820</v>
      </c>
      <c r="N318" s="70">
        <f t="shared" si="5"/>
        <v>12740</v>
      </c>
      <c r="P318" s="90"/>
      <c r="T318" s="5" t="s">
        <v>562</v>
      </c>
    </row>
    <row r="319" spans="1:20" s="89" customFormat="1" ht="21" customHeight="1">
      <c r="A319" s="57"/>
      <c r="B319" s="67" t="s">
        <v>414</v>
      </c>
      <c r="C319" s="68"/>
      <c r="D319" s="68"/>
      <c r="E319" s="68"/>
      <c r="F319" s="68"/>
      <c r="G319" s="68"/>
      <c r="H319" s="68"/>
      <c r="I319" s="68"/>
      <c r="J319" s="112" t="s">
        <v>453</v>
      </c>
      <c r="K319" s="69"/>
      <c r="L319" s="70"/>
      <c r="M319" s="70"/>
      <c r="N319" s="70"/>
      <c r="P319" s="90"/>
      <c r="T319" s="5" t="s">
        <v>693</v>
      </c>
    </row>
    <row r="320" spans="1:20" ht="21" customHeight="1">
      <c r="A320" s="57">
        <f>A318+1</f>
        <v>164</v>
      </c>
      <c r="B320" s="67" t="s">
        <v>414</v>
      </c>
      <c r="C320" s="68">
        <v>10</v>
      </c>
      <c r="D320" s="68">
        <v>9</v>
      </c>
      <c r="E320" s="68"/>
      <c r="F320" s="68"/>
      <c r="G320" s="68"/>
      <c r="H320" s="68"/>
      <c r="I320" s="68"/>
      <c r="J320" s="112" t="s">
        <v>453</v>
      </c>
      <c r="K320" s="80">
        <v>2</v>
      </c>
      <c r="L320" s="81">
        <v>100</v>
      </c>
      <c r="M320" s="70">
        <f t="shared" si="4"/>
        <v>500</v>
      </c>
      <c r="N320" s="70">
        <f t="shared" si="5"/>
        <v>3500</v>
      </c>
      <c r="O320" s="60"/>
      <c r="P320" s="61"/>
      <c r="Q320" s="60"/>
      <c r="T320" s="5" t="s">
        <v>1003</v>
      </c>
    </row>
    <row r="321" spans="2:20" ht="21" customHeight="1">
      <c r="B321" s="67" t="s">
        <v>414</v>
      </c>
      <c r="C321" s="68"/>
      <c r="D321" s="68"/>
      <c r="E321" s="68"/>
      <c r="F321" s="68"/>
      <c r="G321" s="68"/>
      <c r="H321" s="68"/>
      <c r="I321" s="68"/>
      <c r="J321" s="112" t="s">
        <v>453</v>
      </c>
      <c r="M321" s="70"/>
      <c r="N321" s="70"/>
      <c r="O321" s="60"/>
      <c r="P321" s="61"/>
      <c r="Q321" s="60"/>
      <c r="T321" s="5" t="s">
        <v>1004</v>
      </c>
    </row>
    <row r="322" spans="1:20" ht="21" customHeight="1">
      <c r="A322" s="57">
        <f>A320+1</f>
        <v>165</v>
      </c>
      <c r="B322" s="67" t="s">
        <v>918</v>
      </c>
      <c r="C322" s="68">
        <v>10</v>
      </c>
      <c r="D322" s="68">
        <v>8</v>
      </c>
      <c r="E322" s="68">
        <v>6</v>
      </c>
      <c r="F322" s="68"/>
      <c r="G322" s="68"/>
      <c r="H322" s="68"/>
      <c r="I322" s="68"/>
      <c r="J322" s="113" t="s">
        <v>633</v>
      </c>
      <c r="K322" s="69">
        <v>2</v>
      </c>
      <c r="L322" s="70">
        <f>128+127</f>
        <v>255</v>
      </c>
      <c r="M322" s="70">
        <f t="shared" si="4"/>
        <v>1275</v>
      </c>
      <c r="N322" s="70">
        <f t="shared" si="5"/>
        <v>8925</v>
      </c>
      <c r="O322" s="60"/>
      <c r="P322" s="61"/>
      <c r="Q322" s="60"/>
      <c r="T322" s="5" t="s">
        <v>562</v>
      </c>
    </row>
    <row r="323" spans="2:20" ht="21" customHeight="1">
      <c r="B323" s="67" t="s">
        <v>918</v>
      </c>
      <c r="C323" s="68"/>
      <c r="D323" s="68"/>
      <c r="E323" s="68"/>
      <c r="F323" s="68"/>
      <c r="G323" s="68"/>
      <c r="H323" s="68"/>
      <c r="I323" s="68"/>
      <c r="J323" s="113" t="s">
        <v>633</v>
      </c>
      <c r="K323" s="69"/>
      <c r="L323" s="70"/>
      <c r="M323" s="70"/>
      <c r="N323" s="70"/>
      <c r="O323" s="60"/>
      <c r="P323" s="61"/>
      <c r="Q323" s="60"/>
      <c r="T323" s="5" t="s">
        <v>1107</v>
      </c>
    </row>
    <row r="324" spans="1:20" ht="21" customHeight="1">
      <c r="A324" s="57">
        <f>A322+1</f>
        <v>166</v>
      </c>
      <c r="B324" s="67" t="s">
        <v>429</v>
      </c>
      <c r="C324" s="68">
        <v>10</v>
      </c>
      <c r="D324" s="68">
        <v>8</v>
      </c>
      <c r="E324" s="68">
        <v>6</v>
      </c>
      <c r="F324" s="68"/>
      <c r="G324" s="68"/>
      <c r="H324" s="68"/>
      <c r="I324" s="68"/>
      <c r="J324" s="69" t="s">
        <v>435</v>
      </c>
      <c r="K324" s="69">
        <v>2</v>
      </c>
      <c r="L324" s="70">
        <f>121+79</f>
        <v>200</v>
      </c>
      <c r="M324" s="70">
        <f t="shared" si="4"/>
        <v>1000</v>
      </c>
      <c r="N324" s="70">
        <f t="shared" si="5"/>
        <v>7000</v>
      </c>
      <c r="O324" s="60"/>
      <c r="P324" s="61"/>
      <c r="Q324" s="60"/>
      <c r="T324" s="5" t="s">
        <v>693</v>
      </c>
    </row>
    <row r="325" spans="2:20" ht="21" customHeight="1">
      <c r="B325" s="67" t="s">
        <v>429</v>
      </c>
      <c r="C325" s="68"/>
      <c r="D325" s="68"/>
      <c r="E325" s="68"/>
      <c r="F325" s="68"/>
      <c r="G325" s="68"/>
      <c r="H325" s="68"/>
      <c r="I325" s="68"/>
      <c r="J325" s="69" t="s">
        <v>435</v>
      </c>
      <c r="K325" s="69"/>
      <c r="L325" s="70"/>
      <c r="M325" s="70"/>
      <c r="N325" s="70"/>
      <c r="O325" s="60"/>
      <c r="P325" s="61"/>
      <c r="Q325" s="60"/>
      <c r="T325" s="5" t="s">
        <v>69</v>
      </c>
    </row>
    <row r="326" spans="1:20" ht="21" customHeight="1">
      <c r="A326" s="57">
        <f>A324+1</f>
        <v>167</v>
      </c>
      <c r="B326" s="67" t="s">
        <v>1138</v>
      </c>
      <c r="C326" s="68">
        <v>13.5</v>
      </c>
      <c r="D326" s="68">
        <v>11</v>
      </c>
      <c r="E326" s="68">
        <v>9</v>
      </c>
      <c r="F326" s="68">
        <v>8</v>
      </c>
      <c r="G326" s="68">
        <v>7.5</v>
      </c>
      <c r="H326" s="68"/>
      <c r="I326" s="68"/>
      <c r="J326" s="69" t="s">
        <v>632</v>
      </c>
      <c r="K326" s="69">
        <v>2</v>
      </c>
      <c r="L326" s="70">
        <f>135+134+140+148</f>
        <v>557</v>
      </c>
      <c r="M326" s="70">
        <f t="shared" si="4"/>
        <v>2785</v>
      </c>
      <c r="N326" s="70">
        <f t="shared" si="5"/>
        <v>19495</v>
      </c>
      <c r="O326" s="60"/>
      <c r="P326" s="61"/>
      <c r="Q326" s="60"/>
      <c r="T326" s="5" t="s">
        <v>152</v>
      </c>
    </row>
    <row r="327" spans="2:20" ht="21" customHeight="1">
      <c r="B327" s="67" t="s">
        <v>1138</v>
      </c>
      <c r="C327" s="68">
        <v>13.5</v>
      </c>
      <c r="D327" s="68">
        <v>11</v>
      </c>
      <c r="E327" s="68">
        <v>9</v>
      </c>
      <c r="F327" s="68">
        <v>8</v>
      </c>
      <c r="G327" s="68">
        <v>7.5</v>
      </c>
      <c r="H327" s="68"/>
      <c r="I327" s="68"/>
      <c r="J327" s="69" t="s">
        <v>632</v>
      </c>
      <c r="K327" s="69"/>
      <c r="L327" s="70"/>
      <c r="M327" s="70"/>
      <c r="N327" s="70"/>
      <c r="O327" s="60"/>
      <c r="P327" s="61"/>
      <c r="Q327" s="60"/>
      <c r="T327" s="5" t="s">
        <v>161</v>
      </c>
    </row>
    <row r="328" spans="1:20" ht="21" customHeight="1">
      <c r="A328" s="57">
        <f>A326+1</f>
        <v>168</v>
      </c>
      <c r="B328" s="67" t="s">
        <v>1138</v>
      </c>
      <c r="C328" s="68">
        <v>13.5</v>
      </c>
      <c r="D328" s="68">
        <v>11</v>
      </c>
      <c r="E328" s="68">
        <v>9</v>
      </c>
      <c r="F328" s="68">
        <v>8</v>
      </c>
      <c r="G328" s="68">
        <v>7.5</v>
      </c>
      <c r="H328" s="68"/>
      <c r="I328" s="68"/>
      <c r="J328" s="69" t="s">
        <v>632</v>
      </c>
      <c r="K328" s="69">
        <v>2</v>
      </c>
      <c r="L328" s="70">
        <v>200</v>
      </c>
      <c r="M328" s="70">
        <f t="shared" si="4"/>
        <v>1000</v>
      </c>
      <c r="N328" s="70">
        <f t="shared" si="5"/>
        <v>7000</v>
      </c>
      <c r="O328" s="60"/>
      <c r="P328" s="61"/>
      <c r="Q328" s="60"/>
      <c r="T328" s="5" t="s">
        <v>6</v>
      </c>
    </row>
    <row r="329" spans="2:20" ht="21" customHeight="1">
      <c r="B329" s="67" t="s">
        <v>1138</v>
      </c>
      <c r="C329" s="68">
        <v>13.5</v>
      </c>
      <c r="D329" s="68">
        <v>11</v>
      </c>
      <c r="E329" s="68">
        <v>9</v>
      </c>
      <c r="F329" s="68">
        <v>8</v>
      </c>
      <c r="G329" s="68">
        <v>7.5</v>
      </c>
      <c r="H329" s="68"/>
      <c r="I329" s="68"/>
      <c r="J329" s="69" t="s">
        <v>632</v>
      </c>
      <c r="K329" s="69"/>
      <c r="L329" s="70"/>
      <c r="M329" s="70"/>
      <c r="N329" s="70"/>
      <c r="O329" s="60"/>
      <c r="P329" s="61"/>
      <c r="Q329" s="60"/>
      <c r="T329" s="5" t="s">
        <v>162</v>
      </c>
    </row>
    <row r="330" spans="1:20" ht="21" customHeight="1">
      <c r="A330" s="57">
        <f>A328+1</f>
        <v>169</v>
      </c>
      <c r="B330" s="67" t="s">
        <v>1138</v>
      </c>
      <c r="C330" s="68">
        <v>13.5</v>
      </c>
      <c r="D330" s="68">
        <v>11</v>
      </c>
      <c r="E330" s="68">
        <v>9</v>
      </c>
      <c r="F330" s="68">
        <v>8</v>
      </c>
      <c r="G330" s="68">
        <v>7.5</v>
      </c>
      <c r="H330" s="68"/>
      <c r="I330" s="68"/>
      <c r="J330" s="69" t="s">
        <v>632</v>
      </c>
      <c r="K330" s="69">
        <v>2</v>
      </c>
      <c r="L330" s="70">
        <v>200</v>
      </c>
      <c r="M330" s="70">
        <f t="shared" si="4"/>
        <v>1000</v>
      </c>
      <c r="N330" s="70">
        <f t="shared" si="5"/>
        <v>7000</v>
      </c>
      <c r="Q330" s="60"/>
      <c r="T330" s="5" t="s">
        <v>674</v>
      </c>
    </row>
    <row r="331" spans="1:20" ht="21" customHeight="1">
      <c r="A331" s="57">
        <f>A330+1</f>
        <v>170</v>
      </c>
      <c r="B331" s="67" t="s">
        <v>829</v>
      </c>
      <c r="C331" s="68">
        <v>10</v>
      </c>
      <c r="D331" s="68">
        <v>8</v>
      </c>
      <c r="E331" s="68"/>
      <c r="F331" s="68"/>
      <c r="G331" s="68"/>
      <c r="H331" s="68"/>
      <c r="I331" s="68"/>
      <c r="J331" s="69" t="s">
        <v>1075</v>
      </c>
      <c r="K331" s="69">
        <v>2</v>
      </c>
      <c r="L331" s="70">
        <f>465+130</f>
        <v>595</v>
      </c>
      <c r="M331" s="70">
        <f t="shared" si="4"/>
        <v>2975</v>
      </c>
      <c r="N331" s="70">
        <f t="shared" si="5"/>
        <v>20825</v>
      </c>
      <c r="Q331" s="60"/>
      <c r="T331" s="5" t="s">
        <v>674</v>
      </c>
    </row>
    <row r="332" spans="2:20" ht="21" customHeight="1">
      <c r="B332" s="67" t="s">
        <v>829</v>
      </c>
      <c r="C332" s="68"/>
      <c r="D332" s="68"/>
      <c r="E332" s="68"/>
      <c r="F332" s="68"/>
      <c r="G332" s="68"/>
      <c r="H332" s="68"/>
      <c r="I332" s="68"/>
      <c r="J332" s="69" t="s">
        <v>1075</v>
      </c>
      <c r="K332" s="69"/>
      <c r="L332" s="70"/>
      <c r="M332" s="70"/>
      <c r="N332" s="70"/>
      <c r="Q332" s="60"/>
      <c r="T332" s="5" t="s">
        <v>1076</v>
      </c>
    </row>
    <row r="333" spans="1:20" ht="21" customHeight="1">
      <c r="A333" s="57">
        <f>A331+1</f>
        <v>171</v>
      </c>
      <c r="B333" s="77" t="s">
        <v>499</v>
      </c>
      <c r="C333" s="68">
        <v>10</v>
      </c>
      <c r="D333" s="68">
        <v>8</v>
      </c>
      <c r="E333" s="68"/>
      <c r="F333" s="68"/>
      <c r="G333" s="68"/>
      <c r="H333" s="68"/>
      <c r="I333" s="68"/>
      <c r="J333" s="112" t="s">
        <v>634</v>
      </c>
      <c r="K333" s="69">
        <v>1</v>
      </c>
      <c r="L333" s="70">
        <v>286</v>
      </c>
      <c r="M333" s="70">
        <f t="shared" si="4"/>
        <v>1430</v>
      </c>
      <c r="N333" s="70">
        <f t="shared" si="5"/>
        <v>10010</v>
      </c>
      <c r="Q333" s="60"/>
      <c r="T333" s="5" t="s">
        <v>393</v>
      </c>
    </row>
    <row r="334" spans="1:20" ht="21" customHeight="1">
      <c r="A334" s="57">
        <f>A333+1</f>
        <v>172</v>
      </c>
      <c r="B334" s="67" t="s">
        <v>1139</v>
      </c>
      <c r="C334" s="68">
        <v>13</v>
      </c>
      <c r="D334" s="68">
        <v>11</v>
      </c>
      <c r="E334" s="68">
        <v>9</v>
      </c>
      <c r="F334" s="68">
        <v>8</v>
      </c>
      <c r="G334" s="68"/>
      <c r="H334" s="68"/>
      <c r="I334" s="68"/>
      <c r="J334" s="69" t="s">
        <v>635</v>
      </c>
      <c r="K334" s="69">
        <v>2</v>
      </c>
      <c r="L334" s="70">
        <f>343+472</f>
        <v>815</v>
      </c>
      <c r="M334" s="70">
        <f t="shared" si="4"/>
        <v>4075</v>
      </c>
      <c r="N334" s="70">
        <f t="shared" si="5"/>
        <v>28525</v>
      </c>
      <c r="Q334" s="60"/>
      <c r="T334" s="5" t="s">
        <v>141</v>
      </c>
    </row>
    <row r="335" spans="1:20" ht="21" customHeight="1">
      <c r="A335" s="57">
        <f>A334+1</f>
        <v>173</v>
      </c>
      <c r="B335" s="67" t="s">
        <v>1139</v>
      </c>
      <c r="C335" s="68">
        <v>13</v>
      </c>
      <c r="D335" s="68">
        <v>11</v>
      </c>
      <c r="E335" s="68">
        <v>9</v>
      </c>
      <c r="F335" s="68">
        <v>8</v>
      </c>
      <c r="G335" s="68"/>
      <c r="H335" s="68"/>
      <c r="I335" s="68"/>
      <c r="J335" s="69" t="s">
        <v>635</v>
      </c>
      <c r="K335" s="69">
        <v>2</v>
      </c>
      <c r="L335" s="70">
        <v>200</v>
      </c>
      <c r="M335" s="70">
        <f t="shared" si="4"/>
        <v>1000</v>
      </c>
      <c r="N335" s="70">
        <f t="shared" si="5"/>
        <v>7000</v>
      </c>
      <c r="Q335" s="62"/>
      <c r="T335" s="5" t="s">
        <v>142</v>
      </c>
    </row>
    <row r="336" spans="1:20" ht="21" customHeight="1">
      <c r="A336" s="57">
        <f>A335+1</f>
        <v>174</v>
      </c>
      <c r="B336" s="67" t="s">
        <v>1139</v>
      </c>
      <c r="C336" s="68">
        <v>13</v>
      </c>
      <c r="D336" s="68">
        <v>11</v>
      </c>
      <c r="E336" s="68">
        <v>9</v>
      </c>
      <c r="F336" s="68">
        <v>8</v>
      </c>
      <c r="G336" s="68"/>
      <c r="H336" s="68"/>
      <c r="I336" s="68"/>
      <c r="J336" s="69" t="s">
        <v>635</v>
      </c>
      <c r="K336" s="69">
        <v>2</v>
      </c>
      <c r="L336" s="70">
        <v>250</v>
      </c>
      <c r="M336" s="70">
        <f t="shared" si="4"/>
        <v>1250</v>
      </c>
      <c r="N336" s="70">
        <f t="shared" si="5"/>
        <v>8750</v>
      </c>
      <c r="O336" s="60"/>
      <c r="P336" s="61"/>
      <c r="Q336" s="60"/>
      <c r="T336" s="5" t="s">
        <v>6</v>
      </c>
    </row>
    <row r="337" spans="1:20" ht="21" customHeight="1">
      <c r="A337" s="57">
        <f>A336+1</f>
        <v>175</v>
      </c>
      <c r="B337" s="77" t="s">
        <v>309</v>
      </c>
      <c r="C337" s="68">
        <v>10</v>
      </c>
      <c r="D337" s="68">
        <v>8</v>
      </c>
      <c r="E337" s="68"/>
      <c r="F337" s="68"/>
      <c r="G337" s="68"/>
      <c r="H337" s="68"/>
      <c r="I337" s="68"/>
      <c r="J337" s="112" t="s">
        <v>313</v>
      </c>
      <c r="K337" s="69">
        <v>2</v>
      </c>
      <c r="L337" s="70">
        <f>315+182</f>
        <v>497</v>
      </c>
      <c r="M337" s="70">
        <f t="shared" si="4"/>
        <v>2485</v>
      </c>
      <c r="N337" s="70">
        <f t="shared" si="5"/>
        <v>17395</v>
      </c>
      <c r="O337" s="60"/>
      <c r="P337" s="61"/>
      <c r="Q337" s="60"/>
      <c r="T337" s="5" t="s">
        <v>676</v>
      </c>
    </row>
    <row r="338" spans="1:20" ht="21" customHeight="1">
      <c r="A338" s="57">
        <f>A337+1</f>
        <v>176</v>
      </c>
      <c r="B338" s="67" t="s">
        <v>1140</v>
      </c>
      <c r="C338" s="68">
        <v>10</v>
      </c>
      <c r="D338" s="68">
        <v>8</v>
      </c>
      <c r="E338" s="68">
        <v>7</v>
      </c>
      <c r="F338" s="68"/>
      <c r="G338" s="68"/>
      <c r="H338" s="68"/>
      <c r="I338" s="68"/>
      <c r="J338" s="69" t="s">
        <v>1141</v>
      </c>
      <c r="K338" s="69">
        <v>2</v>
      </c>
      <c r="L338" s="70">
        <f>85+84</f>
        <v>169</v>
      </c>
      <c r="M338" s="70">
        <f t="shared" si="4"/>
        <v>845</v>
      </c>
      <c r="N338" s="70">
        <f t="shared" si="5"/>
        <v>5915</v>
      </c>
      <c r="T338" s="5" t="s">
        <v>158</v>
      </c>
    </row>
    <row r="339" spans="2:20" ht="21" customHeight="1">
      <c r="B339" s="67" t="s">
        <v>1140</v>
      </c>
      <c r="C339" s="68">
        <v>10</v>
      </c>
      <c r="D339" s="68">
        <v>8</v>
      </c>
      <c r="E339" s="68">
        <v>7</v>
      </c>
      <c r="F339" s="68"/>
      <c r="G339" s="68"/>
      <c r="H339" s="68"/>
      <c r="I339" s="68"/>
      <c r="J339" s="69" t="s">
        <v>1141</v>
      </c>
      <c r="K339" s="69"/>
      <c r="L339" s="70"/>
      <c r="M339" s="70"/>
      <c r="N339" s="70"/>
      <c r="T339" s="5" t="s">
        <v>149</v>
      </c>
    </row>
    <row r="340" spans="1:20" ht="21" customHeight="1">
      <c r="A340" s="57">
        <f>A338+1</f>
        <v>177</v>
      </c>
      <c r="B340" s="67" t="s">
        <v>1142</v>
      </c>
      <c r="C340" s="68">
        <v>15</v>
      </c>
      <c r="D340" s="68">
        <v>12.5</v>
      </c>
      <c r="E340" s="68">
        <v>14</v>
      </c>
      <c r="F340" s="68">
        <v>12</v>
      </c>
      <c r="G340" s="68">
        <v>8</v>
      </c>
      <c r="H340" s="68"/>
      <c r="I340" s="68"/>
      <c r="J340" s="69" t="s">
        <v>636</v>
      </c>
      <c r="K340" s="69">
        <v>2</v>
      </c>
      <c r="L340" s="70">
        <f>160+160</f>
        <v>320</v>
      </c>
      <c r="M340" s="70">
        <f t="shared" si="4"/>
        <v>1600</v>
      </c>
      <c r="N340" s="70">
        <f t="shared" si="5"/>
        <v>11200</v>
      </c>
      <c r="O340" s="60"/>
      <c r="P340" s="61"/>
      <c r="Q340" s="60"/>
      <c r="T340" s="5" t="s">
        <v>159</v>
      </c>
    </row>
    <row r="341" spans="2:20" ht="21" customHeight="1">
      <c r="B341" s="67" t="s">
        <v>1142</v>
      </c>
      <c r="C341" s="68">
        <v>15</v>
      </c>
      <c r="D341" s="68">
        <v>12.5</v>
      </c>
      <c r="E341" s="68">
        <v>14</v>
      </c>
      <c r="F341" s="68">
        <v>12</v>
      </c>
      <c r="G341" s="68">
        <v>8</v>
      </c>
      <c r="H341" s="68"/>
      <c r="I341" s="68"/>
      <c r="J341" s="69" t="s">
        <v>636</v>
      </c>
      <c r="K341" s="69"/>
      <c r="L341" s="70"/>
      <c r="M341" s="70"/>
      <c r="N341" s="70"/>
      <c r="O341" s="60"/>
      <c r="P341" s="61"/>
      <c r="Q341" s="60"/>
      <c r="T341" s="5" t="s">
        <v>94</v>
      </c>
    </row>
    <row r="342" spans="1:20" s="60" customFormat="1" ht="21" customHeight="1">
      <c r="A342" s="57">
        <f>A340+1</f>
        <v>178</v>
      </c>
      <c r="B342" s="67" t="s">
        <v>1142</v>
      </c>
      <c r="C342" s="68">
        <v>15</v>
      </c>
      <c r="D342" s="68">
        <v>12.5</v>
      </c>
      <c r="E342" s="68">
        <v>14</v>
      </c>
      <c r="F342" s="68">
        <v>12</v>
      </c>
      <c r="G342" s="68">
        <v>8</v>
      </c>
      <c r="H342" s="68"/>
      <c r="I342" s="68"/>
      <c r="J342" s="69" t="s">
        <v>636</v>
      </c>
      <c r="K342" s="69">
        <v>2</v>
      </c>
      <c r="L342" s="70">
        <v>200</v>
      </c>
      <c r="M342" s="70">
        <f t="shared" si="4"/>
        <v>1000</v>
      </c>
      <c r="N342" s="70">
        <f t="shared" si="5"/>
        <v>7000</v>
      </c>
      <c r="P342" s="61"/>
      <c r="T342" s="5" t="s">
        <v>160</v>
      </c>
    </row>
    <row r="343" spans="1:20" ht="21" customHeight="1">
      <c r="A343" s="57">
        <f>A342+1</f>
        <v>179</v>
      </c>
      <c r="B343" s="67" t="s">
        <v>919</v>
      </c>
      <c r="C343" s="68"/>
      <c r="D343" s="68"/>
      <c r="E343" s="68"/>
      <c r="F343" s="68"/>
      <c r="G343" s="68"/>
      <c r="H343" s="68"/>
      <c r="I343" s="68"/>
      <c r="K343" s="69">
        <v>2</v>
      </c>
      <c r="L343" s="69">
        <v>150</v>
      </c>
      <c r="M343" s="70">
        <f t="shared" si="4"/>
        <v>750</v>
      </c>
      <c r="N343" s="70">
        <f t="shared" si="5"/>
        <v>5250</v>
      </c>
      <c r="T343" s="5" t="s">
        <v>81</v>
      </c>
    </row>
    <row r="344" spans="2:20" ht="21" customHeight="1">
      <c r="B344" s="67" t="s">
        <v>919</v>
      </c>
      <c r="C344" s="68"/>
      <c r="D344" s="68"/>
      <c r="E344" s="68"/>
      <c r="F344" s="68"/>
      <c r="G344" s="68"/>
      <c r="H344" s="68"/>
      <c r="I344" s="68"/>
      <c r="K344" s="69"/>
      <c r="L344" s="69"/>
      <c r="M344" s="70"/>
      <c r="N344" s="70"/>
      <c r="T344" s="5" t="s">
        <v>82</v>
      </c>
    </row>
    <row r="345" spans="1:20" ht="21" customHeight="1">
      <c r="A345" s="57">
        <f>A343+1</f>
        <v>180</v>
      </c>
      <c r="B345" s="67" t="s">
        <v>316</v>
      </c>
      <c r="C345" s="68">
        <v>10</v>
      </c>
      <c r="D345" s="68"/>
      <c r="E345" s="68"/>
      <c r="F345" s="68"/>
      <c r="G345" s="68"/>
      <c r="H345" s="68"/>
      <c r="I345" s="68"/>
      <c r="J345" s="112" t="s">
        <v>318</v>
      </c>
      <c r="K345" s="69">
        <v>2</v>
      </c>
      <c r="L345" s="70">
        <f>132+112</f>
        <v>244</v>
      </c>
      <c r="M345" s="70">
        <f t="shared" si="4"/>
        <v>1220</v>
      </c>
      <c r="N345" s="70">
        <f t="shared" si="5"/>
        <v>8540</v>
      </c>
      <c r="O345" s="60"/>
      <c r="P345" s="61"/>
      <c r="Q345" s="60"/>
      <c r="T345" s="5" t="s">
        <v>312</v>
      </c>
    </row>
    <row r="346" spans="2:20" ht="21" customHeight="1">
      <c r="B346" s="67" t="s">
        <v>316</v>
      </c>
      <c r="C346" s="68"/>
      <c r="D346" s="68"/>
      <c r="E346" s="68"/>
      <c r="F346" s="68"/>
      <c r="G346" s="68"/>
      <c r="H346" s="68"/>
      <c r="I346" s="68"/>
      <c r="J346" s="112" t="s">
        <v>318</v>
      </c>
      <c r="K346" s="69"/>
      <c r="L346" s="70"/>
      <c r="M346" s="70"/>
      <c r="N346" s="70"/>
      <c r="O346" s="60"/>
      <c r="P346" s="61"/>
      <c r="Q346" s="60"/>
      <c r="T346" s="5" t="s">
        <v>961</v>
      </c>
    </row>
    <row r="347" spans="1:20" ht="21" customHeight="1">
      <c r="A347" s="57">
        <f>A345+1</f>
        <v>181</v>
      </c>
      <c r="B347" s="77" t="s">
        <v>415</v>
      </c>
      <c r="C347" s="68">
        <v>12</v>
      </c>
      <c r="D347" s="68">
        <v>8</v>
      </c>
      <c r="E347" s="68">
        <v>5</v>
      </c>
      <c r="F347" s="68"/>
      <c r="G347" s="68"/>
      <c r="H347" s="68"/>
      <c r="I347" s="68"/>
      <c r="J347" s="112" t="s">
        <v>454</v>
      </c>
      <c r="K347" s="69">
        <v>2</v>
      </c>
      <c r="L347" s="70">
        <f>400+238</f>
        <v>638</v>
      </c>
      <c r="M347" s="70">
        <f t="shared" si="4"/>
        <v>3190</v>
      </c>
      <c r="N347" s="70">
        <f t="shared" si="5"/>
        <v>22330</v>
      </c>
      <c r="O347" s="60"/>
      <c r="P347" s="61"/>
      <c r="Q347" s="60"/>
      <c r="T347" s="5" t="s">
        <v>301</v>
      </c>
    </row>
    <row r="348" spans="2:20" ht="21" customHeight="1">
      <c r="B348" s="77" t="s">
        <v>415</v>
      </c>
      <c r="C348" s="68">
        <v>12</v>
      </c>
      <c r="D348" s="68">
        <v>8</v>
      </c>
      <c r="E348" s="68">
        <v>5</v>
      </c>
      <c r="F348" s="68"/>
      <c r="G348" s="68"/>
      <c r="H348" s="68"/>
      <c r="I348" s="68"/>
      <c r="J348" s="112" t="s">
        <v>454</v>
      </c>
      <c r="K348" s="69"/>
      <c r="L348" s="70"/>
      <c r="M348" s="70"/>
      <c r="N348" s="70"/>
      <c r="O348" s="60"/>
      <c r="P348" s="61"/>
      <c r="Q348" s="60"/>
      <c r="T348" s="5" t="s">
        <v>279</v>
      </c>
    </row>
    <row r="349" spans="1:20" ht="21" customHeight="1">
      <c r="A349" s="57">
        <f>A347+1</f>
        <v>182</v>
      </c>
      <c r="B349" s="67" t="s">
        <v>415</v>
      </c>
      <c r="C349" s="68">
        <v>12</v>
      </c>
      <c r="D349" s="68">
        <v>8</v>
      </c>
      <c r="E349" s="68">
        <v>5</v>
      </c>
      <c r="F349" s="68"/>
      <c r="G349" s="68"/>
      <c r="H349" s="68"/>
      <c r="I349" s="68"/>
      <c r="J349" s="112" t="s">
        <v>454</v>
      </c>
      <c r="K349" s="69">
        <v>2</v>
      </c>
      <c r="L349" s="69">
        <v>350</v>
      </c>
      <c r="M349" s="70">
        <f t="shared" si="4"/>
        <v>1750</v>
      </c>
      <c r="N349" s="70">
        <f t="shared" si="5"/>
        <v>12250</v>
      </c>
      <c r="O349" s="60"/>
      <c r="P349" s="61"/>
      <c r="Q349" s="60"/>
      <c r="T349" s="5" t="s">
        <v>996</v>
      </c>
    </row>
    <row r="350" spans="1:20" ht="21" customHeight="1">
      <c r="A350" s="57">
        <f>A349+1</f>
        <v>183</v>
      </c>
      <c r="B350" s="67" t="s">
        <v>830</v>
      </c>
      <c r="C350" s="68">
        <v>10</v>
      </c>
      <c r="D350" s="68">
        <v>9</v>
      </c>
      <c r="E350" s="68"/>
      <c r="F350" s="68"/>
      <c r="G350" s="68"/>
      <c r="H350" s="68"/>
      <c r="I350" s="68"/>
      <c r="J350" s="112" t="s">
        <v>455</v>
      </c>
      <c r="K350" s="69">
        <v>2</v>
      </c>
      <c r="L350" s="70">
        <f>73+74</f>
        <v>147</v>
      </c>
      <c r="M350" s="70">
        <f t="shared" si="4"/>
        <v>735</v>
      </c>
      <c r="N350" s="70">
        <f t="shared" si="5"/>
        <v>5145</v>
      </c>
      <c r="O350" s="60"/>
      <c r="P350" s="61"/>
      <c r="Q350" s="60"/>
      <c r="T350" s="5" t="s">
        <v>1065</v>
      </c>
    </row>
    <row r="351" spans="2:20" ht="21" customHeight="1">
      <c r="B351" s="67" t="s">
        <v>830</v>
      </c>
      <c r="C351" s="68">
        <v>10</v>
      </c>
      <c r="D351" s="68">
        <v>9</v>
      </c>
      <c r="E351" s="68"/>
      <c r="F351" s="68"/>
      <c r="G351" s="68"/>
      <c r="H351" s="68"/>
      <c r="I351" s="68"/>
      <c r="J351" s="112" t="s">
        <v>455</v>
      </c>
      <c r="K351" s="69"/>
      <c r="L351" s="70"/>
      <c r="M351" s="70"/>
      <c r="N351" s="70"/>
      <c r="O351" s="60"/>
      <c r="P351" s="61"/>
      <c r="Q351" s="60"/>
      <c r="T351" s="5" t="s">
        <v>1066</v>
      </c>
    </row>
    <row r="352" spans="1:20" ht="21" customHeight="1">
      <c r="A352" s="57">
        <f>A350+1</f>
        <v>184</v>
      </c>
      <c r="B352" s="67" t="s">
        <v>691</v>
      </c>
      <c r="C352" s="68">
        <v>10</v>
      </c>
      <c r="D352" s="68">
        <v>8</v>
      </c>
      <c r="E352" s="68">
        <v>6</v>
      </c>
      <c r="F352" s="68"/>
      <c r="G352" s="68"/>
      <c r="H352" s="68"/>
      <c r="I352" s="68"/>
      <c r="J352" s="69" t="s">
        <v>437</v>
      </c>
      <c r="K352" s="69">
        <v>2</v>
      </c>
      <c r="L352" s="70">
        <f>176+115</f>
        <v>291</v>
      </c>
      <c r="M352" s="70">
        <f t="shared" si="4"/>
        <v>1455</v>
      </c>
      <c r="N352" s="70">
        <f t="shared" si="5"/>
        <v>10185</v>
      </c>
      <c r="O352" s="60"/>
      <c r="P352" s="61"/>
      <c r="Q352" s="60"/>
      <c r="T352" s="5" t="s">
        <v>102</v>
      </c>
    </row>
    <row r="353" spans="2:20" ht="21" customHeight="1">
      <c r="B353" s="67" t="s">
        <v>691</v>
      </c>
      <c r="C353" s="68">
        <v>10</v>
      </c>
      <c r="D353" s="68">
        <v>8</v>
      </c>
      <c r="E353" s="68">
        <v>6</v>
      </c>
      <c r="F353" s="68"/>
      <c r="G353" s="68"/>
      <c r="H353" s="68"/>
      <c r="I353" s="68"/>
      <c r="J353" s="69" t="s">
        <v>437</v>
      </c>
      <c r="K353" s="69"/>
      <c r="L353" s="70"/>
      <c r="M353" s="70"/>
      <c r="N353" s="70"/>
      <c r="O353" s="60"/>
      <c r="P353" s="61"/>
      <c r="Q353" s="60"/>
      <c r="T353" s="5" t="s">
        <v>104</v>
      </c>
    </row>
    <row r="354" spans="1:20" ht="21" customHeight="1">
      <c r="A354" s="57">
        <f>A352+1</f>
        <v>185</v>
      </c>
      <c r="B354" s="67" t="s">
        <v>831</v>
      </c>
      <c r="C354" s="68">
        <v>15.5</v>
      </c>
      <c r="D354" s="68">
        <v>13.5</v>
      </c>
      <c r="E354" s="68">
        <v>13</v>
      </c>
      <c r="F354" s="68">
        <v>11</v>
      </c>
      <c r="G354" s="68"/>
      <c r="H354" s="68"/>
      <c r="I354" s="68"/>
      <c r="J354" s="112" t="s">
        <v>227</v>
      </c>
      <c r="K354" s="69">
        <v>2</v>
      </c>
      <c r="L354" s="70">
        <f>44+146+82</f>
        <v>272</v>
      </c>
      <c r="M354" s="70">
        <f t="shared" si="4"/>
        <v>1360</v>
      </c>
      <c r="N354" s="70">
        <f t="shared" si="5"/>
        <v>9520</v>
      </c>
      <c r="O354" s="60"/>
      <c r="P354" s="61"/>
      <c r="Q354" s="60"/>
      <c r="T354" s="5" t="s">
        <v>37</v>
      </c>
    </row>
    <row r="355" spans="2:20" ht="21" customHeight="1">
      <c r="B355" s="67" t="s">
        <v>831</v>
      </c>
      <c r="C355" s="68">
        <v>15.5</v>
      </c>
      <c r="D355" s="68">
        <v>13.5</v>
      </c>
      <c r="E355" s="68">
        <v>13</v>
      </c>
      <c r="F355" s="68">
        <v>11</v>
      </c>
      <c r="G355" s="68"/>
      <c r="H355" s="68"/>
      <c r="I355" s="68"/>
      <c r="J355" s="112" t="s">
        <v>227</v>
      </c>
      <c r="K355" s="69">
        <v>2</v>
      </c>
      <c r="L355" s="70">
        <f>44+146+82</f>
        <v>272</v>
      </c>
      <c r="M355" s="70">
        <f t="shared" si="4"/>
        <v>1360</v>
      </c>
      <c r="N355" s="70">
        <f t="shared" si="5"/>
        <v>9520</v>
      </c>
      <c r="O355" s="60"/>
      <c r="P355" s="61"/>
      <c r="Q355" s="60"/>
      <c r="T355" s="5" t="s">
        <v>596</v>
      </c>
    </row>
    <row r="356" spans="2:20" ht="21" customHeight="1">
      <c r="B356" s="67" t="s">
        <v>831</v>
      </c>
      <c r="C356" s="68"/>
      <c r="D356" s="68"/>
      <c r="E356" s="68"/>
      <c r="F356" s="68"/>
      <c r="G356" s="68"/>
      <c r="H356" s="68"/>
      <c r="I356" s="68"/>
      <c r="J356" s="112" t="s">
        <v>227</v>
      </c>
      <c r="K356" s="69"/>
      <c r="L356" s="70"/>
      <c r="M356" s="70"/>
      <c r="N356" s="70"/>
      <c r="O356" s="60"/>
      <c r="P356" s="61"/>
      <c r="Q356" s="60"/>
      <c r="T356" s="5" t="s">
        <v>947</v>
      </c>
    </row>
    <row r="357" spans="1:20" s="60" customFormat="1" ht="21" customHeight="1">
      <c r="A357" s="57">
        <f>A354+1</f>
        <v>186</v>
      </c>
      <c r="B357" s="67" t="s">
        <v>1143</v>
      </c>
      <c r="C357" s="68">
        <v>16</v>
      </c>
      <c r="D357" s="68">
        <v>14</v>
      </c>
      <c r="E357" s="68">
        <v>12</v>
      </c>
      <c r="F357" s="68">
        <v>10</v>
      </c>
      <c r="G357" s="68">
        <v>8</v>
      </c>
      <c r="H357" s="68"/>
      <c r="I357" s="68"/>
      <c r="J357" s="69" t="s">
        <v>1144</v>
      </c>
      <c r="K357" s="69">
        <v>2</v>
      </c>
      <c r="L357" s="70">
        <f>140+149</f>
        <v>289</v>
      </c>
      <c r="M357" s="70">
        <f t="shared" si="4"/>
        <v>1445</v>
      </c>
      <c r="N357" s="70">
        <f t="shared" si="5"/>
        <v>10115</v>
      </c>
      <c r="P357" s="61"/>
      <c r="T357" s="5" t="s">
        <v>152</v>
      </c>
    </row>
    <row r="358" spans="1:20" s="60" customFormat="1" ht="21" customHeight="1">
      <c r="A358" s="57"/>
      <c r="B358" s="67" t="s">
        <v>1143</v>
      </c>
      <c r="C358" s="68">
        <v>16</v>
      </c>
      <c r="D358" s="68">
        <v>14</v>
      </c>
      <c r="E358" s="68">
        <v>12</v>
      </c>
      <c r="F358" s="68">
        <v>10</v>
      </c>
      <c r="G358" s="68">
        <v>8</v>
      </c>
      <c r="H358" s="68"/>
      <c r="I358" s="68"/>
      <c r="J358" s="69" t="s">
        <v>1144</v>
      </c>
      <c r="K358" s="69"/>
      <c r="L358" s="70"/>
      <c r="M358" s="70"/>
      <c r="N358" s="70"/>
      <c r="P358" s="61"/>
      <c r="T358" s="5" t="s">
        <v>153</v>
      </c>
    </row>
    <row r="359" spans="1:20" ht="21" customHeight="1">
      <c r="A359" s="57">
        <f>A357+1</f>
        <v>187</v>
      </c>
      <c r="B359" s="67" t="s">
        <v>163</v>
      </c>
      <c r="C359" s="68"/>
      <c r="D359" s="68"/>
      <c r="E359" s="68"/>
      <c r="F359" s="68"/>
      <c r="G359" s="68"/>
      <c r="H359" s="68"/>
      <c r="I359" s="68"/>
      <c r="J359" s="113" t="s">
        <v>228</v>
      </c>
      <c r="K359" s="69">
        <v>1</v>
      </c>
      <c r="L359" s="70">
        <v>200</v>
      </c>
      <c r="M359" s="70">
        <f t="shared" si="4"/>
        <v>1000</v>
      </c>
      <c r="N359" s="70">
        <f t="shared" si="5"/>
        <v>7000</v>
      </c>
      <c r="T359" s="5" t="s">
        <v>596</v>
      </c>
    </row>
    <row r="360" spans="1:20" ht="21" customHeight="1">
      <c r="A360" s="57">
        <f>A359+1</f>
        <v>188</v>
      </c>
      <c r="B360" s="67" t="s">
        <v>324</v>
      </c>
      <c r="C360" s="68">
        <v>8</v>
      </c>
      <c r="D360" s="68">
        <v>6</v>
      </c>
      <c r="E360" s="68">
        <v>4</v>
      </c>
      <c r="F360" s="68"/>
      <c r="G360" s="68"/>
      <c r="H360" s="68"/>
      <c r="I360" s="68"/>
      <c r="J360" s="69" t="s">
        <v>1052</v>
      </c>
      <c r="K360" s="69">
        <v>1</v>
      </c>
      <c r="L360" s="70">
        <f>500</f>
        <v>500</v>
      </c>
      <c r="M360" s="70">
        <f t="shared" si="4"/>
        <v>2500</v>
      </c>
      <c r="N360" s="70">
        <f t="shared" si="5"/>
        <v>17500</v>
      </c>
      <c r="T360" s="5" t="s">
        <v>301</v>
      </c>
    </row>
    <row r="361" spans="2:20" ht="21" customHeight="1">
      <c r="B361" s="67" t="s">
        <v>324</v>
      </c>
      <c r="C361" s="68"/>
      <c r="D361" s="68"/>
      <c r="E361" s="68"/>
      <c r="F361" s="68"/>
      <c r="G361" s="68"/>
      <c r="H361" s="68"/>
      <c r="I361" s="68"/>
      <c r="J361" s="69" t="s">
        <v>1052</v>
      </c>
      <c r="K361" s="69"/>
      <c r="L361" s="70"/>
      <c r="M361" s="70"/>
      <c r="N361" s="70"/>
      <c r="T361" s="5" t="s">
        <v>964</v>
      </c>
    </row>
    <row r="362" spans="1:20" ht="21" customHeight="1">
      <c r="A362" s="57">
        <f>A360+1</f>
        <v>189</v>
      </c>
      <c r="B362" s="67" t="s">
        <v>521</v>
      </c>
      <c r="C362" s="68">
        <v>12</v>
      </c>
      <c r="D362" s="68">
        <v>11</v>
      </c>
      <c r="E362" s="68">
        <v>10</v>
      </c>
      <c r="F362" s="68">
        <v>8</v>
      </c>
      <c r="G362" s="68"/>
      <c r="H362" s="68"/>
      <c r="I362" s="68"/>
      <c r="J362" s="113" t="s">
        <v>637</v>
      </c>
      <c r="K362" s="69">
        <v>2</v>
      </c>
      <c r="L362" s="70">
        <f>245+110</f>
        <v>355</v>
      </c>
      <c r="M362" s="70">
        <f t="shared" si="4"/>
        <v>1775</v>
      </c>
      <c r="N362" s="70">
        <f t="shared" si="5"/>
        <v>12425</v>
      </c>
      <c r="O362" s="60"/>
      <c r="P362" s="61"/>
      <c r="Q362" s="60"/>
      <c r="T362" s="5" t="s">
        <v>596</v>
      </c>
    </row>
    <row r="363" spans="2:20" ht="21" customHeight="1">
      <c r="B363" s="67" t="s">
        <v>521</v>
      </c>
      <c r="C363" s="68"/>
      <c r="D363" s="68"/>
      <c r="E363" s="68"/>
      <c r="F363" s="68"/>
      <c r="G363" s="68"/>
      <c r="H363" s="68"/>
      <c r="I363" s="68"/>
      <c r="J363" s="113" t="s">
        <v>637</v>
      </c>
      <c r="K363" s="69"/>
      <c r="L363" s="70"/>
      <c r="M363" s="70"/>
      <c r="N363" s="70"/>
      <c r="O363" s="60"/>
      <c r="P363" s="61"/>
      <c r="Q363" s="60"/>
      <c r="T363" s="5" t="s">
        <v>46</v>
      </c>
    </row>
    <row r="364" spans="1:20" ht="21" customHeight="1">
      <c r="A364" s="57">
        <f>A362+1</f>
        <v>190</v>
      </c>
      <c r="B364" s="67" t="s">
        <v>521</v>
      </c>
      <c r="C364" s="68">
        <v>12</v>
      </c>
      <c r="D364" s="68">
        <v>11</v>
      </c>
      <c r="E364" s="68">
        <v>10</v>
      </c>
      <c r="F364" s="68">
        <v>8</v>
      </c>
      <c r="G364" s="68"/>
      <c r="H364" s="68"/>
      <c r="I364" s="68"/>
      <c r="J364" s="113" t="s">
        <v>637</v>
      </c>
      <c r="K364" s="69">
        <v>2</v>
      </c>
      <c r="L364" s="70">
        <f>110+141</f>
        <v>251</v>
      </c>
      <c r="M364" s="70">
        <f t="shared" si="4"/>
        <v>1255</v>
      </c>
      <c r="N364" s="70">
        <f t="shared" si="5"/>
        <v>8785</v>
      </c>
      <c r="O364" s="60"/>
      <c r="P364" s="61"/>
      <c r="Q364" s="60"/>
      <c r="T364" s="5" t="s">
        <v>47</v>
      </c>
    </row>
    <row r="365" spans="2:20" ht="21" customHeight="1">
      <c r="B365" s="67" t="s">
        <v>521</v>
      </c>
      <c r="C365" s="68"/>
      <c r="D365" s="68"/>
      <c r="E365" s="68"/>
      <c r="F365" s="68"/>
      <c r="G365" s="68"/>
      <c r="H365" s="68"/>
      <c r="I365" s="68"/>
      <c r="J365" s="113" t="s">
        <v>637</v>
      </c>
      <c r="K365" s="69"/>
      <c r="L365" s="70"/>
      <c r="M365" s="70"/>
      <c r="N365" s="70"/>
      <c r="O365" s="60"/>
      <c r="P365" s="61"/>
      <c r="Q365" s="60"/>
      <c r="T365" s="5" t="s">
        <v>48</v>
      </c>
    </row>
    <row r="366" spans="1:20" ht="21" customHeight="1">
      <c r="A366" s="57">
        <f>A364+1</f>
        <v>191</v>
      </c>
      <c r="B366" s="67" t="s">
        <v>832</v>
      </c>
      <c r="C366" s="68">
        <v>15</v>
      </c>
      <c r="D366" s="68">
        <v>13</v>
      </c>
      <c r="E366" s="68">
        <v>11</v>
      </c>
      <c r="F366" s="68"/>
      <c r="G366" s="68"/>
      <c r="H366" s="68"/>
      <c r="I366" s="68"/>
      <c r="J366" s="112" t="s">
        <v>229</v>
      </c>
      <c r="K366" s="69">
        <v>2</v>
      </c>
      <c r="L366" s="70">
        <f>200+99</f>
        <v>299</v>
      </c>
      <c r="M366" s="70">
        <f t="shared" si="4"/>
        <v>1495</v>
      </c>
      <c r="N366" s="70">
        <f t="shared" si="5"/>
        <v>10465</v>
      </c>
      <c r="T366" s="5" t="s">
        <v>562</v>
      </c>
    </row>
    <row r="367" spans="2:20" ht="21" customHeight="1">
      <c r="B367" s="67" t="s">
        <v>832</v>
      </c>
      <c r="C367" s="68"/>
      <c r="D367" s="68"/>
      <c r="E367" s="68"/>
      <c r="F367" s="68"/>
      <c r="G367" s="68"/>
      <c r="H367" s="68"/>
      <c r="I367" s="68"/>
      <c r="J367" s="112" t="s">
        <v>229</v>
      </c>
      <c r="K367" s="69"/>
      <c r="L367" s="70"/>
      <c r="M367" s="70"/>
      <c r="N367" s="70"/>
      <c r="T367" s="5" t="s">
        <v>566</v>
      </c>
    </row>
    <row r="368" spans="1:20" ht="21" customHeight="1">
      <c r="A368" s="57">
        <f>A366+1</f>
        <v>192</v>
      </c>
      <c r="B368" s="77" t="s">
        <v>931</v>
      </c>
      <c r="C368" s="68">
        <v>10</v>
      </c>
      <c r="D368" s="68">
        <v>8</v>
      </c>
      <c r="E368" s="68"/>
      <c r="F368" s="68"/>
      <c r="G368" s="68"/>
      <c r="H368" s="68"/>
      <c r="I368" s="68"/>
      <c r="J368" s="136" t="s">
        <v>638</v>
      </c>
      <c r="K368" s="69">
        <v>2</v>
      </c>
      <c r="L368" s="70">
        <f>265+119</f>
        <v>384</v>
      </c>
      <c r="M368" s="70">
        <f t="shared" si="4"/>
        <v>1920</v>
      </c>
      <c r="N368" s="70">
        <f t="shared" si="5"/>
        <v>13440</v>
      </c>
      <c r="T368" s="5" t="s">
        <v>335</v>
      </c>
    </row>
    <row r="369" spans="2:20" ht="21" customHeight="1">
      <c r="B369" s="77" t="s">
        <v>931</v>
      </c>
      <c r="C369" s="68"/>
      <c r="D369" s="68"/>
      <c r="E369" s="68"/>
      <c r="F369" s="68"/>
      <c r="G369" s="68"/>
      <c r="H369" s="68"/>
      <c r="I369" s="68"/>
      <c r="J369" s="136" t="s">
        <v>638</v>
      </c>
      <c r="K369" s="69"/>
      <c r="L369" s="70"/>
      <c r="M369" s="70"/>
      <c r="N369" s="70"/>
      <c r="T369" s="5" t="s">
        <v>551</v>
      </c>
    </row>
    <row r="370" spans="1:20" ht="21" customHeight="1">
      <c r="A370" s="57">
        <f>A368+1</f>
        <v>193</v>
      </c>
      <c r="B370" s="67" t="s">
        <v>508</v>
      </c>
      <c r="C370" s="68">
        <v>14</v>
      </c>
      <c r="D370" s="68">
        <v>11</v>
      </c>
      <c r="E370" s="68">
        <v>10</v>
      </c>
      <c r="F370" s="68"/>
      <c r="G370" s="68"/>
      <c r="H370" s="68"/>
      <c r="I370" s="68"/>
      <c r="J370" s="69" t="s">
        <v>594</v>
      </c>
      <c r="K370" s="69">
        <v>2</v>
      </c>
      <c r="L370" s="70">
        <f>85+95</f>
        <v>180</v>
      </c>
      <c r="M370" s="70">
        <f aca="true" t="shared" si="6" ref="M370:M490">L370*5</f>
        <v>900</v>
      </c>
      <c r="N370" s="70">
        <f aca="true" t="shared" si="7" ref="N370:N490">M370*7</f>
        <v>6300</v>
      </c>
      <c r="O370" s="60"/>
      <c r="P370" s="61"/>
      <c r="Q370" s="60"/>
      <c r="T370" s="5" t="s">
        <v>1121</v>
      </c>
    </row>
    <row r="371" spans="2:20" ht="21" customHeight="1">
      <c r="B371" s="67" t="s">
        <v>508</v>
      </c>
      <c r="C371" s="68"/>
      <c r="D371" s="68"/>
      <c r="E371" s="68"/>
      <c r="F371" s="68"/>
      <c r="G371" s="68"/>
      <c r="H371" s="68"/>
      <c r="I371" s="68"/>
      <c r="J371" s="69" t="s">
        <v>594</v>
      </c>
      <c r="K371" s="69"/>
      <c r="L371" s="70"/>
      <c r="M371" s="70"/>
      <c r="N371" s="70"/>
      <c r="O371" s="60"/>
      <c r="P371" s="61"/>
      <c r="Q371" s="60"/>
      <c r="T371" s="5" t="s">
        <v>1122</v>
      </c>
    </row>
    <row r="372" spans="1:20" ht="21" customHeight="1">
      <c r="A372" s="57">
        <f>A370+1</f>
        <v>194</v>
      </c>
      <c r="B372" s="67" t="s">
        <v>833</v>
      </c>
      <c r="C372" s="68">
        <v>12</v>
      </c>
      <c r="D372" s="68">
        <v>10</v>
      </c>
      <c r="E372" s="68"/>
      <c r="F372" s="68"/>
      <c r="G372" s="68"/>
      <c r="H372" s="68"/>
      <c r="I372" s="68"/>
      <c r="J372" s="69" t="s">
        <v>1011</v>
      </c>
      <c r="K372" s="69">
        <v>2</v>
      </c>
      <c r="L372" s="70">
        <f>109+106</f>
        <v>215</v>
      </c>
      <c r="M372" s="70">
        <f t="shared" si="6"/>
        <v>1075</v>
      </c>
      <c r="N372" s="70">
        <f t="shared" si="7"/>
        <v>7525</v>
      </c>
      <c r="O372" s="60"/>
      <c r="P372" s="61"/>
      <c r="Q372" s="60"/>
      <c r="T372" s="5" t="s">
        <v>335</v>
      </c>
    </row>
    <row r="373" spans="2:20" ht="21" customHeight="1">
      <c r="B373" s="67" t="s">
        <v>833</v>
      </c>
      <c r="C373" s="68"/>
      <c r="D373" s="68"/>
      <c r="E373" s="68"/>
      <c r="F373" s="68"/>
      <c r="G373" s="68"/>
      <c r="H373" s="68"/>
      <c r="I373" s="68"/>
      <c r="J373" s="69" t="s">
        <v>1011</v>
      </c>
      <c r="K373" s="69"/>
      <c r="L373" s="70"/>
      <c r="M373" s="70"/>
      <c r="N373" s="70"/>
      <c r="O373" s="60"/>
      <c r="P373" s="61"/>
      <c r="Q373" s="60"/>
      <c r="T373" s="5" t="s">
        <v>1010</v>
      </c>
    </row>
    <row r="374" spans="1:20" ht="21" customHeight="1">
      <c r="A374" s="57">
        <f>A372+1</f>
        <v>195</v>
      </c>
      <c r="B374" s="67" t="s">
        <v>430</v>
      </c>
      <c r="C374" s="68">
        <v>10</v>
      </c>
      <c r="D374" s="68">
        <v>8</v>
      </c>
      <c r="E374" s="68">
        <v>6</v>
      </c>
      <c r="F374" s="68"/>
      <c r="G374" s="68"/>
      <c r="H374" s="68"/>
      <c r="I374" s="68"/>
      <c r="J374" s="69" t="s">
        <v>436</v>
      </c>
      <c r="K374" s="69">
        <v>2</v>
      </c>
      <c r="L374" s="70">
        <f>148+151</f>
        <v>299</v>
      </c>
      <c r="M374" s="70">
        <f t="shared" si="6"/>
        <v>1495</v>
      </c>
      <c r="N374" s="70">
        <f t="shared" si="7"/>
        <v>10465</v>
      </c>
      <c r="O374" s="60"/>
      <c r="P374" s="61"/>
      <c r="Q374" s="60"/>
      <c r="T374" s="5" t="s">
        <v>312</v>
      </c>
    </row>
    <row r="375" spans="2:20" ht="21" customHeight="1">
      <c r="B375" s="67" t="s">
        <v>430</v>
      </c>
      <c r="C375" s="68"/>
      <c r="D375" s="68"/>
      <c r="E375" s="68"/>
      <c r="F375" s="68"/>
      <c r="G375" s="68"/>
      <c r="H375" s="68"/>
      <c r="I375" s="68"/>
      <c r="J375" s="69" t="s">
        <v>436</v>
      </c>
      <c r="K375" s="69"/>
      <c r="L375" s="70"/>
      <c r="M375" s="70"/>
      <c r="N375" s="70"/>
      <c r="O375" s="60"/>
      <c r="P375" s="61"/>
      <c r="Q375" s="60"/>
      <c r="T375" s="5" t="s">
        <v>69</v>
      </c>
    </row>
    <row r="376" spans="1:20" ht="21" customHeight="1">
      <c r="A376" s="57">
        <f>A374+1</f>
        <v>196</v>
      </c>
      <c r="B376" s="67" t="s">
        <v>517</v>
      </c>
      <c r="C376" s="68">
        <v>11.5</v>
      </c>
      <c r="D376" s="68">
        <v>10.5</v>
      </c>
      <c r="E376" s="68">
        <v>9.5</v>
      </c>
      <c r="F376" s="68">
        <v>8.5</v>
      </c>
      <c r="G376" s="68">
        <v>8</v>
      </c>
      <c r="H376" s="68"/>
      <c r="I376" s="68"/>
      <c r="J376" s="112" t="s">
        <v>639</v>
      </c>
      <c r="K376" s="69">
        <v>2</v>
      </c>
      <c r="L376" s="70">
        <f>225+105</f>
        <v>330</v>
      </c>
      <c r="M376" s="70">
        <f t="shared" si="6"/>
        <v>1650</v>
      </c>
      <c r="N376" s="70">
        <f t="shared" si="7"/>
        <v>11550</v>
      </c>
      <c r="O376" s="60"/>
      <c r="P376" s="61"/>
      <c r="Q376" s="60"/>
      <c r="T376" s="5" t="s">
        <v>21</v>
      </c>
    </row>
    <row r="377" spans="2:20" ht="21" customHeight="1">
      <c r="B377" s="67" t="s">
        <v>517</v>
      </c>
      <c r="C377" s="68"/>
      <c r="D377" s="68"/>
      <c r="E377" s="68"/>
      <c r="F377" s="68"/>
      <c r="G377" s="68"/>
      <c r="H377" s="68"/>
      <c r="I377" s="68"/>
      <c r="J377" s="112" t="s">
        <v>639</v>
      </c>
      <c r="K377" s="69"/>
      <c r="L377" s="70"/>
      <c r="M377" s="70"/>
      <c r="N377" s="70"/>
      <c r="O377" s="60"/>
      <c r="P377" s="61"/>
      <c r="Q377" s="60"/>
      <c r="T377" s="5" t="s">
        <v>22</v>
      </c>
    </row>
    <row r="378" spans="1:20" ht="21" customHeight="1">
      <c r="A378" s="57">
        <f>A376+1</f>
        <v>197</v>
      </c>
      <c r="B378" s="67" t="s">
        <v>517</v>
      </c>
      <c r="C378" s="68">
        <v>11.5</v>
      </c>
      <c r="D378" s="68">
        <v>10.5</v>
      </c>
      <c r="E378" s="68">
        <v>9.5</v>
      </c>
      <c r="F378" s="68">
        <v>8.5</v>
      </c>
      <c r="G378" s="68">
        <v>8</v>
      </c>
      <c r="H378" s="68"/>
      <c r="I378" s="68"/>
      <c r="J378" s="112" t="s">
        <v>639</v>
      </c>
      <c r="K378" s="69">
        <v>2</v>
      </c>
      <c r="L378" s="70">
        <f>252+102</f>
        <v>354</v>
      </c>
      <c r="M378" s="70">
        <f t="shared" si="6"/>
        <v>1770</v>
      </c>
      <c r="N378" s="70">
        <f t="shared" si="7"/>
        <v>12390</v>
      </c>
      <c r="O378" s="60"/>
      <c r="P378" s="61"/>
      <c r="Q378" s="60"/>
      <c r="T378" s="5" t="s">
        <v>596</v>
      </c>
    </row>
    <row r="379" spans="2:20" ht="21" customHeight="1">
      <c r="B379" s="67" t="s">
        <v>517</v>
      </c>
      <c r="C379" s="68"/>
      <c r="D379" s="68"/>
      <c r="E379" s="68"/>
      <c r="F379" s="68"/>
      <c r="G379" s="68"/>
      <c r="H379" s="68"/>
      <c r="I379" s="68"/>
      <c r="J379" s="112" t="s">
        <v>639</v>
      </c>
      <c r="K379" s="69"/>
      <c r="L379" s="70"/>
      <c r="M379" s="70"/>
      <c r="N379" s="70"/>
      <c r="O379" s="60"/>
      <c r="P379" s="61"/>
      <c r="Q379" s="60"/>
      <c r="T379" s="5" t="s">
        <v>23</v>
      </c>
    </row>
    <row r="380" spans="1:20" ht="21" customHeight="1">
      <c r="A380" s="57">
        <f>A378+1</f>
        <v>198</v>
      </c>
      <c r="B380" s="67" t="s">
        <v>742</v>
      </c>
      <c r="C380" s="68">
        <v>11</v>
      </c>
      <c r="D380" s="68">
        <v>9</v>
      </c>
      <c r="E380" s="68">
        <v>8</v>
      </c>
      <c r="F380" s="68">
        <v>7</v>
      </c>
      <c r="G380" s="68">
        <v>6</v>
      </c>
      <c r="H380" s="68">
        <v>5</v>
      </c>
      <c r="I380" s="68"/>
      <c r="J380" s="69" t="s">
        <v>567</v>
      </c>
      <c r="K380" s="69">
        <v>2</v>
      </c>
      <c r="L380" s="70">
        <f>200+150</f>
        <v>350</v>
      </c>
      <c r="M380" s="70">
        <f t="shared" si="6"/>
        <v>1750</v>
      </c>
      <c r="N380" s="70">
        <f t="shared" si="7"/>
        <v>12250</v>
      </c>
      <c r="O380" s="60"/>
      <c r="P380" s="61"/>
      <c r="Q380" s="60"/>
      <c r="T380" s="5" t="s">
        <v>595</v>
      </c>
    </row>
    <row r="381" spans="2:20" ht="21" customHeight="1">
      <c r="B381" s="67" t="s">
        <v>742</v>
      </c>
      <c r="C381" s="68"/>
      <c r="D381" s="68"/>
      <c r="E381" s="68"/>
      <c r="F381" s="68"/>
      <c r="G381" s="68"/>
      <c r="H381" s="68"/>
      <c r="I381" s="68"/>
      <c r="J381" s="69" t="s">
        <v>567</v>
      </c>
      <c r="K381" s="69"/>
      <c r="L381" s="70"/>
      <c r="M381" s="70"/>
      <c r="N381" s="70"/>
      <c r="O381" s="60"/>
      <c r="P381" s="61"/>
      <c r="Q381" s="60"/>
      <c r="T381" s="5" t="s">
        <v>947</v>
      </c>
    </row>
    <row r="382" spans="1:20" ht="21" customHeight="1">
      <c r="A382" s="57">
        <f>A380+1</f>
        <v>199</v>
      </c>
      <c r="B382" s="67" t="s">
        <v>1145</v>
      </c>
      <c r="C382" s="68">
        <v>16.5</v>
      </c>
      <c r="D382" s="68">
        <v>14.5</v>
      </c>
      <c r="E382" s="68">
        <v>15</v>
      </c>
      <c r="F382" s="68">
        <v>13</v>
      </c>
      <c r="G382" s="68">
        <v>9</v>
      </c>
      <c r="H382" s="68"/>
      <c r="I382" s="68"/>
      <c r="J382" s="70" t="s">
        <v>640</v>
      </c>
      <c r="K382" s="69">
        <v>2</v>
      </c>
      <c r="L382" s="70">
        <f>314+232</f>
        <v>546</v>
      </c>
      <c r="M382" s="70">
        <f t="shared" si="6"/>
        <v>2730</v>
      </c>
      <c r="N382" s="70">
        <f t="shared" si="7"/>
        <v>19110</v>
      </c>
      <c r="O382" s="60"/>
      <c r="P382" s="61"/>
      <c r="Q382" s="60"/>
      <c r="T382" s="5" t="s">
        <v>143</v>
      </c>
    </row>
    <row r="383" spans="2:20" ht="21" customHeight="1">
      <c r="B383" s="67" t="s">
        <v>1145</v>
      </c>
      <c r="C383" s="68">
        <v>16.5</v>
      </c>
      <c r="D383" s="68">
        <v>14.5</v>
      </c>
      <c r="E383" s="68">
        <v>15</v>
      </c>
      <c r="F383" s="68">
        <v>13</v>
      </c>
      <c r="G383" s="68">
        <v>9</v>
      </c>
      <c r="H383" s="68"/>
      <c r="I383" s="68"/>
      <c r="J383" s="70" t="s">
        <v>640</v>
      </c>
      <c r="K383" s="69"/>
      <c r="L383" s="70"/>
      <c r="M383" s="70"/>
      <c r="N383" s="70"/>
      <c r="O383" s="60"/>
      <c r="P383" s="61"/>
      <c r="Q383" s="60"/>
      <c r="T383" s="5" t="s">
        <v>146</v>
      </c>
    </row>
    <row r="384" spans="1:20" ht="21" customHeight="1">
      <c r="A384" s="57">
        <f>A382+1</f>
        <v>200</v>
      </c>
      <c r="B384" s="67" t="s">
        <v>1145</v>
      </c>
      <c r="C384" s="68">
        <v>16.5</v>
      </c>
      <c r="D384" s="68">
        <v>14.5</v>
      </c>
      <c r="E384" s="68">
        <v>15</v>
      </c>
      <c r="F384" s="68">
        <v>13</v>
      </c>
      <c r="G384" s="68">
        <v>9</v>
      </c>
      <c r="H384" s="68"/>
      <c r="I384" s="68"/>
      <c r="J384" s="70" t="s">
        <v>640</v>
      </c>
      <c r="K384" s="69">
        <v>2</v>
      </c>
      <c r="L384" s="70">
        <f>225+234</f>
        <v>459</v>
      </c>
      <c r="M384" s="70">
        <f t="shared" si="6"/>
        <v>2295</v>
      </c>
      <c r="N384" s="70">
        <f t="shared" si="7"/>
        <v>16065</v>
      </c>
      <c r="O384" s="60"/>
      <c r="P384" s="61"/>
      <c r="Q384" s="60"/>
      <c r="T384" s="5" t="s">
        <v>144</v>
      </c>
    </row>
    <row r="385" spans="2:20" ht="21" customHeight="1">
      <c r="B385" s="67" t="s">
        <v>1145</v>
      </c>
      <c r="C385" s="68">
        <v>16.5</v>
      </c>
      <c r="D385" s="68">
        <v>14.5</v>
      </c>
      <c r="E385" s="68">
        <v>15</v>
      </c>
      <c r="F385" s="68">
        <v>13</v>
      </c>
      <c r="G385" s="68">
        <v>9</v>
      </c>
      <c r="H385" s="68"/>
      <c r="I385" s="68"/>
      <c r="J385" s="70" t="s">
        <v>640</v>
      </c>
      <c r="K385" s="69"/>
      <c r="L385" s="70"/>
      <c r="M385" s="70"/>
      <c r="N385" s="70"/>
      <c r="O385" s="60"/>
      <c r="P385" s="61"/>
      <c r="Q385" s="60"/>
      <c r="T385" s="5" t="s">
        <v>145</v>
      </c>
    </row>
    <row r="386" spans="1:20" ht="21" customHeight="1">
      <c r="A386" s="57">
        <f>A384+1</f>
        <v>201</v>
      </c>
      <c r="B386" s="67" t="s">
        <v>501</v>
      </c>
      <c r="C386" s="68">
        <v>10</v>
      </c>
      <c r="D386" s="68"/>
      <c r="E386" s="68"/>
      <c r="F386" s="68"/>
      <c r="G386" s="68"/>
      <c r="H386" s="68"/>
      <c r="I386" s="68"/>
      <c r="J386" s="112" t="s">
        <v>456</v>
      </c>
      <c r="K386" s="69">
        <v>2</v>
      </c>
      <c r="L386" s="70">
        <f>126+95</f>
        <v>221</v>
      </c>
      <c r="M386" s="70">
        <f t="shared" si="6"/>
        <v>1105</v>
      </c>
      <c r="N386" s="70">
        <f t="shared" si="7"/>
        <v>7735</v>
      </c>
      <c r="O386" s="60"/>
      <c r="P386" s="61"/>
      <c r="Q386" s="60"/>
      <c r="T386" s="5" t="s">
        <v>69</v>
      </c>
    </row>
    <row r="387" spans="2:20" ht="21" customHeight="1">
      <c r="B387" s="67" t="s">
        <v>501</v>
      </c>
      <c r="C387" s="68"/>
      <c r="D387" s="68"/>
      <c r="E387" s="68"/>
      <c r="F387" s="68"/>
      <c r="G387" s="68"/>
      <c r="H387" s="68"/>
      <c r="I387" s="68"/>
      <c r="J387" s="112" t="s">
        <v>456</v>
      </c>
      <c r="K387" s="69"/>
      <c r="L387" s="70"/>
      <c r="M387" s="70"/>
      <c r="N387" s="70"/>
      <c r="O387" s="60"/>
      <c r="P387" s="61"/>
      <c r="Q387" s="60"/>
      <c r="T387" s="5" t="s">
        <v>70</v>
      </c>
    </row>
    <row r="388" spans="1:20" ht="21" customHeight="1">
      <c r="A388" s="57">
        <f>A386+1</f>
        <v>202</v>
      </c>
      <c r="B388" s="67" t="s">
        <v>834</v>
      </c>
      <c r="C388" s="68">
        <v>10</v>
      </c>
      <c r="D388" s="68">
        <v>8</v>
      </c>
      <c r="E388" s="68"/>
      <c r="F388" s="68"/>
      <c r="G388" s="68"/>
      <c r="H388" s="68"/>
      <c r="I388" s="68"/>
      <c r="J388" s="69" t="s">
        <v>1009</v>
      </c>
      <c r="K388" s="69">
        <v>2</v>
      </c>
      <c r="L388" s="70">
        <f>355+50</f>
        <v>405</v>
      </c>
      <c r="M388" s="70">
        <f t="shared" si="6"/>
        <v>2025</v>
      </c>
      <c r="N388" s="70">
        <f t="shared" si="7"/>
        <v>14175</v>
      </c>
      <c r="O388" s="60"/>
      <c r="P388" s="61"/>
      <c r="Q388" s="60"/>
      <c r="T388" s="5" t="s">
        <v>335</v>
      </c>
    </row>
    <row r="389" spans="2:20" ht="21" customHeight="1">
      <c r="B389" s="67" t="s">
        <v>834</v>
      </c>
      <c r="C389" s="68"/>
      <c r="D389" s="68"/>
      <c r="E389" s="68"/>
      <c r="F389" s="68"/>
      <c r="G389" s="68"/>
      <c r="H389" s="68"/>
      <c r="I389" s="68"/>
      <c r="J389" s="69" t="s">
        <v>1009</v>
      </c>
      <c r="K389" s="69"/>
      <c r="L389" s="70"/>
      <c r="M389" s="70"/>
      <c r="N389" s="70"/>
      <c r="O389" s="60"/>
      <c r="P389" s="61"/>
      <c r="Q389" s="60"/>
      <c r="T389" s="5" t="s">
        <v>1010</v>
      </c>
    </row>
    <row r="390" spans="1:20" ht="21" customHeight="1">
      <c r="A390" s="57">
        <f>A388+1</f>
        <v>203</v>
      </c>
      <c r="B390" s="67" t="s">
        <v>920</v>
      </c>
      <c r="C390" s="68">
        <v>10</v>
      </c>
      <c r="D390" s="68"/>
      <c r="E390" s="68"/>
      <c r="F390" s="68"/>
      <c r="G390" s="68"/>
      <c r="H390" s="68"/>
      <c r="I390" s="68"/>
      <c r="J390" s="112" t="s">
        <v>230</v>
      </c>
      <c r="K390" s="69">
        <v>2</v>
      </c>
      <c r="L390" s="69">
        <v>350</v>
      </c>
      <c r="M390" s="70">
        <f t="shared" si="6"/>
        <v>1750</v>
      </c>
      <c r="N390" s="70">
        <f t="shared" si="7"/>
        <v>12250</v>
      </c>
      <c r="O390" s="60"/>
      <c r="P390" s="61"/>
      <c r="Q390" s="60"/>
      <c r="T390" s="5" t="s">
        <v>71</v>
      </c>
    </row>
    <row r="391" spans="1:20" ht="21" customHeight="1">
      <c r="A391" s="57">
        <f>A390+1</f>
        <v>204</v>
      </c>
      <c r="B391" s="67" t="s">
        <v>835</v>
      </c>
      <c r="C391" s="68">
        <v>15</v>
      </c>
      <c r="D391" s="68">
        <v>14</v>
      </c>
      <c r="E391" s="68">
        <v>13</v>
      </c>
      <c r="F391" s="68">
        <v>12</v>
      </c>
      <c r="G391" s="68">
        <v>8</v>
      </c>
      <c r="H391" s="68"/>
      <c r="I391" s="68"/>
      <c r="J391" s="112" t="s">
        <v>642</v>
      </c>
      <c r="K391" s="69">
        <v>2</v>
      </c>
      <c r="L391" s="70">
        <f>249+161</f>
        <v>410</v>
      </c>
      <c r="M391" s="70">
        <f t="shared" si="6"/>
        <v>2050</v>
      </c>
      <c r="N391" s="70">
        <f t="shared" si="7"/>
        <v>14350</v>
      </c>
      <c r="O391" s="60"/>
      <c r="P391" s="61"/>
      <c r="Q391" s="60"/>
      <c r="T391" s="5" t="s">
        <v>4</v>
      </c>
    </row>
    <row r="392" spans="2:20" ht="21" customHeight="1">
      <c r="B392" s="67" t="s">
        <v>835</v>
      </c>
      <c r="C392" s="68"/>
      <c r="D392" s="68"/>
      <c r="E392" s="68"/>
      <c r="F392" s="68"/>
      <c r="G392" s="68"/>
      <c r="H392" s="68"/>
      <c r="I392" s="68"/>
      <c r="J392" s="112" t="s">
        <v>642</v>
      </c>
      <c r="K392" s="69"/>
      <c r="L392" s="70"/>
      <c r="M392" s="70"/>
      <c r="N392" s="70"/>
      <c r="O392" s="60"/>
      <c r="P392" s="61"/>
      <c r="Q392" s="60"/>
      <c r="T392" s="5" t="s">
        <v>5</v>
      </c>
    </row>
    <row r="393" spans="1:20" ht="21" customHeight="1">
      <c r="A393" s="57">
        <f>A391+1</f>
        <v>205</v>
      </c>
      <c r="B393" s="67" t="s">
        <v>835</v>
      </c>
      <c r="C393" s="68">
        <v>15</v>
      </c>
      <c r="D393" s="68">
        <v>14</v>
      </c>
      <c r="E393" s="68">
        <v>13</v>
      </c>
      <c r="F393" s="68">
        <v>12</v>
      </c>
      <c r="G393" s="68">
        <v>8</v>
      </c>
      <c r="H393" s="68"/>
      <c r="I393" s="68"/>
      <c r="J393" s="112" t="s">
        <v>642</v>
      </c>
      <c r="K393" s="69">
        <v>2</v>
      </c>
      <c r="L393" s="69">
        <f>126+120</f>
        <v>246</v>
      </c>
      <c r="M393" s="70">
        <f t="shared" si="6"/>
        <v>1230</v>
      </c>
      <c r="N393" s="70">
        <f t="shared" si="7"/>
        <v>8610</v>
      </c>
      <c r="O393" s="60"/>
      <c r="P393" s="61"/>
      <c r="Q393" s="60"/>
      <c r="T393" s="5" t="s">
        <v>6</v>
      </c>
    </row>
    <row r="394" spans="1:20" ht="21" customHeight="1">
      <c r="A394" s="57">
        <f>A393+1</f>
        <v>206</v>
      </c>
      <c r="B394" s="67" t="s">
        <v>512</v>
      </c>
      <c r="C394" s="68">
        <v>12</v>
      </c>
      <c r="D394" s="68">
        <v>10</v>
      </c>
      <c r="E394" s="68">
        <v>9</v>
      </c>
      <c r="F394" s="68"/>
      <c r="G394" s="68"/>
      <c r="H394" s="68"/>
      <c r="I394" s="68"/>
      <c r="J394" s="112" t="s">
        <v>641</v>
      </c>
      <c r="K394" s="69">
        <v>2</v>
      </c>
      <c r="L394" s="70">
        <f>478+131</f>
        <v>609</v>
      </c>
      <c r="M394" s="70">
        <f t="shared" si="6"/>
        <v>3045</v>
      </c>
      <c r="N394" s="70">
        <f t="shared" si="7"/>
        <v>21315</v>
      </c>
      <c r="O394" s="60"/>
      <c r="P394" s="61"/>
      <c r="Q394" s="60"/>
      <c r="T394" s="5" t="s">
        <v>335</v>
      </c>
    </row>
    <row r="395" spans="2:20" ht="21" customHeight="1">
      <c r="B395" s="67" t="s">
        <v>512</v>
      </c>
      <c r="C395" s="68"/>
      <c r="D395" s="68"/>
      <c r="E395" s="68"/>
      <c r="F395" s="68"/>
      <c r="G395" s="68"/>
      <c r="H395" s="68"/>
      <c r="I395" s="68"/>
      <c r="J395" s="112" t="s">
        <v>641</v>
      </c>
      <c r="K395" s="69"/>
      <c r="L395" s="70"/>
      <c r="M395" s="70"/>
      <c r="N395" s="70"/>
      <c r="O395" s="60"/>
      <c r="P395" s="61"/>
      <c r="Q395" s="60"/>
      <c r="T395" s="5" t="s">
        <v>320</v>
      </c>
    </row>
    <row r="396" spans="1:20" ht="21" customHeight="1">
      <c r="A396" s="57">
        <f>A394+1</f>
        <v>207</v>
      </c>
      <c r="B396" s="67" t="s">
        <v>746</v>
      </c>
      <c r="C396" s="68">
        <v>8</v>
      </c>
      <c r="D396" s="68"/>
      <c r="E396" s="68"/>
      <c r="F396" s="68"/>
      <c r="G396" s="68"/>
      <c r="H396" s="68"/>
      <c r="I396" s="68"/>
      <c r="J396" s="69" t="s">
        <v>747</v>
      </c>
      <c r="K396" s="80">
        <v>2</v>
      </c>
      <c r="L396" s="81">
        <f>70+72</f>
        <v>142</v>
      </c>
      <c r="M396" s="70">
        <f t="shared" si="6"/>
        <v>710</v>
      </c>
      <c r="N396" s="70">
        <f t="shared" si="7"/>
        <v>4970</v>
      </c>
      <c r="O396" s="60"/>
      <c r="P396" s="61"/>
      <c r="Q396" s="60"/>
      <c r="T396" s="5" t="s">
        <v>335</v>
      </c>
    </row>
    <row r="397" spans="2:20" ht="21" customHeight="1">
      <c r="B397" s="67" t="s">
        <v>746</v>
      </c>
      <c r="C397" s="68">
        <v>8</v>
      </c>
      <c r="D397" s="68"/>
      <c r="E397" s="68"/>
      <c r="F397" s="68"/>
      <c r="G397" s="68"/>
      <c r="H397" s="68"/>
      <c r="I397" s="68"/>
      <c r="J397" s="69" t="s">
        <v>747</v>
      </c>
      <c r="M397" s="70"/>
      <c r="N397" s="70"/>
      <c r="O397" s="60"/>
      <c r="P397" s="61"/>
      <c r="Q397" s="60"/>
      <c r="T397" s="5" t="s">
        <v>320</v>
      </c>
    </row>
    <row r="398" spans="1:20" ht="21" customHeight="1">
      <c r="A398" s="57">
        <f>A396+1</f>
        <v>208</v>
      </c>
      <c r="B398" s="67" t="s">
        <v>101</v>
      </c>
      <c r="C398" s="68">
        <v>15</v>
      </c>
      <c r="D398" s="68">
        <v>13</v>
      </c>
      <c r="E398" s="68">
        <v>10</v>
      </c>
      <c r="F398" s="68"/>
      <c r="G398" s="68"/>
      <c r="H398" s="68"/>
      <c r="I398" s="68"/>
      <c r="J398" s="69" t="s">
        <v>584</v>
      </c>
      <c r="K398" s="80">
        <v>2</v>
      </c>
      <c r="L398" s="81">
        <f>73+75</f>
        <v>148</v>
      </c>
      <c r="M398" s="70">
        <f t="shared" si="6"/>
        <v>740</v>
      </c>
      <c r="N398" s="70">
        <f t="shared" si="7"/>
        <v>5180</v>
      </c>
      <c r="O398" s="60"/>
      <c r="P398" s="61"/>
      <c r="Q398" s="60"/>
      <c r="T398" s="5" t="s">
        <v>102</v>
      </c>
    </row>
    <row r="399" spans="2:20" ht="21" customHeight="1">
      <c r="B399" s="67" t="s">
        <v>101</v>
      </c>
      <c r="C399" s="68">
        <v>15</v>
      </c>
      <c r="D399" s="68">
        <v>13</v>
      </c>
      <c r="E399" s="68">
        <v>10</v>
      </c>
      <c r="F399" s="68"/>
      <c r="G399" s="68"/>
      <c r="H399" s="68"/>
      <c r="I399" s="68"/>
      <c r="J399" s="69" t="s">
        <v>584</v>
      </c>
      <c r="M399" s="70"/>
      <c r="N399" s="70"/>
      <c r="O399" s="60"/>
      <c r="P399" s="61"/>
      <c r="Q399" s="60"/>
      <c r="T399" s="5" t="s">
        <v>103</v>
      </c>
    </row>
    <row r="400" spans="1:20" s="91" customFormat="1" ht="21" customHeight="1">
      <c r="A400" s="57">
        <f>A398+1</f>
        <v>209</v>
      </c>
      <c r="B400" s="77" t="s">
        <v>506</v>
      </c>
      <c r="C400" s="68">
        <v>10</v>
      </c>
      <c r="D400" s="68">
        <v>8</v>
      </c>
      <c r="E400" s="68"/>
      <c r="F400" s="68"/>
      <c r="G400" s="68"/>
      <c r="H400" s="68"/>
      <c r="I400" s="68"/>
      <c r="J400" s="112" t="s">
        <v>643</v>
      </c>
      <c r="K400" s="69">
        <v>2</v>
      </c>
      <c r="L400" s="70">
        <f>159+85</f>
        <v>244</v>
      </c>
      <c r="M400" s="70">
        <f t="shared" si="6"/>
        <v>1220</v>
      </c>
      <c r="N400" s="70">
        <f t="shared" si="7"/>
        <v>8540</v>
      </c>
      <c r="O400" s="78"/>
      <c r="P400" s="79"/>
      <c r="Q400" s="78"/>
      <c r="T400" s="5" t="s">
        <v>1026</v>
      </c>
    </row>
    <row r="401" spans="1:20" s="91" customFormat="1" ht="21" customHeight="1">
      <c r="A401" s="57"/>
      <c r="B401" s="77" t="s">
        <v>506</v>
      </c>
      <c r="C401" s="68"/>
      <c r="D401" s="68"/>
      <c r="E401" s="68"/>
      <c r="F401" s="68"/>
      <c r="G401" s="68"/>
      <c r="H401" s="68"/>
      <c r="I401" s="68"/>
      <c r="J401" s="112" t="s">
        <v>643</v>
      </c>
      <c r="K401" s="69"/>
      <c r="L401" s="70"/>
      <c r="M401" s="70"/>
      <c r="N401" s="70"/>
      <c r="O401" s="78"/>
      <c r="P401" s="79"/>
      <c r="Q401" s="78"/>
      <c r="T401" s="5" t="s">
        <v>1027</v>
      </c>
    </row>
    <row r="402" spans="1:20" ht="21" customHeight="1">
      <c r="A402" s="57">
        <f>A400+1</f>
        <v>210</v>
      </c>
      <c r="B402" s="67" t="s">
        <v>514</v>
      </c>
      <c r="C402" s="68">
        <v>13</v>
      </c>
      <c r="D402" s="68">
        <v>12</v>
      </c>
      <c r="E402" s="68">
        <v>11</v>
      </c>
      <c r="F402" s="68">
        <v>10</v>
      </c>
      <c r="G402" s="68">
        <v>9</v>
      </c>
      <c r="H402" s="68"/>
      <c r="I402" s="68"/>
      <c r="J402" s="112" t="s">
        <v>578</v>
      </c>
      <c r="K402" s="69">
        <v>2</v>
      </c>
      <c r="L402" s="70">
        <f>206+113</f>
        <v>319</v>
      </c>
      <c r="M402" s="70">
        <f t="shared" si="6"/>
        <v>1595</v>
      </c>
      <c r="N402" s="70">
        <f t="shared" si="7"/>
        <v>11165</v>
      </c>
      <c r="O402" s="60"/>
      <c r="P402" s="61"/>
      <c r="Q402" s="60"/>
      <c r="T402" s="5" t="s">
        <v>562</v>
      </c>
    </row>
    <row r="403" spans="2:20" ht="21" customHeight="1">
      <c r="B403" s="67" t="s">
        <v>514</v>
      </c>
      <c r="C403" s="68"/>
      <c r="D403" s="68"/>
      <c r="E403" s="68"/>
      <c r="F403" s="68"/>
      <c r="G403" s="68"/>
      <c r="H403" s="68"/>
      <c r="I403" s="68"/>
      <c r="J403" s="112" t="s">
        <v>578</v>
      </c>
      <c r="K403" s="69"/>
      <c r="L403" s="70"/>
      <c r="M403" s="70"/>
      <c r="N403" s="70"/>
      <c r="O403" s="60"/>
      <c r="P403" s="61"/>
      <c r="Q403" s="60"/>
      <c r="T403" s="5" t="s">
        <v>566</v>
      </c>
    </row>
    <row r="404" spans="2:20" ht="21" customHeight="1">
      <c r="B404" s="67" t="s">
        <v>514</v>
      </c>
      <c r="C404" s="68"/>
      <c r="D404" s="68"/>
      <c r="E404" s="68"/>
      <c r="F404" s="68"/>
      <c r="G404" s="68"/>
      <c r="H404" s="68"/>
      <c r="I404" s="68"/>
      <c r="J404" s="112" t="s">
        <v>578</v>
      </c>
      <c r="K404" s="69"/>
      <c r="L404" s="70"/>
      <c r="M404" s="70"/>
      <c r="N404" s="70"/>
      <c r="O404" s="60"/>
      <c r="P404" s="61"/>
      <c r="Q404" s="60"/>
      <c r="T404" s="5" t="s">
        <v>693</v>
      </c>
    </row>
    <row r="405" spans="1:20" ht="21" customHeight="1">
      <c r="A405" s="57">
        <f>A402+1</f>
        <v>211</v>
      </c>
      <c r="B405" s="67" t="s">
        <v>520</v>
      </c>
      <c r="C405" s="68">
        <v>15.5</v>
      </c>
      <c r="D405" s="68">
        <v>13.5</v>
      </c>
      <c r="E405" s="68">
        <v>11.5</v>
      </c>
      <c r="F405" s="68">
        <v>10.5</v>
      </c>
      <c r="G405" s="68">
        <v>8.5</v>
      </c>
      <c r="H405" s="68">
        <v>8</v>
      </c>
      <c r="I405" s="68"/>
      <c r="J405" s="114" t="s">
        <v>644</v>
      </c>
      <c r="K405" s="69">
        <v>2</v>
      </c>
      <c r="L405" s="70">
        <f>134+134</f>
        <v>268</v>
      </c>
      <c r="M405" s="70">
        <f t="shared" si="6"/>
        <v>1340</v>
      </c>
      <c r="N405" s="70">
        <f t="shared" si="7"/>
        <v>9380</v>
      </c>
      <c r="O405" s="60"/>
      <c r="P405" s="61"/>
      <c r="Q405" s="60"/>
      <c r="T405" s="5" t="s">
        <v>44</v>
      </c>
    </row>
    <row r="406" spans="2:20" ht="21" customHeight="1">
      <c r="B406" s="67" t="s">
        <v>520</v>
      </c>
      <c r="C406" s="68"/>
      <c r="D406" s="68"/>
      <c r="E406" s="68"/>
      <c r="F406" s="68"/>
      <c r="G406" s="68"/>
      <c r="H406" s="68"/>
      <c r="I406" s="68"/>
      <c r="J406" s="114" t="s">
        <v>644</v>
      </c>
      <c r="K406" s="69"/>
      <c r="L406" s="70"/>
      <c r="M406" s="70"/>
      <c r="N406" s="70"/>
      <c r="O406" s="60"/>
      <c r="P406" s="61"/>
      <c r="Q406" s="60"/>
      <c r="T406" s="5" t="s">
        <v>596</v>
      </c>
    </row>
    <row r="407" spans="1:20" ht="21" customHeight="1">
      <c r="A407" s="57">
        <f>A405+1</f>
        <v>212</v>
      </c>
      <c r="B407" s="67" t="s">
        <v>520</v>
      </c>
      <c r="C407" s="68">
        <v>15.5</v>
      </c>
      <c r="D407" s="68">
        <v>13.5</v>
      </c>
      <c r="E407" s="68">
        <v>11.5</v>
      </c>
      <c r="F407" s="68">
        <v>10.5</v>
      </c>
      <c r="G407" s="68">
        <v>8.5</v>
      </c>
      <c r="H407" s="68">
        <v>8</v>
      </c>
      <c r="I407" s="68"/>
      <c r="J407" s="114" t="s">
        <v>644</v>
      </c>
      <c r="K407" s="69">
        <v>2</v>
      </c>
      <c r="L407" s="70">
        <v>200</v>
      </c>
      <c r="M407" s="70">
        <f t="shared" si="6"/>
        <v>1000</v>
      </c>
      <c r="N407" s="70">
        <f t="shared" si="7"/>
        <v>7000</v>
      </c>
      <c r="O407" s="60"/>
      <c r="P407" s="61"/>
      <c r="Q407" s="60"/>
      <c r="T407" s="5" t="s">
        <v>45</v>
      </c>
    </row>
    <row r="408" spans="1:20" ht="21" customHeight="1">
      <c r="A408" s="57">
        <f>A407+1</f>
        <v>213</v>
      </c>
      <c r="B408" s="67" t="s">
        <v>520</v>
      </c>
      <c r="C408" s="68">
        <v>15.5</v>
      </c>
      <c r="D408" s="68">
        <v>13.5</v>
      </c>
      <c r="E408" s="68">
        <v>11.5</v>
      </c>
      <c r="F408" s="68">
        <v>10.5</v>
      </c>
      <c r="G408" s="68">
        <v>8.5</v>
      </c>
      <c r="H408" s="68">
        <v>8</v>
      </c>
      <c r="I408" s="68"/>
      <c r="J408" s="114" t="s">
        <v>644</v>
      </c>
      <c r="K408" s="69">
        <v>2</v>
      </c>
      <c r="L408" s="70">
        <v>200</v>
      </c>
      <c r="M408" s="70">
        <f t="shared" si="6"/>
        <v>1000</v>
      </c>
      <c r="N408" s="70">
        <f t="shared" si="7"/>
        <v>7000</v>
      </c>
      <c r="O408" s="60"/>
      <c r="P408" s="61"/>
      <c r="Q408" s="60"/>
      <c r="T408" s="5" t="s">
        <v>1055</v>
      </c>
    </row>
    <row r="409" spans="1:20" ht="21" customHeight="1">
      <c r="A409" s="57">
        <f>A408+1</f>
        <v>214</v>
      </c>
      <c r="B409" s="67" t="s">
        <v>836</v>
      </c>
      <c r="C409" s="68">
        <v>17.5</v>
      </c>
      <c r="D409" s="68">
        <v>15</v>
      </c>
      <c r="E409" s="68"/>
      <c r="F409" s="68"/>
      <c r="G409" s="68"/>
      <c r="H409" s="68"/>
      <c r="I409" s="68"/>
      <c r="J409" s="112" t="s">
        <v>231</v>
      </c>
      <c r="K409" s="69">
        <v>2</v>
      </c>
      <c r="L409" s="70">
        <f>168+124</f>
        <v>292</v>
      </c>
      <c r="M409" s="70">
        <f t="shared" si="6"/>
        <v>1460</v>
      </c>
      <c r="N409" s="70">
        <f t="shared" si="7"/>
        <v>10220</v>
      </c>
      <c r="T409" s="5" t="s">
        <v>274</v>
      </c>
    </row>
    <row r="410" spans="2:20" ht="21" customHeight="1">
      <c r="B410" s="67" t="s">
        <v>836</v>
      </c>
      <c r="C410" s="68">
        <v>17.5</v>
      </c>
      <c r="D410" s="68">
        <v>15</v>
      </c>
      <c r="E410" s="68"/>
      <c r="F410" s="68"/>
      <c r="G410" s="68"/>
      <c r="H410" s="68"/>
      <c r="I410" s="68"/>
      <c r="J410" s="112" t="s">
        <v>231</v>
      </c>
      <c r="K410" s="69"/>
      <c r="L410" s="70"/>
      <c r="M410" s="70"/>
      <c r="N410" s="70"/>
      <c r="T410" s="5" t="s">
        <v>275</v>
      </c>
    </row>
    <row r="411" spans="2:20" ht="21" customHeight="1">
      <c r="B411" s="67" t="s">
        <v>836</v>
      </c>
      <c r="C411" s="68"/>
      <c r="D411" s="68"/>
      <c r="E411" s="68"/>
      <c r="F411" s="68"/>
      <c r="G411" s="68"/>
      <c r="H411" s="68"/>
      <c r="I411" s="68"/>
      <c r="J411" s="112" t="s">
        <v>231</v>
      </c>
      <c r="K411" s="69"/>
      <c r="L411" s="70"/>
      <c r="M411" s="70"/>
      <c r="N411" s="70"/>
      <c r="T411" s="5" t="s">
        <v>276</v>
      </c>
    </row>
    <row r="412" spans="1:20" s="60" customFormat="1" ht="21" customHeight="1">
      <c r="A412" s="57">
        <f>A409+1</f>
        <v>215</v>
      </c>
      <c r="B412" s="77" t="s">
        <v>1148</v>
      </c>
      <c r="C412" s="68">
        <v>11</v>
      </c>
      <c r="D412" s="68">
        <v>9</v>
      </c>
      <c r="E412" s="68">
        <v>10</v>
      </c>
      <c r="F412" s="68">
        <v>8</v>
      </c>
      <c r="G412" s="68"/>
      <c r="H412" s="68"/>
      <c r="I412" s="68"/>
      <c r="J412" s="69" t="s">
        <v>650</v>
      </c>
      <c r="K412" s="69">
        <v>2</v>
      </c>
      <c r="L412" s="70">
        <f>200+200</f>
        <v>400</v>
      </c>
      <c r="M412" s="70">
        <f t="shared" si="6"/>
        <v>2000</v>
      </c>
      <c r="N412" s="70">
        <f t="shared" si="7"/>
        <v>14000</v>
      </c>
      <c r="P412" s="61"/>
      <c r="T412" s="5" t="s">
        <v>164</v>
      </c>
    </row>
    <row r="413" spans="1:20" s="60" customFormat="1" ht="21" customHeight="1">
      <c r="A413" s="57"/>
      <c r="B413" s="77" t="s">
        <v>1148</v>
      </c>
      <c r="C413" s="68">
        <v>11</v>
      </c>
      <c r="D413" s="68">
        <v>9</v>
      </c>
      <c r="E413" s="68">
        <v>10</v>
      </c>
      <c r="F413" s="68">
        <v>8</v>
      </c>
      <c r="G413" s="68"/>
      <c r="H413" s="68"/>
      <c r="I413" s="68"/>
      <c r="J413" s="69" t="s">
        <v>650</v>
      </c>
      <c r="K413" s="69"/>
      <c r="L413" s="70"/>
      <c r="M413" s="70"/>
      <c r="N413" s="70"/>
      <c r="P413" s="61"/>
      <c r="T413" s="5" t="s">
        <v>152</v>
      </c>
    </row>
    <row r="414" spans="1:20" ht="21" customHeight="1">
      <c r="A414" s="57">
        <f>A412+1</f>
        <v>216</v>
      </c>
      <c r="B414" s="77" t="s">
        <v>1148</v>
      </c>
      <c r="C414" s="68"/>
      <c r="D414" s="68"/>
      <c r="E414" s="68"/>
      <c r="F414" s="68"/>
      <c r="G414" s="68"/>
      <c r="H414" s="68"/>
      <c r="I414" s="68"/>
      <c r="J414" s="69" t="s">
        <v>650</v>
      </c>
      <c r="K414" s="69">
        <v>2</v>
      </c>
      <c r="L414" s="70">
        <v>300</v>
      </c>
      <c r="M414" s="70">
        <f t="shared" si="6"/>
        <v>1500</v>
      </c>
      <c r="N414" s="70">
        <f t="shared" si="7"/>
        <v>10500</v>
      </c>
      <c r="O414" s="60"/>
      <c r="P414" s="61"/>
      <c r="Q414" s="60"/>
      <c r="T414" s="5" t="s">
        <v>165</v>
      </c>
    </row>
    <row r="415" spans="2:20" ht="21" customHeight="1">
      <c r="B415" s="77" t="s">
        <v>1148</v>
      </c>
      <c r="C415" s="68"/>
      <c r="D415" s="68"/>
      <c r="E415" s="68"/>
      <c r="F415" s="68"/>
      <c r="G415" s="68"/>
      <c r="H415" s="68"/>
      <c r="I415" s="68"/>
      <c r="J415" s="69" t="s">
        <v>650</v>
      </c>
      <c r="K415" s="69"/>
      <c r="L415" s="70"/>
      <c r="M415" s="70"/>
      <c r="N415" s="70"/>
      <c r="O415" s="60"/>
      <c r="P415" s="61"/>
      <c r="Q415" s="60"/>
      <c r="T415" s="5" t="s">
        <v>153</v>
      </c>
    </row>
    <row r="416" spans="1:20" ht="21" customHeight="1">
      <c r="A416" s="57">
        <f>A414+1</f>
        <v>217</v>
      </c>
      <c r="B416" s="67" t="s">
        <v>837</v>
      </c>
      <c r="C416" s="68">
        <v>16.5</v>
      </c>
      <c r="D416" s="68">
        <v>14.5</v>
      </c>
      <c r="E416" s="68">
        <v>12.5</v>
      </c>
      <c r="F416" s="68">
        <v>8</v>
      </c>
      <c r="G416" s="68">
        <v>10</v>
      </c>
      <c r="H416" s="68"/>
      <c r="I416" s="68"/>
      <c r="J416" s="112" t="s">
        <v>232</v>
      </c>
      <c r="K416" s="69">
        <v>2</v>
      </c>
      <c r="L416" s="70">
        <f>291+199</f>
        <v>490</v>
      </c>
      <c r="M416" s="70">
        <f t="shared" si="6"/>
        <v>2450</v>
      </c>
      <c r="N416" s="70">
        <f t="shared" si="7"/>
        <v>17150</v>
      </c>
      <c r="O416" s="60"/>
      <c r="P416" s="61"/>
      <c r="Q416" s="60"/>
      <c r="T416" s="5" t="s">
        <v>0</v>
      </c>
    </row>
    <row r="417" spans="2:20" ht="21" customHeight="1">
      <c r="B417" s="67" t="s">
        <v>837</v>
      </c>
      <c r="C417" s="68"/>
      <c r="D417" s="68"/>
      <c r="E417" s="68"/>
      <c r="F417" s="68"/>
      <c r="G417" s="68"/>
      <c r="H417" s="68"/>
      <c r="I417" s="68"/>
      <c r="J417" s="112" t="s">
        <v>232</v>
      </c>
      <c r="K417" s="69"/>
      <c r="L417" s="70"/>
      <c r="M417" s="70"/>
      <c r="N417" s="70"/>
      <c r="O417" s="60"/>
      <c r="P417" s="61"/>
      <c r="Q417" s="60"/>
      <c r="T417" s="5" t="s">
        <v>1</v>
      </c>
    </row>
    <row r="418" spans="1:20" ht="21" customHeight="1">
      <c r="A418" s="57">
        <f>A416+1</f>
        <v>218</v>
      </c>
      <c r="B418" s="77" t="s">
        <v>837</v>
      </c>
      <c r="C418" s="68">
        <v>16.5</v>
      </c>
      <c r="D418" s="68">
        <v>14.5</v>
      </c>
      <c r="E418" s="68">
        <v>12.5</v>
      </c>
      <c r="F418" s="68">
        <v>8</v>
      </c>
      <c r="G418" s="68">
        <v>10</v>
      </c>
      <c r="H418" s="68"/>
      <c r="I418" s="68"/>
      <c r="J418" s="112" t="s">
        <v>232</v>
      </c>
      <c r="K418" s="69">
        <v>2</v>
      </c>
      <c r="L418" s="70">
        <f>199+160</f>
        <v>359</v>
      </c>
      <c r="M418" s="70">
        <f t="shared" si="6"/>
        <v>1795</v>
      </c>
      <c r="N418" s="70">
        <f t="shared" si="7"/>
        <v>12565</v>
      </c>
      <c r="T418" s="5" t="s">
        <v>2</v>
      </c>
    </row>
    <row r="419" spans="2:20" ht="21" customHeight="1">
      <c r="B419" s="77" t="s">
        <v>837</v>
      </c>
      <c r="C419" s="68"/>
      <c r="D419" s="68"/>
      <c r="E419" s="68"/>
      <c r="F419" s="68"/>
      <c r="G419" s="68"/>
      <c r="H419" s="68"/>
      <c r="I419" s="68"/>
      <c r="J419" s="112" t="s">
        <v>232</v>
      </c>
      <c r="K419" s="69"/>
      <c r="L419" s="70"/>
      <c r="M419" s="70"/>
      <c r="N419" s="70"/>
      <c r="T419" s="5" t="s">
        <v>3</v>
      </c>
    </row>
    <row r="420" spans="1:20" ht="21" customHeight="1">
      <c r="A420" s="57">
        <f>A418+1</f>
        <v>219</v>
      </c>
      <c r="B420" s="67" t="s">
        <v>838</v>
      </c>
      <c r="C420" s="68">
        <v>16</v>
      </c>
      <c r="D420" s="68">
        <v>14</v>
      </c>
      <c r="E420" s="68">
        <v>12</v>
      </c>
      <c r="F420" s="68"/>
      <c r="G420" s="68"/>
      <c r="H420" s="68"/>
      <c r="I420" s="68"/>
      <c r="J420" s="112" t="s">
        <v>233</v>
      </c>
      <c r="K420" s="69">
        <v>2</v>
      </c>
      <c r="L420" s="70">
        <f>183+90</f>
        <v>273</v>
      </c>
      <c r="M420" s="70">
        <f t="shared" si="6"/>
        <v>1365</v>
      </c>
      <c r="N420" s="70">
        <f t="shared" si="7"/>
        <v>9555</v>
      </c>
      <c r="O420" s="60"/>
      <c r="P420" s="61"/>
      <c r="Q420" s="60"/>
      <c r="T420" s="5" t="s">
        <v>596</v>
      </c>
    </row>
    <row r="421" spans="2:20" ht="21" customHeight="1">
      <c r="B421" s="67" t="s">
        <v>838</v>
      </c>
      <c r="C421" s="68"/>
      <c r="D421" s="68"/>
      <c r="E421" s="68"/>
      <c r="F421" s="68"/>
      <c r="G421" s="68"/>
      <c r="H421" s="68"/>
      <c r="I421" s="68"/>
      <c r="J421" s="112" t="s">
        <v>233</v>
      </c>
      <c r="K421" s="69"/>
      <c r="L421" s="70"/>
      <c r="M421" s="70"/>
      <c r="N421" s="70"/>
      <c r="O421" s="60"/>
      <c r="P421" s="61"/>
      <c r="Q421" s="60"/>
      <c r="T421" s="5" t="s">
        <v>475</v>
      </c>
    </row>
    <row r="422" spans="1:20" ht="21" customHeight="1">
      <c r="A422" s="57">
        <f>A420+1</f>
        <v>220</v>
      </c>
      <c r="B422" s="67" t="s">
        <v>1146</v>
      </c>
      <c r="C422" s="68">
        <v>14.5</v>
      </c>
      <c r="D422" s="68">
        <v>12.5</v>
      </c>
      <c r="E422" s="68">
        <v>13.5</v>
      </c>
      <c r="F422" s="68">
        <v>11.5</v>
      </c>
      <c r="G422" s="68">
        <v>8.5</v>
      </c>
      <c r="H422" s="68"/>
      <c r="I422" s="68"/>
      <c r="J422" s="69" t="s">
        <v>647</v>
      </c>
      <c r="K422" s="69">
        <v>2</v>
      </c>
      <c r="L422" s="70">
        <f>331+332</f>
        <v>663</v>
      </c>
      <c r="M422" s="70">
        <f t="shared" si="6"/>
        <v>3315</v>
      </c>
      <c r="N422" s="70">
        <f t="shared" si="7"/>
        <v>23205</v>
      </c>
      <c r="O422" s="60"/>
      <c r="P422" s="61"/>
      <c r="Q422" s="60"/>
      <c r="T422" s="5" t="s">
        <v>492</v>
      </c>
    </row>
    <row r="423" spans="2:20" ht="21" customHeight="1">
      <c r="B423" s="67" t="s">
        <v>1146</v>
      </c>
      <c r="C423" s="68">
        <v>14.5</v>
      </c>
      <c r="D423" s="68">
        <v>12.5</v>
      </c>
      <c r="E423" s="68">
        <v>13.5</v>
      </c>
      <c r="F423" s="68">
        <v>11.5</v>
      </c>
      <c r="G423" s="68">
        <v>8.5</v>
      </c>
      <c r="H423" s="68"/>
      <c r="I423" s="68"/>
      <c r="J423" s="69" t="s">
        <v>647</v>
      </c>
      <c r="K423" s="69"/>
      <c r="L423" s="70"/>
      <c r="M423" s="70"/>
      <c r="N423" s="70"/>
      <c r="O423" s="60"/>
      <c r="P423" s="61"/>
      <c r="Q423" s="60"/>
      <c r="T423" s="5" t="s">
        <v>675</v>
      </c>
    </row>
    <row r="424" spans="1:20" ht="21" customHeight="1">
      <c r="A424" s="57">
        <f>A422+1</f>
        <v>221</v>
      </c>
      <c r="B424" s="67" t="s">
        <v>1146</v>
      </c>
      <c r="C424" s="68">
        <v>14.5</v>
      </c>
      <c r="D424" s="68">
        <v>12.5</v>
      </c>
      <c r="E424" s="68">
        <v>13.5</v>
      </c>
      <c r="F424" s="68">
        <v>11.5</v>
      </c>
      <c r="G424" s="68">
        <v>8.5</v>
      </c>
      <c r="H424" s="68"/>
      <c r="I424" s="68"/>
      <c r="J424" s="69" t="s">
        <v>647</v>
      </c>
      <c r="K424" s="69">
        <v>2</v>
      </c>
      <c r="L424" s="70">
        <v>300</v>
      </c>
      <c r="M424" s="70">
        <f t="shared" si="6"/>
        <v>1500</v>
      </c>
      <c r="N424" s="70">
        <f t="shared" si="7"/>
        <v>10500</v>
      </c>
      <c r="O424" s="60"/>
      <c r="P424" s="61"/>
      <c r="Q424" s="60"/>
      <c r="T424" s="5" t="s">
        <v>171</v>
      </c>
    </row>
    <row r="425" spans="1:20" ht="21" customHeight="1">
      <c r="A425" s="57">
        <f>A424+1</f>
        <v>222</v>
      </c>
      <c r="B425" s="67" t="s">
        <v>839</v>
      </c>
      <c r="C425" s="68">
        <v>10</v>
      </c>
      <c r="D425" s="68">
        <v>8</v>
      </c>
      <c r="E425" s="68"/>
      <c r="F425" s="68"/>
      <c r="G425" s="68"/>
      <c r="H425" s="68"/>
      <c r="I425" s="68"/>
      <c r="J425" s="132" t="s">
        <v>369</v>
      </c>
      <c r="K425" s="69">
        <v>2</v>
      </c>
      <c r="L425" s="70">
        <f>267+199</f>
        <v>466</v>
      </c>
      <c r="M425" s="70">
        <f t="shared" si="6"/>
        <v>2330</v>
      </c>
      <c r="N425" s="70">
        <f t="shared" si="7"/>
        <v>16310</v>
      </c>
      <c r="O425" s="60"/>
      <c r="P425" s="61"/>
      <c r="Q425" s="60"/>
      <c r="T425" s="5" t="s">
        <v>937</v>
      </c>
    </row>
    <row r="426" spans="2:20" ht="21" customHeight="1">
      <c r="B426" s="67" t="s">
        <v>839</v>
      </c>
      <c r="C426" s="68">
        <v>10</v>
      </c>
      <c r="D426" s="68">
        <v>8</v>
      </c>
      <c r="E426" s="68"/>
      <c r="F426" s="68"/>
      <c r="G426" s="68"/>
      <c r="H426" s="68"/>
      <c r="I426" s="68"/>
      <c r="J426" s="132" t="s">
        <v>369</v>
      </c>
      <c r="K426" s="69"/>
      <c r="L426" s="70"/>
      <c r="M426" s="70"/>
      <c r="N426" s="70"/>
      <c r="O426" s="60"/>
      <c r="P426" s="61"/>
      <c r="Q426" s="60"/>
      <c r="T426" s="5" t="s">
        <v>89</v>
      </c>
    </row>
    <row r="427" spans="1:20" ht="21" customHeight="1">
      <c r="A427" s="57">
        <f>A425+1</f>
        <v>223</v>
      </c>
      <c r="B427" s="77" t="s">
        <v>505</v>
      </c>
      <c r="C427" s="68">
        <v>10</v>
      </c>
      <c r="D427" s="68">
        <v>8</v>
      </c>
      <c r="E427" s="68"/>
      <c r="F427" s="68"/>
      <c r="G427" s="68"/>
      <c r="H427" s="68"/>
      <c r="I427" s="68"/>
      <c r="J427" s="69" t="s">
        <v>579</v>
      </c>
      <c r="K427" s="69">
        <v>2</v>
      </c>
      <c r="L427" s="70">
        <f>164+143</f>
        <v>307</v>
      </c>
      <c r="M427" s="70">
        <f t="shared" si="6"/>
        <v>1535</v>
      </c>
      <c r="N427" s="70">
        <f t="shared" si="7"/>
        <v>10745</v>
      </c>
      <c r="O427" s="60"/>
      <c r="P427" s="61"/>
      <c r="Q427" s="60"/>
      <c r="T427" s="5" t="s">
        <v>1092</v>
      </c>
    </row>
    <row r="428" spans="2:20" ht="21" customHeight="1">
      <c r="B428" s="77" t="s">
        <v>505</v>
      </c>
      <c r="C428" s="68"/>
      <c r="D428" s="68"/>
      <c r="E428" s="68"/>
      <c r="F428" s="68"/>
      <c r="G428" s="68"/>
      <c r="H428" s="68"/>
      <c r="I428" s="68"/>
      <c r="J428" s="69" t="s">
        <v>579</v>
      </c>
      <c r="K428" s="69"/>
      <c r="L428" s="70"/>
      <c r="M428" s="70"/>
      <c r="N428" s="70"/>
      <c r="O428" s="60"/>
      <c r="P428" s="61"/>
      <c r="Q428" s="60"/>
      <c r="T428" s="5" t="s">
        <v>1093</v>
      </c>
    </row>
    <row r="429" spans="1:20" ht="21" customHeight="1">
      <c r="A429" s="57">
        <f>A427+1</f>
        <v>224</v>
      </c>
      <c r="B429" s="67" t="s">
        <v>840</v>
      </c>
      <c r="C429" s="68">
        <v>14</v>
      </c>
      <c r="D429" s="68">
        <v>12</v>
      </c>
      <c r="E429" s="68">
        <v>13</v>
      </c>
      <c r="F429" s="68">
        <v>11</v>
      </c>
      <c r="G429" s="68">
        <v>6.25</v>
      </c>
      <c r="H429" s="68"/>
      <c r="I429" s="68"/>
      <c r="J429" s="112" t="s">
        <v>549</v>
      </c>
      <c r="K429" s="69">
        <v>2</v>
      </c>
      <c r="L429" s="70">
        <f>324+297</f>
        <v>621</v>
      </c>
      <c r="M429" s="70">
        <f t="shared" si="6"/>
        <v>3105</v>
      </c>
      <c r="N429" s="70">
        <f t="shared" si="7"/>
        <v>21735</v>
      </c>
      <c r="T429" s="5" t="s">
        <v>1085</v>
      </c>
    </row>
    <row r="430" spans="2:20" ht="21" customHeight="1">
      <c r="B430" s="67" t="s">
        <v>840</v>
      </c>
      <c r="C430" s="68">
        <v>14</v>
      </c>
      <c r="D430" s="68">
        <v>12</v>
      </c>
      <c r="E430" s="68">
        <v>13</v>
      </c>
      <c r="F430" s="68">
        <v>11</v>
      </c>
      <c r="G430" s="68">
        <v>6.25</v>
      </c>
      <c r="H430" s="68"/>
      <c r="I430" s="68"/>
      <c r="J430" s="112" t="s">
        <v>549</v>
      </c>
      <c r="K430" s="69"/>
      <c r="L430" s="70"/>
      <c r="M430" s="70"/>
      <c r="N430" s="70"/>
      <c r="T430" s="5" t="s">
        <v>94</v>
      </c>
    </row>
    <row r="431" spans="1:20" ht="21" customHeight="1">
      <c r="A431" s="57">
        <f>A429+1</f>
        <v>225</v>
      </c>
      <c r="B431" s="67" t="s">
        <v>840</v>
      </c>
      <c r="C431" s="68">
        <v>14</v>
      </c>
      <c r="D431" s="68">
        <v>12</v>
      </c>
      <c r="E431" s="68">
        <v>13</v>
      </c>
      <c r="F431" s="68">
        <v>11</v>
      </c>
      <c r="G431" s="68">
        <v>6.25</v>
      </c>
      <c r="H431" s="68"/>
      <c r="I431" s="68"/>
      <c r="J431" s="112" t="s">
        <v>549</v>
      </c>
      <c r="K431" s="69">
        <v>2</v>
      </c>
      <c r="L431" s="70">
        <f>297+150</f>
        <v>447</v>
      </c>
      <c r="M431" s="70">
        <f t="shared" si="6"/>
        <v>2235</v>
      </c>
      <c r="N431" s="70">
        <f t="shared" si="7"/>
        <v>15645</v>
      </c>
      <c r="O431" s="60"/>
      <c r="P431" s="61"/>
      <c r="Q431" s="60"/>
      <c r="T431" s="5" t="s">
        <v>97</v>
      </c>
    </row>
    <row r="432" spans="2:20" ht="21" customHeight="1">
      <c r="B432" s="67" t="s">
        <v>840</v>
      </c>
      <c r="C432" s="68">
        <v>14</v>
      </c>
      <c r="D432" s="68">
        <v>12</v>
      </c>
      <c r="E432" s="68">
        <v>13</v>
      </c>
      <c r="F432" s="68">
        <v>11</v>
      </c>
      <c r="G432" s="68">
        <v>6.25</v>
      </c>
      <c r="H432" s="68"/>
      <c r="I432" s="68"/>
      <c r="J432" s="112" t="s">
        <v>549</v>
      </c>
      <c r="K432" s="69"/>
      <c r="L432" s="70"/>
      <c r="M432" s="70"/>
      <c r="N432" s="70"/>
      <c r="O432" s="60"/>
      <c r="P432" s="61"/>
      <c r="Q432" s="60"/>
      <c r="T432" s="5" t="s">
        <v>95</v>
      </c>
    </row>
    <row r="433" spans="1:20" ht="21" customHeight="1">
      <c r="A433" s="57">
        <f>A431+1</f>
        <v>226</v>
      </c>
      <c r="B433" s="77" t="s">
        <v>536</v>
      </c>
      <c r="C433" s="68">
        <v>14</v>
      </c>
      <c r="D433" s="68">
        <v>12</v>
      </c>
      <c r="E433" s="68">
        <v>13</v>
      </c>
      <c r="F433" s="68">
        <v>11</v>
      </c>
      <c r="G433" s="68">
        <v>6.25</v>
      </c>
      <c r="H433" s="68"/>
      <c r="I433" s="68"/>
      <c r="J433" s="112" t="s">
        <v>549</v>
      </c>
      <c r="K433" s="69">
        <v>1</v>
      </c>
      <c r="L433" s="70">
        <v>250</v>
      </c>
      <c r="M433" s="70">
        <f t="shared" si="6"/>
        <v>1250</v>
      </c>
      <c r="N433" s="70">
        <f t="shared" si="7"/>
        <v>8750</v>
      </c>
      <c r="O433" s="60"/>
      <c r="P433" s="61"/>
      <c r="Q433" s="60"/>
      <c r="T433" s="5" t="s">
        <v>96</v>
      </c>
    </row>
    <row r="434" spans="1:20" ht="21" customHeight="1">
      <c r="A434" s="57">
        <f>A433+1</f>
        <v>227</v>
      </c>
      <c r="B434" s="67" t="s">
        <v>1147</v>
      </c>
      <c r="C434" s="68">
        <v>13</v>
      </c>
      <c r="D434" s="68">
        <v>11</v>
      </c>
      <c r="E434" s="68">
        <v>12</v>
      </c>
      <c r="F434" s="68">
        <v>10</v>
      </c>
      <c r="G434" s="68">
        <v>8</v>
      </c>
      <c r="H434" s="68"/>
      <c r="I434" s="68"/>
      <c r="J434" s="69" t="s">
        <v>648</v>
      </c>
      <c r="K434" s="69">
        <v>2</v>
      </c>
      <c r="L434" s="70">
        <f>279+279</f>
        <v>558</v>
      </c>
      <c r="M434" s="70">
        <f t="shared" si="6"/>
        <v>2790</v>
      </c>
      <c r="N434" s="70">
        <f t="shared" si="7"/>
        <v>19530</v>
      </c>
      <c r="O434" s="60"/>
      <c r="P434" s="61"/>
      <c r="Q434" s="60"/>
      <c r="T434" s="5" t="s">
        <v>6</v>
      </c>
    </row>
    <row r="435" spans="2:20" ht="21" customHeight="1">
      <c r="B435" s="67" t="s">
        <v>1147</v>
      </c>
      <c r="C435" s="68">
        <v>13</v>
      </c>
      <c r="D435" s="68">
        <v>11</v>
      </c>
      <c r="E435" s="68">
        <v>12</v>
      </c>
      <c r="F435" s="68">
        <v>10</v>
      </c>
      <c r="G435" s="68">
        <v>8</v>
      </c>
      <c r="H435" s="68"/>
      <c r="I435" s="68"/>
      <c r="J435" s="69" t="s">
        <v>648</v>
      </c>
      <c r="K435" s="69"/>
      <c r="L435" s="70"/>
      <c r="M435" s="70"/>
      <c r="N435" s="70"/>
      <c r="O435" s="60"/>
      <c r="P435" s="61"/>
      <c r="Q435" s="60"/>
      <c r="T435" s="5" t="s">
        <v>150</v>
      </c>
    </row>
    <row r="436" spans="1:20" s="60" customFormat="1" ht="21" customHeight="1">
      <c r="A436" s="57">
        <f>A434+1</f>
        <v>228</v>
      </c>
      <c r="B436" s="67" t="s">
        <v>1147</v>
      </c>
      <c r="C436" s="68">
        <v>13</v>
      </c>
      <c r="D436" s="68">
        <v>11</v>
      </c>
      <c r="E436" s="68">
        <v>12</v>
      </c>
      <c r="F436" s="68">
        <v>10</v>
      </c>
      <c r="G436" s="68">
        <v>8</v>
      </c>
      <c r="H436" s="68"/>
      <c r="I436" s="68"/>
      <c r="J436" s="69" t="s">
        <v>648</v>
      </c>
      <c r="K436" s="69">
        <v>2</v>
      </c>
      <c r="L436" s="70">
        <v>300</v>
      </c>
      <c r="M436" s="70">
        <f t="shared" si="6"/>
        <v>1500</v>
      </c>
      <c r="N436" s="70">
        <f t="shared" si="7"/>
        <v>10500</v>
      </c>
      <c r="P436" s="61"/>
      <c r="T436" s="5" t="s">
        <v>151</v>
      </c>
    </row>
    <row r="437" spans="1:20" s="60" customFormat="1" ht="21" customHeight="1">
      <c r="A437" s="57"/>
      <c r="B437" s="67" t="s">
        <v>1147</v>
      </c>
      <c r="C437" s="68">
        <v>13</v>
      </c>
      <c r="D437" s="68">
        <v>11</v>
      </c>
      <c r="E437" s="68">
        <v>12</v>
      </c>
      <c r="F437" s="68">
        <v>10</v>
      </c>
      <c r="G437" s="68">
        <v>8</v>
      </c>
      <c r="H437" s="68"/>
      <c r="I437" s="68"/>
      <c r="J437" s="69" t="s">
        <v>648</v>
      </c>
      <c r="K437" s="69"/>
      <c r="L437" s="70"/>
      <c r="M437" s="70"/>
      <c r="N437" s="70"/>
      <c r="P437" s="61"/>
      <c r="T437" s="5" t="s">
        <v>142</v>
      </c>
    </row>
    <row r="438" spans="1:20" ht="21" customHeight="1">
      <c r="A438" s="57">
        <f>A436+1</f>
        <v>229</v>
      </c>
      <c r="B438" s="67" t="s">
        <v>841</v>
      </c>
      <c r="C438" s="68"/>
      <c r="D438" s="68"/>
      <c r="E438" s="68"/>
      <c r="F438" s="68"/>
      <c r="G438" s="68"/>
      <c r="H438" s="68"/>
      <c r="I438" s="68"/>
      <c r="J438" s="69" t="s">
        <v>969</v>
      </c>
      <c r="K438" s="69">
        <v>2</v>
      </c>
      <c r="L438" s="70">
        <f>271+77</f>
        <v>348</v>
      </c>
      <c r="M438" s="70">
        <f t="shared" si="6"/>
        <v>1740</v>
      </c>
      <c r="N438" s="70">
        <f t="shared" si="7"/>
        <v>12180</v>
      </c>
      <c r="O438" s="60"/>
      <c r="P438" s="61"/>
      <c r="Q438" s="60"/>
      <c r="T438" s="5" t="s">
        <v>970</v>
      </c>
    </row>
    <row r="439" spans="2:20" ht="21" customHeight="1">
      <c r="B439" s="67" t="s">
        <v>841</v>
      </c>
      <c r="C439" s="68"/>
      <c r="D439" s="68"/>
      <c r="E439" s="68"/>
      <c r="F439" s="68"/>
      <c r="G439" s="68"/>
      <c r="H439" s="68"/>
      <c r="I439" s="68"/>
      <c r="J439" s="69" t="s">
        <v>969</v>
      </c>
      <c r="K439" s="69"/>
      <c r="L439" s="70"/>
      <c r="M439" s="70"/>
      <c r="N439" s="70"/>
      <c r="O439" s="60"/>
      <c r="P439" s="61"/>
      <c r="Q439" s="60"/>
      <c r="T439" s="5" t="s">
        <v>1110</v>
      </c>
    </row>
    <row r="440" spans="1:20" ht="21" customHeight="1">
      <c r="A440" s="57">
        <f>A438+1</f>
        <v>230</v>
      </c>
      <c r="B440" s="67" t="s">
        <v>841</v>
      </c>
      <c r="C440" s="68">
        <v>16</v>
      </c>
      <c r="D440" s="68">
        <v>13.5</v>
      </c>
      <c r="E440" s="68">
        <v>12</v>
      </c>
      <c r="F440" s="68">
        <v>10</v>
      </c>
      <c r="G440" s="68"/>
      <c r="H440" s="68"/>
      <c r="I440" s="68"/>
      <c r="J440" s="69" t="s">
        <v>969</v>
      </c>
      <c r="K440" s="69">
        <v>2</v>
      </c>
      <c r="L440" s="70">
        <v>200</v>
      </c>
      <c r="M440" s="70">
        <f t="shared" si="6"/>
        <v>1000</v>
      </c>
      <c r="N440" s="70">
        <f t="shared" si="7"/>
        <v>7000</v>
      </c>
      <c r="O440" s="60"/>
      <c r="P440" s="61"/>
      <c r="Q440" s="60"/>
      <c r="T440" s="5" t="s">
        <v>971</v>
      </c>
    </row>
    <row r="441" spans="1:20" ht="21" customHeight="1">
      <c r="A441" s="57">
        <f>A440+1</f>
        <v>231</v>
      </c>
      <c r="B441" s="77" t="s">
        <v>417</v>
      </c>
      <c r="C441" s="68">
        <v>10</v>
      </c>
      <c r="D441" s="68">
        <v>8</v>
      </c>
      <c r="E441" s="68">
        <v>6</v>
      </c>
      <c r="F441" s="68"/>
      <c r="G441" s="68"/>
      <c r="H441" s="68"/>
      <c r="I441" s="68"/>
      <c r="J441" s="112" t="s">
        <v>645</v>
      </c>
      <c r="K441" s="69">
        <v>2</v>
      </c>
      <c r="L441" s="70">
        <f>193+80</f>
        <v>273</v>
      </c>
      <c r="M441" s="70">
        <f t="shared" si="6"/>
        <v>1365</v>
      </c>
      <c r="N441" s="70">
        <f t="shared" si="7"/>
        <v>9555</v>
      </c>
      <c r="O441" s="60"/>
      <c r="P441" s="61"/>
      <c r="Q441" s="60"/>
      <c r="T441" s="5" t="s">
        <v>431</v>
      </c>
    </row>
    <row r="442" spans="2:20" ht="21" customHeight="1">
      <c r="B442" s="77" t="s">
        <v>417</v>
      </c>
      <c r="C442" s="68"/>
      <c r="D442" s="68"/>
      <c r="E442" s="68"/>
      <c r="F442" s="68"/>
      <c r="G442" s="68"/>
      <c r="H442" s="68"/>
      <c r="I442" s="68"/>
      <c r="J442" s="112" t="s">
        <v>645</v>
      </c>
      <c r="K442" s="69"/>
      <c r="L442" s="70"/>
      <c r="M442" s="70"/>
      <c r="N442" s="70"/>
      <c r="O442" s="60"/>
      <c r="P442" s="61"/>
      <c r="Q442" s="60"/>
      <c r="T442" s="5" t="s">
        <v>988</v>
      </c>
    </row>
    <row r="443" spans="1:20" ht="21" customHeight="1">
      <c r="A443" s="57">
        <f>A441+1</f>
        <v>232</v>
      </c>
      <c r="B443" s="77" t="s">
        <v>354</v>
      </c>
      <c r="C443" s="68">
        <v>10</v>
      </c>
      <c r="D443" s="68">
        <v>8</v>
      </c>
      <c r="E443" s="68">
        <v>6</v>
      </c>
      <c r="F443" s="68"/>
      <c r="G443" s="68"/>
      <c r="H443" s="68"/>
      <c r="I443" s="68"/>
      <c r="J443" s="112" t="s">
        <v>294</v>
      </c>
      <c r="K443" s="69">
        <v>2</v>
      </c>
      <c r="L443" s="70">
        <f>407+112</f>
        <v>519</v>
      </c>
      <c r="M443" s="70">
        <f t="shared" si="6"/>
        <v>2595</v>
      </c>
      <c r="N443" s="70">
        <f t="shared" si="7"/>
        <v>18165</v>
      </c>
      <c r="O443" s="60"/>
      <c r="P443" s="61"/>
      <c r="Q443" s="60"/>
      <c r="T443" s="5" t="s">
        <v>551</v>
      </c>
    </row>
    <row r="444" spans="2:20" ht="21" customHeight="1">
      <c r="B444" s="77" t="s">
        <v>354</v>
      </c>
      <c r="C444" s="68"/>
      <c r="D444" s="68"/>
      <c r="E444" s="68"/>
      <c r="F444" s="68"/>
      <c r="G444" s="68"/>
      <c r="H444" s="68"/>
      <c r="I444" s="68"/>
      <c r="J444" s="112" t="s">
        <v>294</v>
      </c>
      <c r="K444" s="69"/>
      <c r="L444" s="70"/>
      <c r="M444" s="70"/>
      <c r="N444" s="70"/>
      <c r="O444" s="60"/>
      <c r="P444" s="61"/>
      <c r="Q444" s="60"/>
      <c r="T444" s="5" t="s">
        <v>312</v>
      </c>
    </row>
    <row r="445" spans="1:20" ht="21" customHeight="1">
      <c r="A445" s="57">
        <f>A443+1</f>
        <v>233</v>
      </c>
      <c r="B445" s="67" t="s">
        <v>354</v>
      </c>
      <c r="C445" s="68">
        <v>10</v>
      </c>
      <c r="D445" s="68">
        <v>8</v>
      </c>
      <c r="E445" s="68">
        <v>6</v>
      </c>
      <c r="F445" s="68"/>
      <c r="G445" s="68"/>
      <c r="H445" s="68"/>
      <c r="I445" s="68"/>
      <c r="J445" s="112" t="s">
        <v>294</v>
      </c>
      <c r="K445" s="69">
        <v>1</v>
      </c>
      <c r="L445" s="69">
        <f>80+60</f>
        <v>140</v>
      </c>
      <c r="M445" s="70">
        <f t="shared" si="6"/>
        <v>700</v>
      </c>
      <c r="N445" s="70">
        <f t="shared" si="7"/>
        <v>4900</v>
      </c>
      <c r="O445" s="60"/>
      <c r="P445" s="61"/>
      <c r="Q445" s="60"/>
      <c r="T445" s="5" t="s">
        <v>335</v>
      </c>
    </row>
    <row r="446" spans="2:20" ht="21" customHeight="1">
      <c r="B446" s="67" t="s">
        <v>354</v>
      </c>
      <c r="C446" s="68"/>
      <c r="D446" s="68"/>
      <c r="E446" s="68"/>
      <c r="F446" s="68"/>
      <c r="G446" s="68"/>
      <c r="H446" s="68"/>
      <c r="I446" s="68"/>
      <c r="J446" s="112" t="s">
        <v>294</v>
      </c>
      <c r="K446" s="69"/>
      <c r="L446" s="69"/>
      <c r="M446" s="70"/>
      <c r="N446" s="70"/>
      <c r="O446" s="60"/>
      <c r="P446" s="61"/>
      <c r="Q446" s="60"/>
      <c r="T446" s="5" t="s">
        <v>1004</v>
      </c>
    </row>
    <row r="447" spans="1:20" ht="21" customHeight="1">
      <c r="A447" s="57">
        <f>A445+1</f>
        <v>234</v>
      </c>
      <c r="B447" s="67" t="s">
        <v>1149</v>
      </c>
      <c r="C447" s="68">
        <v>13</v>
      </c>
      <c r="D447" s="68">
        <v>11</v>
      </c>
      <c r="E447" s="68">
        <v>9</v>
      </c>
      <c r="F447" s="68">
        <v>8</v>
      </c>
      <c r="G447" s="68"/>
      <c r="H447" s="68"/>
      <c r="I447" s="68"/>
      <c r="J447" s="69" t="s">
        <v>669</v>
      </c>
      <c r="K447" s="69">
        <v>2</v>
      </c>
      <c r="L447" s="70">
        <v>300</v>
      </c>
      <c r="M447" s="70">
        <f t="shared" si="6"/>
        <v>1500</v>
      </c>
      <c r="N447" s="70">
        <f t="shared" si="7"/>
        <v>10500</v>
      </c>
      <c r="O447" s="60"/>
      <c r="P447" s="61"/>
      <c r="Q447" s="60"/>
      <c r="T447" s="5" t="s">
        <v>166</v>
      </c>
    </row>
    <row r="448" spans="2:20" ht="21" customHeight="1">
      <c r="B448" s="67" t="s">
        <v>1149</v>
      </c>
      <c r="C448" s="68">
        <v>13</v>
      </c>
      <c r="D448" s="68">
        <v>11</v>
      </c>
      <c r="E448" s="68">
        <v>9</v>
      </c>
      <c r="F448" s="68">
        <v>8</v>
      </c>
      <c r="G448" s="68"/>
      <c r="H448" s="68"/>
      <c r="I448" s="68"/>
      <c r="J448" s="69" t="s">
        <v>669</v>
      </c>
      <c r="K448" s="69"/>
      <c r="L448" s="70"/>
      <c r="M448" s="70"/>
      <c r="N448" s="70"/>
      <c r="O448" s="60"/>
      <c r="P448" s="61"/>
      <c r="Q448" s="60"/>
      <c r="T448" s="5" t="s">
        <v>6</v>
      </c>
    </row>
    <row r="449" spans="1:20" ht="21" customHeight="1">
      <c r="A449" s="57">
        <f>A447+1</f>
        <v>235</v>
      </c>
      <c r="B449" s="67" t="s">
        <v>1149</v>
      </c>
      <c r="C449" s="68">
        <v>13</v>
      </c>
      <c r="D449" s="68">
        <v>11</v>
      </c>
      <c r="E449" s="68">
        <v>9</v>
      </c>
      <c r="F449" s="68">
        <v>8</v>
      </c>
      <c r="G449" s="68"/>
      <c r="H449" s="68"/>
      <c r="I449" s="68"/>
      <c r="J449" s="69" t="s">
        <v>669</v>
      </c>
      <c r="K449" s="69">
        <v>2</v>
      </c>
      <c r="L449" s="70">
        <v>200</v>
      </c>
      <c r="M449" s="70">
        <f t="shared" si="6"/>
        <v>1000</v>
      </c>
      <c r="N449" s="70">
        <f t="shared" si="7"/>
        <v>7000</v>
      </c>
      <c r="O449" s="60"/>
      <c r="P449" s="61"/>
      <c r="Q449" s="60"/>
      <c r="T449" s="5" t="s">
        <v>167</v>
      </c>
    </row>
    <row r="450" spans="2:20" ht="21" customHeight="1">
      <c r="B450" s="67" t="s">
        <v>1149</v>
      </c>
      <c r="C450" s="68">
        <v>13</v>
      </c>
      <c r="D450" s="68">
        <v>11</v>
      </c>
      <c r="E450" s="68">
        <v>9</v>
      </c>
      <c r="F450" s="68">
        <v>8</v>
      </c>
      <c r="G450" s="68"/>
      <c r="H450" s="68"/>
      <c r="I450" s="68"/>
      <c r="J450" s="69" t="s">
        <v>669</v>
      </c>
      <c r="K450" s="69"/>
      <c r="L450" s="70"/>
      <c r="M450" s="70"/>
      <c r="N450" s="70"/>
      <c r="O450" s="60"/>
      <c r="P450" s="61"/>
      <c r="Q450" s="60"/>
      <c r="T450" s="5" t="s">
        <v>142</v>
      </c>
    </row>
    <row r="451" spans="1:20" ht="21" customHeight="1">
      <c r="A451" s="57">
        <f>A449+1</f>
        <v>236</v>
      </c>
      <c r="B451" s="77" t="s">
        <v>470</v>
      </c>
      <c r="C451" s="68">
        <v>10</v>
      </c>
      <c r="D451" s="68">
        <v>8</v>
      </c>
      <c r="E451" s="68">
        <v>6</v>
      </c>
      <c r="F451" s="68"/>
      <c r="G451" s="68"/>
      <c r="H451" s="68"/>
      <c r="I451" s="68"/>
      <c r="J451" s="113" t="s">
        <v>471</v>
      </c>
      <c r="K451" s="69">
        <v>2</v>
      </c>
      <c r="L451" s="70">
        <f>150+150</f>
        <v>300</v>
      </c>
      <c r="M451" s="70">
        <f t="shared" si="6"/>
        <v>1500</v>
      </c>
      <c r="N451" s="70">
        <f t="shared" si="7"/>
        <v>10500</v>
      </c>
      <c r="O451" s="60"/>
      <c r="P451" s="61"/>
      <c r="Q451" s="60"/>
      <c r="T451" s="5" t="s">
        <v>335</v>
      </c>
    </row>
    <row r="452" spans="2:20" ht="21" customHeight="1">
      <c r="B452" s="77" t="s">
        <v>470</v>
      </c>
      <c r="C452" s="68"/>
      <c r="D452" s="68"/>
      <c r="E452" s="68"/>
      <c r="F452" s="68"/>
      <c r="G452" s="68"/>
      <c r="H452" s="68"/>
      <c r="I452" s="68"/>
      <c r="J452" s="113" t="s">
        <v>471</v>
      </c>
      <c r="K452" s="69"/>
      <c r="L452" s="70"/>
      <c r="M452" s="70"/>
      <c r="N452" s="70"/>
      <c r="O452" s="60"/>
      <c r="P452" s="61"/>
      <c r="Q452" s="60"/>
      <c r="T452" s="5" t="s">
        <v>551</v>
      </c>
    </row>
    <row r="453" spans="1:20" ht="21" customHeight="1">
      <c r="A453" s="57">
        <f>A451+1</f>
        <v>237</v>
      </c>
      <c r="B453" s="67" t="s">
        <v>397</v>
      </c>
      <c r="C453" s="68">
        <v>10</v>
      </c>
      <c r="D453" s="68">
        <v>9</v>
      </c>
      <c r="E453" s="68">
        <v>8</v>
      </c>
      <c r="F453" s="68">
        <v>7</v>
      </c>
      <c r="G453" s="68"/>
      <c r="H453" s="68"/>
      <c r="I453" s="68"/>
      <c r="J453" s="69" t="s">
        <v>466</v>
      </c>
      <c r="K453" s="69">
        <v>2</v>
      </c>
      <c r="L453" s="70">
        <f>81+81</f>
        <v>162</v>
      </c>
      <c r="M453" s="70">
        <f t="shared" si="6"/>
        <v>810</v>
      </c>
      <c r="N453" s="70">
        <f t="shared" si="7"/>
        <v>5670</v>
      </c>
      <c r="O453" s="60"/>
      <c r="P453" s="61"/>
      <c r="Q453" s="60"/>
      <c r="T453" s="5" t="s">
        <v>597</v>
      </c>
    </row>
    <row r="454" spans="2:20" ht="21" customHeight="1">
      <c r="B454" s="67" t="s">
        <v>397</v>
      </c>
      <c r="C454" s="68"/>
      <c r="D454" s="68"/>
      <c r="E454" s="68"/>
      <c r="F454" s="68"/>
      <c r="G454" s="68"/>
      <c r="H454" s="68"/>
      <c r="I454" s="68"/>
      <c r="J454" s="69" t="s">
        <v>466</v>
      </c>
      <c r="K454" s="69"/>
      <c r="L454" s="70"/>
      <c r="M454" s="70"/>
      <c r="N454" s="70"/>
      <c r="O454" s="60"/>
      <c r="P454" s="61"/>
      <c r="Q454" s="60"/>
      <c r="T454" s="5" t="s">
        <v>947</v>
      </c>
    </row>
    <row r="455" spans="1:20" ht="21" customHeight="1">
      <c r="A455" s="57">
        <f>A453+1</f>
        <v>238</v>
      </c>
      <c r="B455" s="67" t="s">
        <v>842</v>
      </c>
      <c r="C455" s="68">
        <v>6</v>
      </c>
      <c r="D455" s="68">
        <v>5</v>
      </c>
      <c r="E455" s="68">
        <v>3</v>
      </c>
      <c r="F455" s="68"/>
      <c r="G455" s="68"/>
      <c r="H455" s="68"/>
      <c r="I455" s="68"/>
      <c r="J455" s="69" t="s">
        <v>295</v>
      </c>
      <c r="K455" s="69">
        <v>2</v>
      </c>
      <c r="L455" s="70">
        <f>125+125</f>
        <v>250</v>
      </c>
      <c r="M455" s="70">
        <f t="shared" si="6"/>
        <v>1250</v>
      </c>
      <c r="N455" s="70">
        <f t="shared" si="7"/>
        <v>8750</v>
      </c>
      <c r="O455" s="60"/>
      <c r="P455" s="61"/>
      <c r="Q455" s="60"/>
      <c r="T455" s="5" t="s">
        <v>335</v>
      </c>
    </row>
    <row r="456" spans="2:20" ht="21" customHeight="1">
      <c r="B456" s="67" t="s">
        <v>842</v>
      </c>
      <c r="C456" s="68"/>
      <c r="D456" s="68"/>
      <c r="E456" s="68"/>
      <c r="F456" s="68"/>
      <c r="G456" s="68"/>
      <c r="H456" s="68"/>
      <c r="I456" s="68"/>
      <c r="J456" s="69" t="s">
        <v>295</v>
      </c>
      <c r="K456" s="69"/>
      <c r="L456" s="70"/>
      <c r="M456" s="70"/>
      <c r="N456" s="70"/>
      <c r="O456" s="60"/>
      <c r="P456" s="61"/>
      <c r="Q456" s="60"/>
      <c r="T456" s="5" t="s">
        <v>551</v>
      </c>
    </row>
    <row r="457" spans="1:20" ht="21" customHeight="1">
      <c r="A457" s="57">
        <f>A455+1</f>
        <v>239</v>
      </c>
      <c r="B457" s="77" t="s">
        <v>498</v>
      </c>
      <c r="C457" s="68">
        <v>15</v>
      </c>
      <c r="D457" s="68">
        <v>12.5</v>
      </c>
      <c r="E457" s="68">
        <v>10</v>
      </c>
      <c r="F457" s="68">
        <v>5</v>
      </c>
      <c r="G457" s="68"/>
      <c r="H457" s="68"/>
      <c r="I457" s="68"/>
      <c r="J457" s="112" t="s">
        <v>646</v>
      </c>
      <c r="K457" s="69">
        <v>2</v>
      </c>
      <c r="L457" s="70">
        <f>235+133</f>
        <v>368</v>
      </c>
      <c r="M457" s="70">
        <f t="shared" si="6"/>
        <v>1840</v>
      </c>
      <c r="N457" s="70">
        <f t="shared" si="7"/>
        <v>12880</v>
      </c>
      <c r="O457" s="60"/>
      <c r="P457" s="61"/>
      <c r="Q457" s="60"/>
      <c r="T457" s="5" t="s">
        <v>43</v>
      </c>
    </row>
    <row r="458" spans="2:20" ht="21" customHeight="1">
      <c r="B458" s="77" t="s">
        <v>498</v>
      </c>
      <c r="C458" s="68">
        <v>15</v>
      </c>
      <c r="D458" s="68">
        <v>12.5</v>
      </c>
      <c r="E458" s="68">
        <v>10</v>
      </c>
      <c r="F458" s="68">
        <v>5</v>
      </c>
      <c r="G458" s="68"/>
      <c r="H458" s="68"/>
      <c r="I458" s="68"/>
      <c r="J458" s="112" t="s">
        <v>646</v>
      </c>
      <c r="K458" s="69"/>
      <c r="L458" s="70"/>
      <c r="M458" s="70"/>
      <c r="N458" s="70"/>
      <c r="O458" s="60"/>
      <c r="P458" s="61"/>
      <c r="Q458" s="60"/>
      <c r="T458" s="5" t="s">
        <v>596</v>
      </c>
    </row>
    <row r="459" spans="1:20" ht="21" customHeight="1">
      <c r="A459" s="57">
        <f>A457+1</f>
        <v>240</v>
      </c>
      <c r="B459" s="67" t="s">
        <v>498</v>
      </c>
      <c r="C459" s="68">
        <v>15</v>
      </c>
      <c r="D459" s="68">
        <v>12.5</v>
      </c>
      <c r="E459" s="68">
        <v>10</v>
      </c>
      <c r="F459" s="68">
        <v>5</v>
      </c>
      <c r="G459" s="68"/>
      <c r="H459" s="68"/>
      <c r="I459" s="68"/>
      <c r="J459" s="112" t="s">
        <v>646</v>
      </c>
      <c r="K459" s="69">
        <v>2</v>
      </c>
      <c r="L459" s="69">
        <v>90</v>
      </c>
      <c r="M459" s="70">
        <f t="shared" si="6"/>
        <v>450</v>
      </c>
      <c r="N459" s="70">
        <f t="shared" si="7"/>
        <v>3150</v>
      </c>
      <c r="O459" s="60"/>
      <c r="P459" s="61"/>
      <c r="Q459" s="60"/>
      <c r="T459" s="5" t="s">
        <v>22</v>
      </c>
    </row>
    <row r="460" spans="2:20" ht="21" customHeight="1">
      <c r="B460" s="67" t="s">
        <v>498</v>
      </c>
      <c r="C460" s="68">
        <v>15</v>
      </c>
      <c r="D460" s="68">
        <v>12.5</v>
      </c>
      <c r="E460" s="68">
        <v>10</v>
      </c>
      <c r="F460" s="68">
        <v>5</v>
      </c>
      <c r="G460" s="68"/>
      <c r="H460" s="68"/>
      <c r="I460" s="68"/>
      <c r="J460" s="112" t="s">
        <v>646</v>
      </c>
      <c r="K460" s="69"/>
      <c r="L460" s="69"/>
      <c r="M460" s="70"/>
      <c r="N460" s="70"/>
      <c r="O460" s="60"/>
      <c r="P460" s="61"/>
      <c r="Q460" s="60"/>
      <c r="T460" s="5" t="s">
        <v>278</v>
      </c>
    </row>
    <row r="461" spans="1:20" ht="21" customHeight="1">
      <c r="A461" s="57">
        <f>A459+1</f>
        <v>241</v>
      </c>
      <c r="B461" s="77" t="s">
        <v>843</v>
      </c>
      <c r="C461" s="68">
        <v>12</v>
      </c>
      <c r="D461" s="68">
        <v>8</v>
      </c>
      <c r="E461" s="68">
        <v>10</v>
      </c>
      <c r="F461" s="68">
        <v>5</v>
      </c>
      <c r="G461" s="68"/>
      <c r="H461" s="68"/>
      <c r="I461" s="68"/>
      <c r="J461" s="69" t="s">
        <v>457</v>
      </c>
      <c r="K461" s="69">
        <v>2</v>
      </c>
      <c r="L461" s="70">
        <f>294+164</f>
        <v>458</v>
      </c>
      <c r="M461" s="70">
        <f t="shared" si="6"/>
        <v>2290</v>
      </c>
      <c r="N461" s="70">
        <f t="shared" si="7"/>
        <v>16030</v>
      </c>
      <c r="O461" s="60"/>
      <c r="P461" s="61"/>
      <c r="Q461" s="60"/>
      <c r="T461" s="5" t="s">
        <v>979</v>
      </c>
    </row>
    <row r="462" spans="2:20" ht="21" customHeight="1">
      <c r="B462" s="77" t="s">
        <v>843</v>
      </c>
      <c r="C462" s="68"/>
      <c r="D462" s="68"/>
      <c r="E462" s="68"/>
      <c r="F462" s="68"/>
      <c r="G462" s="68"/>
      <c r="H462" s="68"/>
      <c r="I462" s="68"/>
      <c r="J462" s="69" t="s">
        <v>457</v>
      </c>
      <c r="K462" s="69"/>
      <c r="L462" s="70"/>
      <c r="M462" s="70"/>
      <c r="N462" s="70"/>
      <c r="O462" s="60"/>
      <c r="P462" s="61"/>
      <c r="Q462" s="60"/>
      <c r="T462" s="5" t="s">
        <v>980</v>
      </c>
    </row>
    <row r="463" spans="1:20" ht="21" customHeight="1">
      <c r="A463" s="57">
        <f>A461+1</f>
        <v>242</v>
      </c>
      <c r="B463" s="67" t="s">
        <v>843</v>
      </c>
      <c r="C463" s="68">
        <v>12</v>
      </c>
      <c r="D463" s="68">
        <v>8</v>
      </c>
      <c r="E463" s="68">
        <v>10</v>
      </c>
      <c r="F463" s="68">
        <v>5</v>
      </c>
      <c r="G463" s="68"/>
      <c r="H463" s="68"/>
      <c r="I463" s="68"/>
      <c r="J463" s="69" t="s">
        <v>457</v>
      </c>
      <c r="K463" s="69">
        <v>2</v>
      </c>
      <c r="L463" s="70">
        <v>160</v>
      </c>
      <c r="M463" s="70">
        <f t="shared" si="6"/>
        <v>800</v>
      </c>
      <c r="N463" s="70">
        <f t="shared" si="7"/>
        <v>5600</v>
      </c>
      <c r="O463" s="60"/>
      <c r="P463" s="61"/>
      <c r="Q463" s="60"/>
      <c r="T463" s="5" t="s">
        <v>693</v>
      </c>
    </row>
    <row r="464" spans="1:20" ht="21" customHeight="1">
      <c r="A464" s="57">
        <f>A463+1</f>
        <v>243</v>
      </c>
      <c r="B464" s="67" t="s">
        <v>1150</v>
      </c>
      <c r="C464" s="68">
        <v>13</v>
      </c>
      <c r="D464" s="68">
        <v>11</v>
      </c>
      <c r="E464" s="68">
        <v>12</v>
      </c>
      <c r="F464" s="68">
        <v>10</v>
      </c>
      <c r="G464" s="68">
        <v>8</v>
      </c>
      <c r="H464" s="68"/>
      <c r="I464" s="68"/>
      <c r="J464" s="69" t="s">
        <v>649</v>
      </c>
      <c r="K464" s="69">
        <v>2</v>
      </c>
      <c r="L464" s="70">
        <f>602+569</f>
        <v>1171</v>
      </c>
      <c r="M464" s="70">
        <f t="shared" si="6"/>
        <v>5855</v>
      </c>
      <c r="N464" s="70">
        <f t="shared" si="7"/>
        <v>40985</v>
      </c>
      <c r="O464" s="60"/>
      <c r="P464" s="61"/>
      <c r="Q464" s="60"/>
      <c r="T464" s="5" t="s">
        <v>168</v>
      </c>
    </row>
    <row r="465" spans="2:20" ht="21" customHeight="1">
      <c r="B465" s="67" t="s">
        <v>1150</v>
      </c>
      <c r="C465" s="68">
        <v>13</v>
      </c>
      <c r="D465" s="68">
        <v>11</v>
      </c>
      <c r="E465" s="68">
        <v>12</v>
      </c>
      <c r="F465" s="68">
        <v>10</v>
      </c>
      <c r="G465" s="68">
        <v>8</v>
      </c>
      <c r="H465" s="68"/>
      <c r="I465" s="68"/>
      <c r="J465" s="69" t="s">
        <v>649</v>
      </c>
      <c r="K465" s="69"/>
      <c r="L465" s="70"/>
      <c r="M465" s="70"/>
      <c r="N465" s="70"/>
      <c r="O465" s="60"/>
      <c r="P465" s="61"/>
      <c r="Q465" s="60"/>
      <c r="T465" s="5" t="s">
        <v>169</v>
      </c>
    </row>
    <row r="466" spans="1:20" ht="21" customHeight="1">
      <c r="A466" s="57">
        <f>A464+1</f>
        <v>244</v>
      </c>
      <c r="B466" s="67" t="s">
        <v>1150</v>
      </c>
      <c r="C466" s="68">
        <v>13</v>
      </c>
      <c r="D466" s="68">
        <v>11</v>
      </c>
      <c r="E466" s="68">
        <v>12</v>
      </c>
      <c r="F466" s="68">
        <v>10</v>
      </c>
      <c r="G466" s="68">
        <v>8</v>
      </c>
      <c r="H466" s="68"/>
      <c r="I466" s="68"/>
      <c r="J466" s="69" t="s">
        <v>649</v>
      </c>
      <c r="K466" s="69">
        <v>2</v>
      </c>
      <c r="L466" s="70">
        <f>202+228</f>
        <v>430</v>
      </c>
      <c r="M466" s="70">
        <f t="shared" si="6"/>
        <v>2150</v>
      </c>
      <c r="N466" s="70">
        <f t="shared" si="7"/>
        <v>15050</v>
      </c>
      <c r="O466" s="60"/>
      <c r="P466" s="61"/>
      <c r="Q466" s="60"/>
      <c r="T466" s="5" t="s">
        <v>142</v>
      </c>
    </row>
    <row r="467" spans="2:20" ht="21" customHeight="1">
      <c r="B467" s="67" t="s">
        <v>1150</v>
      </c>
      <c r="C467" s="68">
        <v>13</v>
      </c>
      <c r="D467" s="68">
        <v>11</v>
      </c>
      <c r="E467" s="68">
        <v>12</v>
      </c>
      <c r="F467" s="68">
        <v>10</v>
      </c>
      <c r="G467" s="68">
        <v>8</v>
      </c>
      <c r="H467" s="68"/>
      <c r="I467" s="68"/>
      <c r="J467" s="69" t="s">
        <v>649</v>
      </c>
      <c r="K467" s="69"/>
      <c r="L467" s="70"/>
      <c r="M467" s="70"/>
      <c r="N467" s="70"/>
      <c r="O467" s="60"/>
      <c r="P467" s="61"/>
      <c r="Q467" s="60"/>
      <c r="T467" s="5" t="s">
        <v>6</v>
      </c>
    </row>
    <row r="468" spans="1:20" ht="21" customHeight="1">
      <c r="A468" s="57">
        <f>A466+1</f>
        <v>245</v>
      </c>
      <c r="B468" s="67" t="s">
        <v>518</v>
      </c>
      <c r="C468" s="68">
        <v>14.5</v>
      </c>
      <c r="D468" s="68">
        <v>12.5</v>
      </c>
      <c r="E468" s="68">
        <v>10.5</v>
      </c>
      <c r="F468" s="68">
        <v>8</v>
      </c>
      <c r="G468" s="68"/>
      <c r="H468" s="68"/>
      <c r="I468" s="68"/>
      <c r="J468" s="69" t="s">
        <v>651</v>
      </c>
      <c r="K468" s="69">
        <v>1</v>
      </c>
      <c r="L468" s="70">
        <v>427</v>
      </c>
      <c r="M468" s="70">
        <f t="shared" si="6"/>
        <v>2135</v>
      </c>
      <c r="N468" s="70">
        <f t="shared" si="7"/>
        <v>14945</v>
      </c>
      <c r="O468" s="60"/>
      <c r="P468" s="61"/>
      <c r="Q468" s="60"/>
      <c r="T468" s="5" t="s">
        <v>492</v>
      </c>
    </row>
    <row r="469" spans="2:20" ht="21" customHeight="1">
      <c r="B469" s="67" t="s">
        <v>518</v>
      </c>
      <c r="C469" s="68"/>
      <c r="D469" s="68"/>
      <c r="E469" s="68"/>
      <c r="F469" s="68"/>
      <c r="G469" s="68"/>
      <c r="H469" s="68"/>
      <c r="I469" s="68"/>
      <c r="J469" s="69" t="s">
        <v>651</v>
      </c>
      <c r="K469" s="69"/>
      <c r="L469" s="70"/>
      <c r="M469" s="70"/>
      <c r="N469" s="70"/>
      <c r="O469" s="60"/>
      <c r="P469" s="61"/>
      <c r="Q469" s="60"/>
      <c r="T469" s="5" t="s">
        <v>25</v>
      </c>
    </row>
    <row r="470" spans="1:20" ht="21" customHeight="1">
      <c r="A470" s="57">
        <f>A468+1</f>
        <v>246</v>
      </c>
      <c r="B470" s="67" t="s">
        <v>518</v>
      </c>
      <c r="C470" s="68">
        <v>14.5</v>
      </c>
      <c r="D470" s="68">
        <v>12.5</v>
      </c>
      <c r="E470" s="68">
        <v>10.5</v>
      </c>
      <c r="F470" s="68">
        <v>8</v>
      </c>
      <c r="G470" s="68"/>
      <c r="H470" s="68"/>
      <c r="I470" s="68"/>
      <c r="J470" s="69" t="s">
        <v>651</v>
      </c>
      <c r="K470" s="69">
        <v>2</v>
      </c>
      <c r="L470" s="70">
        <f>219+182</f>
        <v>401</v>
      </c>
      <c r="M470" s="70">
        <f t="shared" si="6"/>
        <v>2005</v>
      </c>
      <c r="N470" s="70">
        <f t="shared" si="7"/>
        <v>14035</v>
      </c>
      <c r="O470" s="60"/>
      <c r="P470" s="61"/>
      <c r="Q470" s="60"/>
      <c r="T470" s="5" t="s">
        <v>26</v>
      </c>
    </row>
    <row r="471" spans="1:20" ht="21" customHeight="1">
      <c r="A471" s="57">
        <f>A470+1</f>
        <v>247</v>
      </c>
      <c r="B471" s="67" t="s">
        <v>518</v>
      </c>
      <c r="C471" s="68">
        <v>14.5</v>
      </c>
      <c r="D471" s="68">
        <v>12.5</v>
      </c>
      <c r="E471" s="68">
        <v>10.5</v>
      </c>
      <c r="F471" s="68">
        <v>8</v>
      </c>
      <c r="G471" s="68"/>
      <c r="H471" s="68"/>
      <c r="I471" s="68"/>
      <c r="J471" s="69" t="s">
        <v>651</v>
      </c>
      <c r="K471" s="69">
        <v>2</v>
      </c>
      <c r="L471" s="69">
        <f>187+254</f>
        <v>441</v>
      </c>
      <c r="M471" s="70">
        <f t="shared" si="6"/>
        <v>2205</v>
      </c>
      <c r="N471" s="70">
        <f t="shared" si="7"/>
        <v>15435</v>
      </c>
      <c r="O471" s="60"/>
      <c r="P471" s="61"/>
      <c r="Q471" s="60"/>
      <c r="T471" s="5" t="s">
        <v>27</v>
      </c>
    </row>
    <row r="472" spans="1:20" ht="21" customHeight="1">
      <c r="A472" s="57">
        <f>A471+1</f>
        <v>248</v>
      </c>
      <c r="B472" s="67" t="s">
        <v>355</v>
      </c>
      <c r="C472" s="68">
        <v>8</v>
      </c>
      <c r="D472" s="68">
        <v>6</v>
      </c>
      <c r="E472" s="68"/>
      <c r="F472" s="68"/>
      <c r="G472" s="68"/>
      <c r="H472" s="68"/>
      <c r="I472" s="68"/>
      <c r="J472" s="69" t="s">
        <v>296</v>
      </c>
      <c r="K472" s="69">
        <v>2</v>
      </c>
      <c r="L472" s="70">
        <f>150+150</f>
        <v>300</v>
      </c>
      <c r="M472" s="70">
        <f t="shared" si="6"/>
        <v>1500</v>
      </c>
      <c r="N472" s="70">
        <f t="shared" si="7"/>
        <v>10500</v>
      </c>
      <c r="O472" s="60"/>
      <c r="P472" s="61"/>
      <c r="Q472" s="60"/>
      <c r="T472" s="5" t="s">
        <v>1107</v>
      </c>
    </row>
    <row r="473" spans="2:20" ht="21" customHeight="1">
      <c r="B473" s="67" t="s">
        <v>355</v>
      </c>
      <c r="C473" s="68"/>
      <c r="D473" s="68"/>
      <c r="E473" s="68"/>
      <c r="F473" s="68"/>
      <c r="G473" s="68"/>
      <c r="H473" s="68"/>
      <c r="I473" s="68"/>
      <c r="J473" s="69" t="s">
        <v>296</v>
      </c>
      <c r="K473" s="69"/>
      <c r="L473" s="70"/>
      <c r="M473" s="70"/>
      <c r="N473" s="70"/>
      <c r="O473" s="60"/>
      <c r="P473" s="61"/>
      <c r="Q473" s="60"/>
      <c r="T473" s="5" t="s">
        <v>1107</v>
      </c>
    </row>
    <row r="474" spans="2:20" ht="21" customHeight="1">
      <c r="B474" s="67" t="s">
        <v>355</v>
      </c>
      <c r="C474" s="68"/>
      <c r="D474" s="68"/>
      <c r="E474" s="68"/>
      <c r="F474" s="68"/>
      <c r="G474" s="68"/>
      <c r="H474" s="68"/>
      <c r="I474" s="68"/>
      <c r="J474" s="69" t="s">
        <v>296</v>
      </c>
      <c r="K474" s="69"/>
      <c r="L474" s="70"/>
      <c r="M474" s="70"/>
      <c r="N474" s="70"/>
      <c r="O474" s="60"/>
      <c r="P474" s="61"/>
      <c r="Q474" s="60"/>
      <c r="T474" s="5" t="s">
        <v>1108</v>
      </c>
    </row>
    <row r="475" spans="1:20" ht="21" customHeight="1">
      <c r="A475" s="57">
        <f>A472+1</f>
        <v>249</v>
      </c>
      <c r="B475" s="67" t="s">
        <v>419</v>
      </c>
      <c r="C475" s="68">
        <v>12</v>
      </c>
      <c r="D475" s="68">
        <v>10</v>
      </c>
      <c r="E475" s="68">
        <v>9.5</v>
      </c>
      <c r="F475" s="68">
        <v>8</v>
      </c>
      <c r="G475" s="68">
        <v>7.5</v>
      </c>
      <c r="H475" s="68">
        <v>6</v>
      </c>
      <c r="I475" s="68"/>
      <c r="J475" s="112" t="s">
        <v>458</v>
      </c>
      <c r="K475" s="69">
        <v>2</v>
      </c>
      <c r="L475" s="70">
        <f>246+246</f>
        <v>492</v>
      </c>
      <c r="M475" s="70">
        <f t="shared" si="6"/>
        <v>2460</v>
      </c>
      <c r="N475" s="70">
        <f t="shared" si="7"/>
        <v>17220</v>
      </c>
      <c r="O475" s="60"/>
      <c r="P475" s="61"/>
      <c r="Q475" s="60"/>
      <c r="T475" s="5" t="s">
        <v>121</v>
      </c>
    </row>
    <row r="476" spans="2:20" ht="21" customHeight="1">
      <c r="B476" s="67" t="s">
        <v>419</v>
      </c>
      <c r="C476" s="68"/>
      <c r="D476" s="68"/>
      <c r="E476" s="68"/>
      <c r="F476" s="68"/>
      <c r="G476" s="68"/>
      <c r="H476" s="68"/>
      <c r="I476" s="68"/>
      <c r="J476" s="112" t="s">
        <v>458</v>
      </c>
      <c r="K476" s="69"/>
      <c r="L476" s="70"/>
      <c r="M476" s="70"/>
      <c r="N476" s="70"/>
      <c r="O476" s="60"/>
      <c r="P476" s="61"/>
      <c r="Q476" s="60"/>
      <c r="T476" s="5" t="s">
        <v>122</v>
      </c>
    </row>
    <row r="477" spans="2:20" ht="21" customHeight="1">
      <c r="B477" s="67" t="s">
        <v>419</v>
      </c>
      <c r="C477" s="68"/>
      <c r="D477" s="68"/>
      <c r="E477" s="68"/>
      <c r="F477" s="68"/>
      <c r="G477" s="68"/>
      <c r="H477" s="68"/>
      <c r="I477" s="68"/>
      <c r="J477" s="112" t="s">
        <v>458</v>
      </c>
      <c r="K477" s="69"/>
      <c r="L477" s="70"/>
      <c r="M477" s="70"/>
      <c r="N477" s="70"/>
      <c r="O477" s="60"/>
      <c r="P477" s="61"/>
      <c r="Q477" s="60"/>
      <c r="T477" s="5" t="s">
        <v>123</v>
      </c>
    </row>
    <row r="478" spans="1:20" s="60" customFormat="1" ht="21" customHeight="1">
      <c r="A478" s="57">
        <f>A475+1</f>
        <v>250</v>
      </c>
      <c r="B478" s="77" t="s">
        <v>844</v>
      </c>
      <c r="C478" s="68">
        <v>10</v>
      </c>
      <c r="D478" s="68">
        <v>8</v>
      </c>
      <c r="E478" s="68"/>
      <c r="F478" s="68"/>
      <c r="G478" s="68"/>
      <c r="H478" s="68"/>
      <c r="I478" s="68"/>
      <c r="J478" s="69" t="s">
        <v>995</v>
      </c>
      <c r="K478" s="69">
        <v>1</v>
      </c>
      <c r="L478" s="70">
        <f>203</f>
        <v>203</v>
      </c>
      <c r="M478" s="70">
        <f t="shared" si="6"/>
        <v>1015</v>
      </c>
      <c r="N478" s="70">
        <f t="shared" si="7"/>
        <v>7105</v>
      </c>
      <c r="P478" s="61"/>
      <c r="T478" s="5" t="s">
        <v>994</v>
      </c>
    </row>
    <row r="479" spans="1:20" s="60" customFormat="1" ht="21" customHeight="1">
      <c r="A479" s="57"/>
      <c r="B479" s="77" t="s">
        <v>844</v>
      </c>
      <c r="C479" s="68"/>
      <c r="D479" s="68"/>
      <c r="E479" s="68"/>
      <c r="F479" s="68"/>
      <c r="G479" s="68"/>
      <c r="H479" s="68"/>
      <c r="I479" s="68"/>
      <c r="J479" s="69" t="s">
        <v>995</v>
      </c>
      <c r="K479" s="69"/>
      <c r="L479" s="70"/>
      <c r="M479" s="70"/>
      <c r="N479" s="70"/>
      <c r="P479" s="61"/>
      <c r="T479" s="5" t="s">
        <v>996</v>
      </c>
    </row>
    <row r="480" spans="1:20" ht="21" customHeight="1">
      <c r="A480" s="57">
        <f>A478+1</f>
        <v>251</v>
      </c>
      <c r="B480" s="77" t="s">
        <v>845</v>
      </c>
      <c r="C480" s="68"/>
      <c r="D480" s="68"/>
      <c r="E480" s="68"/>
      <c r="F480" s="68"/>
      <c r="G480" s="68"/>
      <c r="H480" s="68"/>
      <c r="I480" s="68"/>
      <c r="J480" s="69" t="s">
        <v>960</v>
      </c>
      <c r="K480" s="69">
        <v>2</v>
      </c>
      <c r="L480" s="70">
        <f>347+82</f>
        <v>429</v>
      </c>
      <c r="M480" s="70">
        <f t="shared" si="6"/>
        <v>2145</v>
      </c>
      <c r="N480" s="70">
        <f t="shared" si="7"/>
        <v>15015</v>
      </c>
      <c r="O480" s="60"/>
      <c r="P480" s="61"/>
      <c r="Q480" s="60"/>
      <c r="T480" s="5" t="s">
        <v>312</v>
      </c>
    </row>
    <row r="481" spans="2:20" ht="21" customHeight="1">
      <c r="B481" s="77" t="s">
        <v>845</v>
      </c>
      <c r="C481" s="68"/>
      <c r="D481" s="68"/>
      <c r="E481" s="68"/>
      <c r="F481" s="68"/>
      <c r="G481" s="68"/>
      <c r="H481" s="68"/>
      <c r="I481" s="68"/>
      <c r="J481" s="69" t="s">
        <v>960</v>
      </c>
      <c r="K481" s="69"/>
      <c r="L481" s="70"/>
      <c r="M481" s="70"/>
      <c r="N481" s="70"/>
      <c r="O481" s="60"/>
      <c r="P481" s="61"/>
      <c r="Q481" s="60"/>
      <c r="T481" s="5" t="s">
        <v>961</v>
      </c>
    </row>
    <row r="482" spans="1:20" ht="21" customHeight="1">
      <c r="A482" s="57">
        <f>A480+1</f>
        <v>252</v>
      </c>
      <c r="B482" s="67" t="s">
        <v>325</v>
      </c>
      <c r="C482" s="68">
        <v>10</v>
      </c>
      <c r="D482" s="68">
        <v>8</v>
      </c>
      <c r="E482" s="68">
        <v>7</v>
      </c>
      <c r="F482" s="68"/>
      <c r="G482" s="68"/>
      <c r="H482" s="68"/>
      <c r="I482" s="68"/>
      <c r="J482" s="112" t="s">
        <v>380</v>
      </c>
      <c r="K482" s="69">
        <v>2</v>
      </c>
      <c r="L482" s="70">
        <f>202+195</f>
        <v>397</v>
      </c>
      <c r="M482" s="70">
        <f t="shared" si="6"/>
        <v>1985</v>
      </c>
      <c r="N482" s="70">
        <f t="shared" si="7"/>
        <v>13895</v>
      </c>
      <c r="O482" s="60"/>
      <c r="P482" s="61"/>
      <c r="Q482" s="60"/>
      <c r="T482" s="5" t="s">
        <v>1055</v>
      </c>
    </row>
    <row r="483" spans="2:20" ht="21" customHeight="1">
      <c r="B483" s="67" t="s">
        <v>325</v>
      </c>
      <c r="C483" s="68"/>
      <c r="D483" s="68"/>
      <c r="E483" s="68"/>
      <c r="F483" s="68"/>
      <c r="G483" s="68"/>
      <c r="H483" s="68"/>
      <c r="I483" s="68"/>
      <c r="J483" s="112" t="s">
        <v>380</v>
      </c>
      <c r="K483" s="69"/>
      <c r="L483" s="70"/>
      <c r="M483" s="70"/>
      <c r="N483" s="70"/>
      <c r="O483" s="60"/>
      <c r="P483" s="61"/>
      <c r="Q483" s="60"/>
      <c r="T483" s="5" t="s">
        <v>564</v>
      </c>
    </row>
    <row r="484" spans="2:20" ht="21" customHeight="1">
      <c r="B484" s="67" t="s">
        <v>325</v>
      </c>
      <c r="C484" s="68"/>
      <c r="D484" s="68"/>
      <c r="E484" s="68"/>
      <c r="F484" s="68"/>
      <c r="G484" s="68"/>
      <c r="H484" s="68"/>
      <c r="I484" s="68"/>
      <c r="J484" s="112" t="s">
        <v>380</v>
      </c>
      <c r="K484" s="69"/>
      <c r="L484" s="70"/>
      <c r="M484" s="70"/>
      <c r="N484" s="70"/>
      <c r="O484" s="60"/>
      <c r="P484" s="61"/>
      <c r="Q484" s="60"/>
      <c r="T484" s="5" t="s">
        <v>564</v>
      </c>
    </row>
    <row r="485" spans="1:20" ht="21" customHeight="1">
      <c r="A485" s="57">
        <f>A482+1</f>
        <v>253</v>
      </c>
      <c r="B485" s="67" t="s">
        <v>522</v>
      </c>
      <c r="C485" s="68">
        <v>12</v>
      </c>
      <c r="D485" s="68">
        <v>11</v>
      </c>
      <c r="E485" s="68">
        <v>10.5</v>
      </c>
      <c r="F485" s="68">
        <v>9.5</v>
      </c>
      <c r="G485" s="68">
        <v>7</v>
      </c>
      <c r="H485" s="68"/>
      <c r="I485" s="68"/>
      <c r="J485" s="141" t="s">
        <v>652</v>
      </c>
      <c r="K485" s="69">
        <v>2</v>
      </c>
      <c r="L485" s="70">
        <f>220+183</f>
        <v>403</v>
      </c>
      <c r="M485" s="70">
        <f t="shared" si="6"/>
        <v>2015</v>
      </c>
      <c r="N485" s="70">
        <f t="shared" si="7"/>
        <v>14105</v>
      </c>
      <c r="O485" s="60"/>
      <c r="P485" s="61"/>
      <c r="Q485" s="60"/>
      <c r="T485" s="5" t="s">
        <v>1000</v>
      </c>
    </row>
    <row r="486" spans="2:20" ht="21" customHeight="1">
      <c r="B486" s="67" t="s">
        <v>522</v>
      </c>
      <c r="C486" s="68"/>
      <c r="D486" s="68"/>
      <c r="E486" s="68"/>
      <c r="F486" s="68"/>
      <c r="G486" s="68"/>
      <c r="H486" s="68"/>
      <c r="I486" s="68"/>
      <c r="J486" s="141" t="s">
        <v>652</v>
      </c>
      <c r="K486" s="69"/>
      <c r="L486" s="70"/>
      <c r="M486" s="70"/>
      <c r="N486" s="70"/>
      <c r="O486" s="60"/>
      <c r="P486" s="61"/>
      <c r="Q486" s="60"/>
      <c r="T486" s="5" t="s">
        <v>1160</v>
      </c>
    </row>
    <row r="487" spans="1:20" ht="21" customHeight="1">
      <c r="A487" s="57">
        <f>A485+1</f>
        <v>254</v>
      </c>
      <c r="B487" s="67" t="s">
        <v>522</v>
      </c>
      <c r="C487" s="68">
        <v>12</v>
      </c>
      <c r="D487" s="68">
        <v>11</v>
      </c>
      <c r="E487" s="68">
        <v>10.5</v>
      </c>
      <c r="F487" s="68">
        <v>9.5</v>
      </c>
      <c r="G487" s="68">
        <v>7</v>
      </c>
      <c r="H487" s="68"/>
      <c r="I487" s="68"/>
      <c r="J487" s="141" t="s">
        <v>652</v>
      </c>
      <c r="K487" s="69">
        <v>2</v>
      </c>
      <c r="L487" s="69">
        <f>474+173</f>
        <v>647</v>
      </c>
      <c r="M487" s="70">
        <f t="shared" si="6"/>
        <v>3235</v>
      </c>
      <c r="N487" s="70">
        <f t="shared" si="7"/>
        <v>22645</v>
      </c>
      <c r="O487" s="60"/>
      <c r="P487" s="61"/>
      <c r="Q487" s="60"/>
      <c r="T487" s="5" t="s">
        <v>1159</v>
      </c>
    </row>
    <row r="488" spans="1:20" ht="21" customHeight="1">
      <c r="A488" s="57">
        <f>A487+1</f>
        <v>255</v>
      </c>
      <c r="B488" s="67" t="s">
        <v>846</v>
      </c>
      <c r="C488" s="68">
        <v>8</v>
      </c>
      <c r="D488" s="68">
        <v>7</v>
      </c>
      <c r="E488" s="68">
        <v>6</v>
      </c>
      <c r="F488" s="68"/>
      <c r="G488" s="68"/>
      <c r="H488" s="68"/>
      <c r="I488" s="68"/>
      <c r="J488" s="69" t="s">
        <v>1101</v>
      </c>
      <c r="K488" s="69">
        <v>2</v>
      </c>
      <c r="L488" s="70">
        <f>124+114</f>
        <v>238</v>
      </c>
      <c r="M488" s="70">
        <f t="shared" si="6"/>
        <v>1190</v>
      </c>
      <c r="N488" s="70">
        <f t="shared" si="7"/>
        <v>8330</v>
      </c>
      <c r="O488" s="60"/>
      <c r="P488" s="61"/>
      <c r="Q488" s="60"/>
      <c r="T488" s="5" t="s">
        <v>937</v>
      </c>
    </row>
    <row r="489" spans="2:20" ht="21" customHeight="1">
      <c r="B489" s="67" t="s">
        <v>846</v>
      </c>
      <c r="C489" s="68"/>
      <c r="D489" s="68"/>
      <c r="E489" s="68"/>
      <c r="F489" s="68"/>
      <c r="G489" s="68"/>
      <c r="H489" s="68"/>
      <c r="I489" s="68"/>
      <c r="J489" s="69" t="s">
        <v>1101</v>
      </c>
      <c r="K489" s="69"/>
      <c r="L489" s="70"/>
      <c r="M489" s="70"/>
      <c r="N489" s="70"/>
      <c r="O489" s="60"/>
      <c r="P489" s="61"/>
      <c r="Q489" s="60"/>
      <c r="T489" s="5" t="s">
        <v>996</v>
      </c>
    </row>
    <row r="490" spans="1:20" ht="21" customHeight="1">
      <c r="A490" s="57">
        <f>A488+1</f>
        <v>256</v>
      </c>
      <c r="B490" s="67" t="s">
        <v>846</v>
      </c>
      <c r="C490" s="68">
        <v>8</v>
      </c>
      <c r="D490" s="68">
        <v>7</v>
      </c>
      <c r="E490" s="68">
        <v>6</v>
      </c>
      <c r="F490" s="68"/>
      <c r="G490" s="68"/>
      <c r="H490" s="68"/>
      <c r="I490" s="68"/>
      <c r="J490" s="69" t="s">
        <v>1101</v>
      </c>
      <c r="K490" s="69">
        <v>1</v>
      </c>
      <c r="L490" s="70">
        <v>200</v>
      </c>
      <c r="M490" s="70">
        <f t="shared" si="6"/>
        <v>1000</v>
      </c>
      <c r="N490" s="70">
        <f t="shared" si="7"/>
        <v>7000</v>
      </c>
      <c r="O490" s="60"/>
      <c r="P490" s="61"/>
      <c r="Q490" s="60"/>
      <c r="T490" s="5" t="s">
        <v>1102</v>
      </c>
    </row>
    <row r="491" spans="1:20" ht="21" customHeight="1">
      <c r="A491" s="57">
        <f>A490+1</f>
        <v>257</v>
      </c>
      <c r="B491" s="67" t="s">
        <v>543</v>
      </c>
      <c r="C491" s="68">
        <v>8</v>
      </c>
      <c r="D491" s="68">
        <v>7</v>
      </c>
      <c r="E491" s="68"/>
      <c r="F491" s="68"/>
      <c r="G491" s="68"/>
      <c r="H491" s="68"/>
      <c r="I491" s="68"/>
      <c r="J491" s="112"/>
      <c r="K491" s="69">
        <v>2</v>
      </c>
      <c r="L491" s="69">
        <v>300</v>
      </c>
      <c r="M491" s="70">
        <f aca="true" t="shared" si="8" ref="M491:M604">L491*5</f>
        <v>1500</v>
      </c>
      <c r="N491" s="70">
        <f aca="true" t="shared" si="9" ref="N491:N604">M491*7</f>
        <v>10500</v>
      </c>
      <c r="O491" s="60"/>
      <c r="P491" s="61"/>
      <c r="Q491" s="60"/>
      <c r="T491" s="5" t="s">
        <v>986</v>
      </c>
    </row>
    <row r="492" spans="1:20" ht="21" customHeight="1">
      <c r="A492" s="57">
        <f>A491+1</f>
        <v>258</v>
      </c>
      <c r="B492" s="67" t="s">
        <v>847</v>
      </c>
      <c r="C492" s="68">
        <v>9</v>
      </c>
      <c r="D492" s="68">
        <v>7</v>
      </c>
      <c r="E492" s="68">
        <v>5</v>
      </c>
      <c r="F492" s="68"/>
      <c r="G492" s="68"/>
      <c r="H492" s="68"/>
      <c r="I492" s="68"/>
      <c r="J492" s="112" t="s">
        <v>234</v>
      </c>
      <c r="K492" s="69">
        <v>1</v>
      </c>
      <c r="L492" s="70">
        <v>300</v>
      </c>
      <c r="M492" s="70">
        <f t="shared" si="8"/>
        <v>1500</v>
      </c>
      <c r="N492" s="70">
        <f t="shared" si="9"/>
        <v>10500</v>
      </c>
      <c r="O492" s="60"/>
      <c r="P492" s="61"/>
      <c r="Q492" s="60"/>
      <c r="T492" s="5" t="s">
        <v>562</v>
      </c>
    </row>
    <row r="493" spans="1:20" ht="21" customHeight="1">
      <c r="A493" s="57">
        <f>A492+1</f>
        <v>259</v>
      </c>
      <c r="B493" s="67" t="s">
        <v>1151</v>
      </c>
      <c r="C493" s="68">
        <v>14</v>
      </c>
      <c r="D493" s="68">
        <v>12</v>
      </c>
      <c r="E493" s="68">
        <v>13</v>
      </c>
      <c r="F493" s="68">
        <v>11</v>
      </c>
      <c r="G493" s="68">
        <v>8</v>
      </c>
      <c r="H493" s="68">
        <v>7</v>
      </c>
      <c r="I493" s="68"/>
      <c r="J493" s="69" t="s">
        <v>654</v>
      </c>
      <c r="K493" s="69">
        <v>4</v>
      </c>
      <c r="L493" s="70">
        <f>277+195</f>
        <v>472</v>
      </c>
      <c r="M493" s="70">
        <f t="shared" si="8"/>
        <v>2360</v>
      </c>
      <c r="N493" s="70">
        <f t="shared" si="9"/>
        <v>16520</v>
      </c>
      <c r="O493" s="60"/>
      <c r="P493" s="61"/>
      <c r="Q493" s="60"/>
      <c r="T493" s="5" t="s">
        <v>674</v>
      </c>
    </row>
    <row r="494" spans="2:20" ht="21" customHeight="1">
      <c r="B494" s="67" t="s">
        <v>1151</v>
      </c>
      <c r="C494" s="68">
        <v>14</v>
      </c>
      <c r="D494" s="68">
        <v>12</v>
      </c>
      <c r="E494" s="68">
        <v>13</v>
      </c>
      <c r="F494" s="68">
        <v>11</v>
      </c>
      <c r="G494" s="68">
        <v>8</v>
      </c>
      <c r="H494" s="68">
        <v>7</v>
      </c>
      <c r="I494" s="68"/>
      <c r="J494" s="69" t="s">
        <v>654</v>
      </c>
      <c r="K494" s="69"/>
      <c r="L494" s="70"/>
      <c r="M494" s="70"/>
      <c r="N494" s="70"/>
      <c r="O494" s="60"/>
      <c r="P494" s="61"/>
      <c r="Q494" s="60"/>
      <c r="T494" s="5" t="s">
        <v>142</v>
      </c>
    </row>
    <row r="495" spans="1:20" ht="21" customHeight="1">
      <c r="A495" s="57">
        <f>A493+1</f>
        <v>260</v>
      </c>
      <c r="B495" s="67" t="s">
        <v>1151</v>
      </c>
      <c r="C495" s="68">
        <v>14</v>
      </c>
      <c r="D495" s="68">
        <v>12</v>
      </c>
      <c r="E495" s="68">
        <v>13</v>
      </c>
      <c r="F495" s="68">
        <v>11</v>
      </c>
      <c r="G495" s="68">
        <v>8</v>
      </c>
      <c r="H495" s="68">
        <v>7</v>
      </c>
      <c r="I495" s="68"/>
      <c r="J495" s="69" t="s">
        <v>654</v>
      </c>
      <c r="K495" s="69">
        <v>2</v>
      </c>
      <c r="L495" s="70">
        <v>250</v>
      </c>
      <c r="M495" s="70">
        <f t="shared" si="8"/>
        <v>1250</v>
      </c>
      <c r="N495" s="70">
        <f t="shared" si="9"/>
        <v>8750</v>
      </c>
      <c r="O495" s="60"/>
      <c r="P495" s="61"/>
      <c r="Q495" s="60"/>
      <c r="T495" s="5" t="s">
        <v>6</v>
      </c>
    </row>
    <row r="496" spans="1:20" ht="21" customHeight="1">
      <c r="A496" s="57">
        <f>A495+1</f>
        <v>261</v>
      </c>
      <c r="B496" s="67" t="s">
        <v>1152</v>
      </c>
      <c r="C496" s="68">
        <v>10</v>
      </c>
      <c r="D496" s="68">
        <v>8.5</v>
      </c>
      <c r="E496" s="68">
        <v>7</v>
      </c>
      <c r="F496" s="68"/>
      <c r="G496" s="68"/>
      <c r="H496" s="68"/>
      <c r="I496" s="68"/>
      <c r="J496" s="69" t="s">
        <v>653</v>
      </c>
      <c r="K496" s="69">
        <v>2</v>
      </c>
      <c r="L496" s="70">
        <f>119+119</f>
        <v>238</v>
      </c>
      <c r="M496" s="70">
        <f t="shared" si="8"/>
        <v>1190</v>
      </c>
      <c r="N496" s="70">
        <f t="shared" si="9"/>
        <v>8330</v>
      </c>
      <c r="O496" s="60"/>
      <c r="P496" s="61"/>
      <c r="Q496" s="60"/>
      <c r="T496" s="5" t="s">
        <v>189</v>
      </c>
    </row>
    <row r="497" spans="2:20" ht="21" customHeight="1">
      <c r="B497" s="67" t="s">
        <v>1152</v>
      </c>
      <c r="C497" s="68">
        <v>10</v>
      </c>
      <c r="D497" s="68">
        <v>8.5</v>
      </c>
      <c r="E497" s="68">
        <v>7</v>
      </c>
      <c r="F497" s="68"/>
      <c r="G497" s="68"/>
      <c r="H497" s="68"/>
      <c r="I497" s="68"/>
      <c r="J497" s="69" t="s">
        <v>653</v>
      </c>
      <c r="K497" s="69"/>
      <c r="L497" s="70"/>
      <c r="M497" s="70"/>
      <c r="N497" s="70"/>
      <c r="O497" s="60"/>
      <c r="P497" s="61"/>
      <c r="Q497" s="60"/>
      <c r="T497" s="5" t="s">
        <v>190</v>
      </c>
    </row>
    <row r="498" spans="2:20" ht="21" customHeight="1">
      <c r="B498" s="67" t="s">
        <v>1152</v>
      </c>
      <c r="C498" s="68">
        <v>10</v>
      </c>
      <c r="D498" s="68">
        <v>8.5</v>
      </c>
      <c r="E498" s="68">
        <v>7</v>
      </c>
      <c r="F498" s="68"/>
      <c r="G498" s="68"/>
      <c r="H498" s="68"/>
      <c r="I498" s="68"/>
      <c r="J498" s="69" t="s">
        <v>653</v>
      </c>
      <c r="K498" s="69"/>
      <c r="L498" s="70"/>
      <c r="M498" s="70"/>
      <c r="N498" s="70"/>
      <c r="O498" s="60"/>
      <c r="P498" s="61"/>
      <c r="Q498" s="60"/>
      <c r="T498" s="5" t="s">
        <v>189</v>
      </c>
    </row>
    <row r="499" spans="1:20" ht="21" customHeight="1">
      <c r="A499" s="57">
        <f>A496+1</f>
        <v>262</v>
      </c>
      <c r="B499" s="67" t="s">
        <v>848</v>
      </c>
      <c r="C499" s="68">
        <v>7.5</v>
      </c>
      <c r="D499" s="68">
        <v>6</v>
      </c>
      <c r="E499" s="68">
        <v>5</v>
      </c>
      <c r="F499" s="68"/>
      <c r="G499" s="68"/>
      <c r="H499" s="68"/>
      <c r="I499" s="68"/>
      <c r="J499" s="69" t="s">
        <v>1039</v>
      </c>
      <c r="K499" s="69">
        <v>1</v>
      </c>
      <c r="L499" s="69">
        <v>175</v>
      </c>
      <c r="M499" s="70">
        <f t="shared" si="8"/>
        <v>875</v>
      </c>
      <c r="N499" s="70">
        <f t="shared" si="9"/>
        <v>6125</v>
      </c>
      <c r="O499" s="87"/>
      <c r="P499" s="88"/>
      <c r="Q499" s="87"/>
      <c r="T499" s="5" t="s">
        <v>301</v>
      </c>
    </row>
    <row r="500" spans="2:20" ht="21" customHeight="1">
      <c r="B500" s="67" t="s">
        <v>848</v>
      </c>
      <c r="C500" s="68"/>
      <c r="D500" s="68"/>
      <c r="E500" s="68"/>
      <c r="F500" s="68"/>
      <c r="G500" s="68"/>
      <c r="H500" s="68"/>
      <c r="I500" s="68"/>
      <c r="J500" s="69" t="s">
        <v>1039</v>
      </c>
      <c r="K500" s="69"/>
      <c r="L500" s="69"/>
      <c r="M500" s="70"/>
      <c r="N500" s="70"/>
      <c r="O500" s="87"/>
      <c r="P500" s="88"/>
      <c r="Q500" s="87"/>
      <c r="T500" s="5" t="s">
        <v>964</v>
      </c>
    </row>
    <row r="501" spans="1:20" ht="21" customHeight="1">
      <c r="A501" s="57">
        <f>A499+1</f>
        <v>263</v>
      </c>
      <c r="B501" s="67" t="s">
        <v>420</v>
      </c>
      <c r="C501" s="68">
        <v>10</v>
      </c>
      <c r="D501" s="68">
        <v>8.5</v>
      </c>
      <c r="E501" s="68">
        <v>8</v>
      </c>
      <c r="F501" s="68">
        <v>7</v>
      </c>
      <c r="G501" s="68">
        <v>6</v>
      </c>
      <c r="H501" s="68"/>
      <c r="I501" s="68"/>
      <c r="J501" s="112" t="s">
        <v>464</v>
      </c>
      <c r="K501" s="69">
        <v>2</v>
      </c>
      <c r="L501" s="70">
        <f>178+178</f>
        <v>356</v>
      </c>
      <c r="M501" s="70">
        <f t="shared" si="8"/>
        <v>1780</v>
      </c>
      <c r="N501" s="70">
        <f t="shared" si="9"/>
        <v>12460</v>
      </c>
      <c r="T501" s="5" t="s">
        <v>125</v>
      </c>
    </row>
    <row r="502" spans="2:20" ht="21" customHeight="1">
      <c r="B502" s="67" t="s">
        <v>420</v>
      </c>
      <c r="C502" s="68"/>
      <c r="D502" s="68"/>
      <c r="E502" s="68"/>
      <c r="F502" s="68"/>
      <c r="G502" s="68"/>
      <c r="H502" s="68"/>
      <c r="I502" s="68"/>
      <c r="J502" s="112" t="s">
        <v>464</v>
      </c>
      <c r="K502" s="69"/>
      <c r="L502" s="70"/>
      <c r="M502" s="70"/>
      <c r="N502" s="70"/>
      <c r="T502" s="5" t="s">
        <v>126</v>
      </c>
    </row>
    <row r="503" spans="1:20" ht="21" customHeight="1">
      <c r="A503" s="57">
        <f>A501+1</f>
        <v>264</v>
      </c>
      <c r="B503" s="67" t="s">
        <v>421</v>
      </c>
      <c r="C503" s="68">
        <v>8.5</v>
      </c>
      <c r="D503" s="68">
        <v>7</v>
      </c>
      <c r="E503" s="68">
        <v>6</v>
      </c>
      <c r="F503" s="68"/>
      <c r="G503" s="68"/>
      <c r="H503" s="68"/>
      <c r="I503" s="68"/>
      <c r="J503" s="69" t="s">
        <v>463</v>
      </c>
      <c r="K503" s="69">
        <v>2</v>
      </c>
      <c r="L503" s="70">
        <f>150+150</f>
        <v>300</v>
      </c>
      <c r="M503" s="70">
        <f t="shared" si="8"/>
        <v>1500</v>
      </c>
      <c r="N503" s="70">
        <f t="shared" si="9"/>
        <v>10500</v>
      </c>
      <c r="O503" s="60"/>
      <c r="P503" s="61"/>
      <c r="Q503" s="60"/>
      <c r="T503" s="5" t="s">
        <v>335</v>
      </c>
    </row>
    <row r="504" spans="2:20" ht="21" customHeight="1">
      <c r="B504" s="67" t="s">
        <v>421</v>
      </c>
      <c r="C504" s="68"/>
      <c r="D504" s="68"/>
      <c r="E504" s="68"/>
      <c r="F504" s="68"/>
      <c r="G504" s="68"/>
      <c r="H504" s="68"/>
      <c r="I504" s="68"/>
      <c r="J504" s="69" t="s">
        <v>463</v>
      </c>
      <c r="K504" s="69"/>
      <c r="L504" s="70"/>
      <c r="M504" s="70"/>
      <c r="N504" s="70"/>
      <c r="O504" s="60"/>
      <c r="P504" s="61"/>
      <c r="Q504" s="60"/>
      <c r="T504" s="5" t="s">
        <v>551</v>
      </c>
    </row>
    <row r="505" spans="1:20" ht="21" customHeight="1">
      <c r="A505" s="57">
        <f>A503+1</f>
        <v>265</v>
      </c>
      <c r="B505" s="67" t="s">
        <v>921</v>
      </c>
      <c r="C505" s="68">
        <v>10</v>
      </c>
      <c r="D505" s="68">
        <v>8</v>
      </c>
      <c r="E505" s="68">
        <v>9</v>
      </c>
      <c r="F505" s="68"/>
      <c r="G505" s="68"/>
      <c r="H505" s="68"/>
      <c r="I505" s="68"/>
      <c r="J505" s="113" t="s">
        <v>235</v>
      </c>
      <c r="K505" s="80">
        <v>2</v>
      </c>
      <c r="L505" s="81">
        <f>258+170</f>
        <v>428</v>
      </c>
      <c r="M505" s="70">
        <f t="shared" si="8"/>
        <v>2140</v>
      </c>
      <c r="N505" s="70">
        <f t="shared" si="9"/>
        <v>14980</v>
      </c>
      <c r="O505" s="60"/>
      <c r="P505" s="61"/>
      <c r="Q505" s="60"/>
      <c r="T505" s="5" t="s">
        <v>993</v>
      </c>
    </row>
    <row r="506" spans="2:20" ht="21" customHeight="1">
      <c r="B506" s="67" t="s">
        <v>921</v>
      </c>
      <c r="C506" s="68"/>
      <c r="D506" s="68"/>
      <c r="E506" s="68"/>
      <c r="F506" s="68"/>
      <c r="G506" s="68"/>
      <c r="H506" s="68"/>
      <c r="I506" s="68"/>
      <c r="J506" s="113" t="s">
        <v>235</v>
      </c>
      <c r="M506" s="70"/>
      <c r="N506" s="70"/>
      <c r="O506" s="60"/>
      <c r="P506" s="61"/>
      <c r="Q506" s="60"/>
      <c r="T506" s="5" t="s">
        <v>393</v>
      </c>
    </row>
    <row r="507" spans="1:20" ht="21" customHeight="1">
      <c r="A507" s="57">
        <f>A505+1</f>
        <v>266</v>
      </c>
      <c r="B507" s="67" t="s">
        <v>20</v>
      </c>
      <c r="C507" s="68">
        <v>9</v>
      </c>
      <c r="D507" s="68">
        <v>7</v>
      </c>
      <c r="E507" s="68"/>
      <c r="F507" s="68"/>
      <c r="G507" s="68"/>
      <c r="H507" s="68"/>
      <c r="I507" s="68"/>
      <c r="J507" s="112" t="s">
        <v>657</v>
      </c>
      <c r="K507" s="69">
        <v>1</v>
      </c>
      <c r="L507" s="70">
        <f>215+557</f>
        <v>772</v>
      </c>
      <c r="M507" s="70">
        <f t="shared" si="8"/>
        <v>3860</v>
      </c>
      <c r="N507" s="70">
        <f t="shared" si="9"/>
        <v>27020</v>
      </c>
      <c r="O507" s="60"/>
      <c r="P507" s="61"/>
      <c r="Q507" s="60"/>
      <c r="T507" s="5" t="s">
        <v>10</v>
      </c>
    </row>
    <row r="508" spans="2:20" ht="21" customHeight="1">
      <c r="B508" s="67" t="s">
        <v>20</v>
      </c>
      <c r="C508" s="68"/>
      <c r="D508" s="68"/>
      <c r="E508" s="68"/>
      <c r="F508" s="68"/>
      <c r="G508" s="68"/>
      <c r="H508" s="68"/>
      <c r="I508" s="68"/>
      <c r="J508" s="112" t="s">
        <v>657</v>
      </c>
      <c r="K508" s="69"/>
      <c r="L508" s="70"/>
      <c r="M508" s="70"/>
      <c r="N508" s="70"/>
      <c r="O508" s="60"/>
      <c r="P508" s="61"/>
      <c r="Q508" s="60"/>
      <c r="T508" s="5" t="s">
        <v>1159</v>
      </c>
    </row>
    <row r="509" spans="1:20" ht="21" customHeight="1">
      <c r="A509" s="57">
        <f>A507+1</f>
        <v>267</v>
      </c>
      <c r="B509" s="67" t="s">
        <v>849</v>
      </c>
      <c r="C509" s="68">
        <v>12.5</v>
      </c>
      <c r="D509" s="68">
        <v>11</v>
      </c>
      <c r="E509" s="68">
        <v>11.5</v>
      </c>
      <c r="F509" s="68">
        <v>10</v>
      </c>
      <c r="G509" s="68"/>
      <c r="H509" s="68"/>
      <c r="I509" s="68"/>
      <c r="J509" s="112" t="s">
        <v>236</v>
      </c>
      <c r="K509" s="69">
        <v>2</v>
      </c>
      <c r="L509" s="70">
        <f>153+129</f>
        <v>282</v>
      </c>
      <c r="M509" s="70">
        <f t="shared" si="8"/>
        <v>1410</v>
      </c>
      <c r="N509" s="70">
        <f t="shared" si="9"/>
        <v>9870</v>
      </c>
      <c r="O509" s="60"/>
      <c r="P509" s="61"/>
      <c r="Q509" s="60"/>
      <c r="T509" s="5" t="s">
        <v>1159</v>
      </c>
    </row>
    <row r="510" spans="2:20" ht="21" customHeight="1">
      <c r="B510" s="67" t="s">
        <v>849</v>
      </c>
      <c r="C510" s="68"/>
      <c r="D510" s="68"/>
      <c r="E510" s="68"/>
      <c r="F510" s="68"/>
      <c r="G510" s="68"/>
      <c r="H510" s="68"/>
      <c r="I510" s="68"/>
      <c r="J510" s="112" t="s">
        <v>236</v>
      </c>
      <c r="K510" s="69"/>
      <c r="L510" s="70"/>
      <c r="M510" s="70"/>
      <c r="N510" s="70"/>
      <c r="O510" s="60"/>
      <c r="P510" s="61"/>
      <c r="Q510" s="60"/>
      <c r="T510" s="5" t="s">
        <v>10</v>
      </c>
    </row>
    <row r="511" spans="1:20" ht="21" customHeight="1">
      <c r="A511" s="57">
        <f>A509+1</f>
        <v>268</v>
      </c>
      <c r="B511" s="77" t="s">
        <v>850</v>
      </c>
      <c r="C511" s="68">
        <v>9</v>
      </c>
      <c r="D511" s="68">
        <v>7</v>
      </c>
      <c r="E511" s="68"/>
      <c r="F511" s="68"/>
      <c r="G511" s="68"/>
      <c r="H511" s="68"/>
      <c r="I511" s="68"/>
      <c r="J511" s="112" t="s">
        <v>237</v>
      </c>
      <c r="K511" s="69">
        <v>2</v>
      </c>
      <c r="L511" s="70">
        <f>457+260</f>
        <v>717</v>
      </c>
      <c r="M511" s="70">
        <f t="shared" si="8"/>
        <v>3585</v>
      </c>
      <c r="N511" s="70">
        <f t="shared" si="9"/>
        <v>25095</v>
      </c>
      <c r="T511" s="5" t="s">
        <v>393</v>
      </c>
    </row>
    <row r="512" spans="2:20" ht="21" customHeight="1">
      <c r="B512" s="77" t="s">
        <v>850</v>
      </c>
      <c r="C512" s="68"/>
      <c r="D512" s="68"/>
      <c r="E512" s="68"/>
      <c r="F512" s="68"/>
      <c r="G512" s="68"/>
      <c r="H512" s="68"/>
      <c r="I512" s="68"/>
      <c r="J512" s="112" t="s">
        <v>237</v>
      </c>
      <c r="K512" s="69"/>
      <c r="L512" s="70"/>
      <c r="M512" s="70"/>
      <c r="N512" s="70"/>
      <c r="T512" s="5" t="s">
        <v>993</v>
      </c>
    </row>
    <row r="513" spans="1:20" ht="21" customHeight="1">
      <c r="A513" s="57">
        <f>A511+1</f>
        <v>269</v>
      </c>
      <c r="B513" s="67" t="s">
        <v>1154</v>
      </c>
      <c r="C513" s="68">
        <v>12</v>
      </c>
      <c r="D513" s="68">
        <v>10</v>
      </c>
      <c r="E513" s="68">
        <v>11</v>
      </c>
      <c r="F513" s="68">
        <v>9</v>
      </c>
      <c r="G513" s="68">
        <v>7</v>
      </c>
      <c r="H513" s="68"/>
      <c r="I513" s="68"/>
      <c r="J513" s="69" t="s">
        <v>655</v>
      </c>
      <c r="K513" s="69">
        <v>2</v>
      </c>
      <c r="L513" s="70">
        <f>175+171</f>
        <v>346</v>
      </c>
      <c r="M513" s="70">
        <f t="shared" si="8"/>
        <v>1730</v>
      </c>
      <c r="N513" s="70">
        <f t="shared" si="9"/>
        <v>12110</v>
      </c>
      <c r="O513" s="60"/>
      <c r="P513" s="61"/>
      <c r="Q513" s="60"/>
      <c r="T513" s="5" t="s">
        <v>187</v>
      </c>
    </row>
    <row r="514" spans="2:20" ht="21" customHeight="1">
      <c r="B514" s="67" t="s">
        <v>1154</v>
      </c>
      <c r="C514" s="68">
        <v>12</v>
      </c>
      <c r="D514" s="68">
        <v>10</v>
      </c>
      <c r="E514" s="68">
        <v>11</v>
      </c>
      <c r="F514" s="68">
        <v>9</v>
      </c>
      <c r="G514" s="68">
        <v>7</v>
      </c>
      <c r="H514" s="68"/>
      <c r="I514" s="68"/>
      <c r="J514" s="69" t="s">
        <v>655</v>
      </c>
      <c r="K514" s="69"/>
      <c r="L514" s="70"/>
      <c r="M514" s="70"/>
      <c r="N514" s="70"/>
      <c r="O514" s="60"/>
      <c r="P514" s="61"/>
      <c r="Q514" s="60"/>
      <c r="T514" s="5" t="s">
        <v>188</v>
      </c>
    </row>
    <row r="515" spans="1:20" ht="21" customHeight="1">
      <c r="A515" s="57">
        <f>A513+1</f>
        <v>270</v>
      </c>
      <c r="B515" s="67" t="s">
        <v>851</v>
      </c>
      <c r="C515" s="68">
        <v>7</v>
      </c>
      <c r="D515" s="68">
        <v>5</v>
      </c>
      <c r="E515" s="68"/>
      <c r="F515" s="68"/>
      <c r="G515" s="68"/>
      <c r="H515" s="68"/>
      <c r="I515" s="68"/>
      <c r="J515" s="112" t="s">
        <v>238</v>
      </c>
      <c r="K515" s="69">
        <v>1</v>
      </c>
      <c r="L515" s="70">
        <f>244</f>
        <v>244</v>
      </c>
      <c r="M515" s="70">
        <f t="shared" si="8"/>
        <v>1220</v>
      </c>
      <c r="N515" s="70">
        <f t="shared" si="9"/>
        <v>8540</v>
      </c>
      <c r="O515" s="60"/>
      <c r="P515" s="61"/>
      <c r="Q515" s="60"/>
      <c r="T515" s="5" t="s">
        <v>1029</v>
      </c>
    </row>
    <row r="516" spans="1:20" ht="21" customHeight="1">
      <c r="A516" s="57">
        <f>A515+1</f>
        <v>271</v>
      </c>
      <c r="B516" s="67" t="s">
        <v>1153</v>
      </c>
      <c r="C516" s="68">
        <v>11</v>
      </c>
      <c r="D516" s="68">
        <v>10</v>
      </c>
      <c r="E516" s="68">
        <v>9.5</v>
      </c>
      <c r="F516" s="68">
        <v>8</v>
      </c>
      <c r="G516" s="68"/>
      <c r="H516" s="68"/>
      <c r="I516" s="68"/>
      <c r="J516" s="69" t="s">
        <v>656</v>
      </c>
      <c r="K516" s="69">
        <v>4</v>
      </c>
      <c r="L516" s="70">
        <f>132+132+120+128</f>
        <v>512</v>
      </c>
      <c r="M516" s="70">
        <f t="shared" si="8"/>
        <v>2560</v>
      </c>
      <c r="N516" s="70">
        <f t="shared" si="9"/>
        <v>17920</v>
      </c>
      <c r="O516" s="60"/>
      <c r="P516" s="61"/>
      <c r="Q516" s="60"/>
      <c r="T516" s="5" t="s">
        <v>185</v>
      </c>
    </row>
    <row r="517" spans="2:20" ht="21" customHeight="1">
      <c r="B517" s="67" t="s">
        <v>1153</v>
      </c>
      <c r="C517" s="68">
        <v>11</v>
      </c>
      <c r="D517" s="68">
        <v>10</v>
      </c>
      <c r="E517" s="68">
        <v>9.5</v>
      </c>
      <c r="F517" s="68">
        <v>8</v>
      </c>
      <c r="G517" s="68"/>
      <c r="H517" s="68"/>
      <c r="I517" s="68"/>
      <c r="J517" s="69" t="s">
        <v>656</v>
      </c>
      <c r="K517" s="69"/>
      <c r="L517" s="70"/>
      <c r="M517" s="70"/>
      <c r="N517" s="70"/>
      <c r="O517" s="60"/>
      <c r="P517" s="61"/>
      <c r="Q517" s="60"/>
      <c r="T517" s="5" t="s">
        <v>492</v>
      </c>
    </row>
    <row r="518" spans="1:20" ht="21" customHeight="1">
      <c r="A518" s="57">
        <f>A516+1</f>
        <v>272</v>
      </c>
      <c r="B518" s="67" t="s">
        <v>1153</v>
      </c>
      <c r="C518" s="68">
        <v>11</v>
      </c>
      <c r="D518" s="68">
        <v>10</v>
      </c>
      <c r="E518" s="68">
        <v>9.5</v>
      </c>
      <c r="F518" s="68">
        <v>8</v>
      </c>
      <c r="G518" s="68"/>
      <c r="H518" s="68"/>
      <c r="I518" s="68"/>
      <c r="J518" s="69" t="s">
        <v>656</v>
      </c>
      <c r="K518" s="69">
        <v>2</v>
      </c>
      <c r="L518" s="70">
        <v>250</v>
      </c>
      <c r="M518" s="70">
        <f t="shared" si="8"/>
        <v>1250</v>
      </c>
      <c r="N518" s="70">
        <f t="shared" si="9"/>
        <v>8750</v>
      </c>
      <c r="O518" s="60"/>
      <c r="P518" s="61"/>
      <c r="Q518" s="60"/>
      <c r="T518" s="5" t="s">
        <v>953</v>
      </c>
    </row>
    <row r="519" spans="2:20" ht="21" customHeight="1">
      <c r="B519" s="67" t="s">
        <v>1153</v>
      </c>
      <c r="C519" s="68">
        <v>11</v>
      </c>
      <c r="D519" s="68">
        <v>10</v>
      </c>
      <c r="E519" s="68">
        <v>9.5</v>
      </c>
      <c r="F519" s="68">
        <v>8</v>
      </c>
      <c r="G519" s="68"/>
      <c r="H519" s="68"/>
      <c r="I519" s="68"/>
      <c r="J519" s="69" t="s">
        <v>656</v>
      </c>
      <c r="K519" s="69"/>
      <c r="L519" s="70"/>
      <c r="M519" s="70"/>
      <c r="N519" s="70"/>
      <c r="O519" s="60"/>
      <c r="P519" s="61"/>
      <c r="Q519" s="60"/>
      <c r="T519" s="5" t="s">
        <v>186</v>
      </c>
    </row>
    <row r="520" spans="1:20" ht="21" customHeight="1">
      <c r="A520" s="57">
        <f>A518+1</f>
        <v>273</v>
      </c>
      <c r="B520" s="67" t="s">
        <v>852</v>
      </c>
      <c r="C520" s="68">
        <v>5</v>
      </c>
      <c r="D520" s="68"/>
      <c r="E520" s="68"/>
      <c r="F520" s="68"/>
      <c r="G520" s="68"/>
      <c r="H520" s="68"/>
      <c r="I520" s="68"/>
      <c r="J520" s="112" t="s">
        <v>239</v>
      </c>
      <c r="K520" s="69">
        <v>1</v>
      </c>
      <c r="L520" s="70">
        <v>219</v>
      </c>
      <c r="M520" s="70">
        <f t="shared" si="8"/>
        <v>1095</v>
      </c>
      <c r="N520" s="70">
        <f t="shared" si="9"/>
        <v>7665</v>
      </c>
      <c r="O520" s="60"/>
      <c r="P520" s="61"/>
      <c r="Q520" s="60"/>
      <c r="T520" s="5" t="s">
        <v>1020</v>
      </c>
    </row>
    <row r="521" spans="1:20" ht="21" customHeight="1">
      <c r="A521" s="57">
        <f>A520+1</f>
        <v>274</v>
      </c>
      <c r="B521" s="67" t="s">
        <v>356</v>
      </c>
      <c r="C521" s="68">
        <v>8</v>
      </c>
      <c r="D521" s="68">
        <v>7</v>
      </c>
      <c r="E521" s="68"/>
      <c r="F521" s="68"/>
      <c r="G521" s="68"/>
      <c r="H521" s="68"/>
      <c r="I521" s="68"/>
      <c r="J521" s="112" t="s">
        <v>319</v>
      </c>
      <c r="K521" s="69">
        <v>2</v>
      </c>
      <c r="L521" s="70">
        <f>128+108</f>
        <v>236</v>
      </c>
      <c r="M521" s="70">
        <f t="shared" si="8"/>
        <v>1180</v>
      </c>
      <c r="N521" s="70">
        <f t="shared" si="9"/>
        <v>8260</v>
      </c>
      <c r="O521" s="60"/>
      <c r="P521" s="61"/>
      <c r="Q521" s="60"/>
      <c r="T521" s="5" t="s">
        <v>56</v>
      </c>
    </row>
    <row r="522" spans="2:20" ht="21" customHeight="1">
      <c r="B522" s="67" t="s">
        <v>356</v>
      </c>
      <c r="C522" s="68"/>
      <c r="D522" s="68"/>
      <c r="E522" s="68"/>
      <c r="F522" s="68"/>
      <c r="G522" s="68"/>
      <c r="H522" s="68"/>
      <c r="I522" s="68"/>
      <c r="J522" s="112" t="s">
        <v>319</v>
      </c>
      <c r="K522" s="69"/>
      <c r="L522" s="70"/>
      <c r="M522" s="70"/>
      <c r="N522" s="70"/>
      <c r="O522" s="60"/>
      <c r="P522" s="61"/>
      <c r="Q522" s="60"/>
      <c r="T522" s="5" t="s">
        <v>1092</v>
      </c>
    </row>
    <row r="523" spans="1:20" ht="21" customHeight="1">
      <c r="A523" s="57">
        <f>A521+1</f>
        <v>275</v>
      </c>
      <c r="B523" s="67" t="s">
        <v>853</v>
      </c>
      <c r="C523" s="68">
        <v>6</v>
      </c>
      <c r="D523" s="68">
        <v>4</v>
      </c>
      <c r="E523" s="68"/>
      <c r="F523" s="68"/>
      <c r="G523" s="68"/>
      <c r="H523" s="68"/>
      <c r="I523" s="68"/>
      <c r="J523" s="112" t="s">
        <v>240</v>
      </c>
      <c r="K523" s="69">
        <v>1</v>
      </c>
      <c r="L523" s="70">
        <v>750</v>
      </c>
      <c r="M523" s="70">
        <f t="shared" si="8"/>
        <v>3750</v>
      </c>
      <c r="N523" s="70">
        <f t="shared" si="9"/>
        <v>26250</v>
      </c>
      <c r="O523" s="60"/>
      <c r="P523" s="61"/>
      <c r="Q523" s="60"/>
      <c r="T523" s="5" t="s">
        <v>335</v>
      </c>
    </row>
    <row r="524" spans="1:20" ht="21" customHeight="1">
      <c r="A524" s="57">
        <f>A523+1</f>
        <v>276</v>
      </c>
      <c r="B524" s="67" t="s">
        <v>544</v>
      </c>
      <c r="C524" s="68"/>
      <c r="D524" s="68"/>
      <c r="E524" s="68"/>
      <c r="F524" s="68"/>
      <c r="G524" s="68"/>
      <c r="H524" s="68"/>
      <c r="I524" s="68"/>
      <c r="J524" s="112" t="s">
        <v>241</v>
      </c>
      <c r="K524" s="69"/>
      <c r="L524" s="70"/>
      <c r="M524" s="70"/>
      <c r="N524" s="70"/>
      <c r="O524" s="60"/>
      <c r="P524" s="61"/>
      <c r="Q524" s="60"/>
      <c r="T524" s="5" t="s">
        <v>698</v>
      </c>
    </row>
    <row r="525" spans="2:20" ht="21" customHeight="1">
      <c r="B525" s="67" t="s">
        <v>544</v>
      </c>
      <c r="C525" s="68"/>
      <c r="D525" s="68"/>
      <c r="E525" s="68"/>
      <c r="F525" s="68"/>
      <c r="G525" s="68"/>
      <c r="H525" s="68"/>
      <c r="I525" s="68"/>
      <c r="J525" s="112" t="s">
        <v>241</v>
      </c>
      <c r="K525" s="69"/>
      <c r="L525" s="70"/>
      <c r="M525" s="70"/>
      <c r="N525" s="70"/>
      <c r="O525" s="60"/>
      <c r="P525" s="61"/>
      <c r="Q525" s="60"/>
      <c r="T525" s="5" t="s">
        <v>964</v>
      </c>
    </row>
    <row r="526" spans="1:20" ht="21" customHeight="1">
      <c r="A526" s="57">
        <f>A524+1</f>
        <v>277</v>
      </c>
      <c r="B526" s="67" t="s">
        <v>922</v>
      </c>
      <c r="C526" s="68">
        <v>8</v>
      </c>
      <c r="D526" s="68">
        <v>6</v>
      </c>
      <c r="E526" s="68"/>
      <c r="F526" s="68"/>
      <c r="G526" s="68"/>
      <c r="H526" s="68"/>
      <c r="I526" s="68"/>
      <c r="J526" s="69" t="s">
        <v>1090</v>
      </c>
      <c r="K526" s="69">
        <v>2</v>
      </c>
      <c r="L526" s="70">
        <f>229+194</f>
        <v>423</v>
      </c>
      <c r="M526" s="70">
        <f t="shared" si="8"/>
        <v>2115</v>
      </c>
      <c r="N526" s="70">
        <f t="shared" si="9"/>
        <v>14805</v>
      </c>
      <c r="O526" s="60"/>
      <c r="P526" s="61"/>
      <c r="Q526" s="60"/>
      <c r="T526" s="5" t="s">
        <v>63</v>
      </c>
    </row>
    <row r="527" spans="2:20" ht="21" customHeight="1">
      <c r="B527" s="67" t="s">
        <v>922</v>
      </c>
      <c r="C527" s="68"/>
      <c r="D527" s="68"/>
      <c r="E527" s="68"/>
      <c r="F527" s="68"/>
      <c r="G527" s="68"/>
      <c r="H527" s="68"/>
      <c r="I527" s="68"/>
      <c r="J527" s="69" t="s">
        <v>1090</v>
      </c>
      <c r="K527" s="69"/>
      <c r="L527" s="70"/>
      <c r="M527" s="70"/>
      <c r="N527" s="70"/>
      <c r="O527" s="60"/>
      <c r="P527" s="61"/>
      <c r="Q527" s="60"/>
      <c r="T527" s="5" t="s">
        <v>1091</v>
      </c>
    </row>
    <row r="528" spans="1:20" ht="21" customHeight="1">
      <c r="A528" s="57">
        <f>A526+1</f>
        <v>278</v>
      </c>
      <c r="B528" s="67" t="s">
        <v>923</v>
      </c>
      <c r="C528" s="68">
        <v>8</v>
      </c>
      <c r="D528" s="68">
        <v>6</v>
      </c>
      <c r="E528" s="68"/>
      <c r="F528" s="68"/>
      <c r="G528" s="68"/>
      <c r="H528" s="68"/>
      <c r="I528" s="68"/>
      <c r="J528" s="69" t="s">
        <v>107</v>
      </c>
      <c r="K528" s="69">
        <v>2</v>
      </c>
      <c r="L528" s="70">
        <f>157+157</f>
        <v>314</v>
      </c>
      <c r="M528" s="70">
        <f t="shared" si="8"/>
        <v>1570</v>
      </c>
      <c r="N528" s="70">
        <f t="shared" si="9"/>
        <v>10990</v>
      </c>
      <c r="O528" s="60"/>
      <c r="P528" s="61"/>
      <c r="Q528" s="60"/>
      <c r="T528" s="5" t="s">
        <v>934</v>
      </c>
    </row>
    <row r="529" spans="2:20" ht="21" customHeight="1">
      <c r="B529" s="67" t="s">
        <v>923</v>
      </c>
      <c r="C529" s="68"/>
      <c r="D529" s="68"/>
      <c r="E529" s="68"/>
      <c r="F529" s="68"/>
      <c r="G529" s="68"/>
      <c r="H529" s="68"/>
      <c r="I529" s="68"/>
      <c r="J529" s="69" t="s">
        <v>107</v>
      </c>
      <c r="K529" s="69"/>
      <c r="L529" s="70"/>
      <c r="M529" s="70"/>
      <c r="N529" s="70"/>
      <c r="O529" s="60"/>
      <c r="P529" s="61"/>
      <c r="Q529" s="60"/>
      <c r="T529" s="5" t="s">
        <v>108</v>
      </c>
    </row>
    <row r="530" spans="1:20" ht="21" customHeight="1">
      <c r="A530" s="57">
        <f>A528+1</f>
        <v>279</v>
      </c>
      <c r="B530" s="67" t="s">
        <v>422</v>
      </c>
      <c r="C530" s="68">
        <v>9</v>
      </c>
      <c r="D530" s="68">
        <v>8</v>
      </c>
      <c r="E530" s="68">
        <v>7</v>
      </c>
      <c r="F530" s="68">
        <v>6</v>
      </c>
      <c r="G530" s="68"/>
      <c r="H530" s="68"/>
      <c r="I530" s="68"/>
      <c r="J530" s="112" t="s">
        <v>462</v>
      </c>
      <c r="K530" s="69">
        <v>2</v>
      </c>
      <c r="L530" s="70">
        <f>224+180</f>
        <v>404</v>
      </c>
      <c r="M530" s="70">
        <f t="shared" si="8"/>
        <v>2020</v>
      </c>
      <c r="N530" s="70">
        <f t="shared" si="9"/>
        <v>14140</v>
      </c>
      <c r="O530" s="60"/>
      <c r="P530" s="61"/>
      <c r="Q530" s="60"/>
      <c r="T530" s="5" t="s">
        <v>335</v>
      </c>
    </row>
    <row r="531" spans="2:20" ht="21" customHeight="1">
      <c r="B531" s="67" t="s">
        <v>422</v>
      </c>
      <c r="C531" s="68"/>
      <c r="D531" s="68"/>
      <c r="E531" s="68"/>
      <c r="F531" s="68"/>
      <c r="G531" s="68"/>
      <c r="H531" s="68"/>
      <c r="I531" s="68"/>
      <c r="J531" s="112" t="s">
        <v>462</v>
      </c>
      <c r="K531" s="69"/>
      <c r="L531" s="70"/>
      <c r="M531" s="70"/>
      <c r="N531" s="70"/>
      <c r="O531" s="60"/>
      <c r="P531" s="61"/>
      <c r="Q531" s="60"/>
      <c r="T531" s="5" t="s">
        <v>551</v>
      </c>
    </row>
    <row r="532" spans="1:20" ht="21" customHeight="1">
      <c r="A532" s="57">
        <f>A530+1</f>
        <v>280</v>
      </c>
      <c r="B532" s="67" t="s">
        <v>297</v>
      </c>
      <c r="C532" s="68">
        <v>7.5</v>
      </c>
      <c r="D532" s="68">
        <v>6</v>
      </c>
      <c r="E532" s="68"/>
      <c r="F532" s="68"/>
      <c r="G532" s="68"/>
      <c r="H532" s="68"/>
      <c r="I532" s="68"/>
      <c r="J532" s="69" t="s">
        <v>432</v>
      </c>
      <c r="K532" s="69">
        <v>2</v>
      </c>
      <c r="L532" s="70">
        <f>187+141</f>
        <v>328</v>
      </c>
      <c r="M532" s="70">
        <f t="shared" si="8"/>
        <v>1640</v>
      </c>
      <c r="N532" s="70">
        <f t="shared" si="9"/>
        <v>11480</v>
      </c>
      <c r="O532" s="60"/>
      <c r="P532" s="61"/>
      <c r="Q532" s="60"/>
      <c r="T532" s="5" t="s">
        <v>952</v>
      </c>
    </row>
    <row r="533" spans="2:20" ht="21" customHeight="1">
      <c r="B533" s="67" t="s">
        <v>297</v>
      </c>
      <c r="C533" s="68"/>
      <c r="D533" s="68"/>
      <c r="E533" s="68"/>
      <c r="F533" s="68"/>
      <c r="G533" s="68"/>
      <c r="H533" s="68"/>
      <c r="I533" s="68"/>
      <c r="J533" s="69" t="s">
        <v>432</v>
      </c>
      <c r="K533" s="69"/>
      <c r="L533" s="70"/>
      <c r="M533" s="70"/>
      <c r="N533" s="70"/>
      <c r="O533" s="60"/>
      <c r="P533" s="61"/>
      <c r="Q533" s="60"/>
      <c r="T533" s="5" t="s">
        <v>1087</v>
      </c>
    </row>
    <row r="534" spans="1:20" ht="21" customHeight="1">
      <c r="A534" s="57">
        <f>A532+1</f>
        <v>281</v>
      </c>
      <c r="B534" s="67" t="s">
        <v>372</v>
      </c>
      <c r="C534" s="68">
        <v>7.5</v>
      </c>
      <c r="D534" s="68">
        <v>6</v>
      </c>
      <c r="E534" s="68"/>
      <c r="F534" s="68"/>
      <c r="G534" s="68"/>
      <c r="H534" s="68"/>
      <c r="I534" s="68"/>
      <c r="J534" s="69" t="s">
        <v>373</v>
      </c>
      <c r="K534" s="69">
        <v>2</v>
      </c>
      <c r="L534" s="70">
        <f>263+210</f>
        <v>473</v>
      </c>
      <c r="M534" s="70">
        <f t="shared" si="8"/>
        <v>2365</v>
      </c>
      <c r="N534" s="70">
        <f t="shared" si="9"/>
        <v>16555</v>
      </c>
      <c r="O534" s="60"/>
      <c r="P534" s="61"/>
      <c r="Q534" s="60"/>
      <c r="T534" s="5" t="s">
        <v>937</v>
      </c>
    </row>
    <row r="535" spans="2:20" ht="21" customHeight="1">
      <c r="B535" s="67" t="s">
        <v>372</v>
      </c>
      <c r="C535" s="68"/>
      <c r="D535" s="68"/>
      <c r="E535" s="68"/>
      <c r="F535" s="68"/>
      <c r="G535" s="68"/>
      <c r="H535" s="68"/>
      <c r="I535" s="68"/>
      <c r="J535" s="69" t="s">
        <v>373</v>
      </c>
      <c r="K535" s="69"/>
      <c r="L535" s="70"/>
      <c r="M535" s="70"/>
      <c r="N535" s="70"/>
      <c r="O535" s="60"/>
      <c r="P535" s="61"/>
      <c r="Q535" s="60"/>
      <c r="T535" s="5" t="s">
        <v>996</v>
      </c>
    </row>
    <row r="536" spans="1:20" ht="21" customHeight="1">
      <c r="A536" s="57">
        <f>A534+1</f>
        <v>282</v>
      </c>
      <c r="B536" s="67" t="s">
        <v>854</v>
      </c>
      <c r="C536" s="68">
        <v>8</v>
      </c>
      <c r="D536" s="68">
        <v>6</v>
      </c>
      <c r="E536" s="68">
        <v>7</v>
      </c>
      <c r="F536" s="68">
        <v>5</v>
      </c>
      <c r="G536" s="68"/>
      <c r="H536" s="68"/>
      <c r="I536" s="68"/>
      <c r="J536" s="112" t="s">
        <v>242</v>
      </c>
      <c r="K536" s="69">
        <v>2</v>
      </c>
      <c r="L536" s="70">
        <f>396+134</f>
        <v>530</v>
      </c>
      <c r="M536" s="70">
        <f t="shared" si="8"/>
        <v>2650</v>
      </c>
      <c r="N536" s="70">
        <f t="shared" si="9"/>
        <v>18550</v>
      </c>
      <c r="O536" s="60"/>
      <c r="P536" s="61"/>
      <c r="Q536" s="60"/>
      <c r="T536" s="5" t="s">
        <v>1076</v>
      </c>
    </row>
    <row r="537" spans="2:20" ht="21" customHeight="1">
      <c r="B537" s="67" t="s">
        <v>854</v>
      </c>
      <c r="C537" s="68"/>
      <c r="D537" s="68"/>
      <c r="E537" s="68"/>
      <c r="F537" s="68"/>
      <c r="G537" s="68"/>
      <c r="H537" s="68"/>
      <c r="I537" s="68"/>
      <c r="J537" s="112" t="s">
        <v>242</v>
      </c>
      <c r="K537" s="69"/>
      <c r="L537" s="70"/>
      <c r="M537" s="70"/>
      <c r="N537" s="70"/>
      <c r="O537" s="60"/>
      <c r="P537" s="61"/>
      <c r="Q537" s="60"/>
      <c r="T537" s="5" t="s">
        <v>1005</v>
      </c>
    </row>
    <row r="538" spans="1:20" ht="21" customHeight="1">
      <c r="A538" s="57">
        <f>A536+1</f>
        <v>283</v>
      </c>
      <c r="B538" s="118" t="s">
        <v>1006</v>
      </c>
      <c r="C538" s="68">
        <v>8</v>
      </c>
      <c r="D538" s="68">
        <v>6</v>
      </c>
      <c r="E538" s="68">
        <v>7</v>
      </c>
      <c r="F538" s="68">
        <v>5</v>
      </c>
      <c r="G538" s="68"/>
      <c r="H538" s="68"/>
      <c r="I538" s="68"/>
      <c r="J538" s="69" t="s">
        <v>1077</v>
      </c>
      <c r="K538" s="69">
        <v>2</v>
      </c>
      <c r="L538" s="70">
        <f>84+74</f>
        <v>158</v>
      </c>
      <c r="M538" s="70">
        <f t="shared" si="8"/>
        <v>790</v>
      </c>
      <c r="N538" s="70">
        <f t="shared" si="9"/>
        <v>5530</v>
      </c>
      <c r="O538" s="60"/>
      <c r="P538" s="61"/>
      <c r="Q538" s="60"/>
      <c r="T538" s="5" t="s">
        <v>1078</v>
      </c>
    </row>
    <row r="539" spans="2:20" ht="21" customHeight="1">
      <c r="B539" s="118" t="s">
        <v>1006</v>
      </c>
      <c r="C539" s="68"/>
      <c r="D539" s="68"/>
      <c r="E539" s="68"/>
      <c r="F539" s="68"/>
      <c r="G539" s="68"/>
      <c r="H539" s="68"/>
      <c r="I539" s="68"/>
      <c r="J539" s="69" t="s">
        <v>1077</v>
      </c>
      <c r="K539" s="69"/>
      <c r="L539" s="70"/>
      <c r="M539" s="70"/>
      <c r="N539" s="70"/>
      <c r="O539" s="60"/>
      <c r="P539" s="61"/>
      <c r="Q539" s="60"/>
      <c r="T539" s="5" t="s">
        <v>1079</v>
      </c>
    </row>
    <row r="540" spans="1:20" ht="21" customHeight="1">
      <c r="A540" s="57">
        <f>A538+1</f>
        <v>284</v>
      </c>
      <c r="B540" s="67" t="s">
        <v>357</v>
      </c>
      <c r="C540" s="68">
        <v>8</v>
      </c>
      <c r="D540" s="68">
        <v>7</v>
      </c>
      <c r="E540" s="68">
        <v>5.5</v>
      </c>
      <c r="F540" s="68"/>
      <c r="G540" s="68"/>
      <c r="H540" s="68"/>
      <c r="I540" s="68"/>
      <c r="J540" s="112" t="s">
        <v>370</v>
      </c>
      <c r="K540" s="69">
        <v>2</v>
      </c>
      <c r="L540" s="70">
        <f>124+134</f>
        <v>258</v>
      </c>
      <c r="M540" s="70">
        <f t="shared" si="8"/>
        <v>1290</v>
      </c>
      <c r="N540" s="70">
        <f t="shared" si="9"/>
        <v>9030</v>
      </c>
      <c r="O540" s="60"/>
      <c r="P540" s="61"/>
      <c r="Q540" s="60"/>
      <c r="T540" s="5" t="s">
        <v>335</v>
      </c>
    </row>
    <row r="541" spans="2:20" ht="21" customHeight="1">
      <c r="B541" s="67" t="s">
        <v>357</v>
      </c>
      <c r="C541" s="68">
        <v>8</v>
      </c>
      <c r="D541" s="68">
        <v>7</v>
      </c>
      <c r="E541" s="68">
        <v>5.5</v>
      </c>
      <c r="F541" s="68"/>
      <c r="G541" s="68"/>
      <c r="H541" s="68"/>
      <c r="I541" s="68"/>
      <c r="J541" s="112" t="s">
        <v>370</v>
      </c>
      <c r="K541" s="69">
        <v>2</v>
      </c>
      <c r="L541" s="70">
        <f>124+134</f>
        <v>258</v>
      </c>
      <c r="M541" s="70">
        <f t="shared" si="8"/>
        <v>1290</v>
      </c>
      <c r="N541" s="70">
        <f t="shared" si="9"/>
        <v>9030</v>
      </c>
      <c r="O541" s="60"/>
      <c r="P541" s="61"/>
      <c r="Q541" s="60"/>
      <c r="T541" s="5" t="s">
        <v>551</v>
      </c>
    </row>
    <row r="542" spans="1:20" ht="21" customHeight="1">
      <c r="A542" s="57">
        <f>A540+1</f>
        <v>285</v>
      </c>
      <c r="B542" s="67" t="s">
        <v>855</v>
      </c>
      <c r="C542" s="68">
        <v>8</v>
      </c>
      <c r="D542" s="68">
        <v>6</v>
      </c>
      <c r="E542" s="68"/>
      <c r="F542" s="68"/>
      <c r="G542" s="68"/>
      <c r="H542" s="68"/>
      <c r="I542" s="68"/>
      <c r="J542" s="112" t="s">
        <v>243</v>
      </c>
      <c r="K542" s="69">
        <v>2</v>
      </c>
      <c r="L542" s="70">
        <f>201+99</f>
        <v>300</v>
      </c>
      <c r="M542" s="70">
        <f t="shared" si="8"/>
        <v>1500</v>
      </c>
      <c r="N542" s="70">
        <f t="shared" si="9"/>
        <v>10500</v>
      </c>
      <c r="O542" s="60"/>
      <c r="P542" s="61"/>
      <c r="Q542" s="60"/>
      <c r="T542" s="5" t="s">
        <v>957</v>
      </c>
    </row>
    <row r="543" spans="2:20" ht="21" customHeight="1">
      <c r="B543" s="67" t="s">
        <v>855</v>
      </c>
      <c r="C543" s="68"/>
      <c r="D543" s="68"/>
      <c r="E543" s="68"/>
      <c r="F543" s="68"/>
      <c r="G543" s="68"/>
      <c r="H543" s="68"/>
      <c r="I543" s="68"/>
      <c r="J543" s="112" t="s">
        <v>243</v>
      </c>
      <c r="K543" s="69"/>
      <c r="L543" s="70"/>
      <c r="M543" s="70"/>
      <c r="N543" s="70"/>
      <c r="O543" s="60"/>
      <c r="P543" s="61"/>
      <c r="Q543" s="60"/>
      <c r="T543" s="5" t="s">
        <v>566</v>
      </c>
    </row>
    <row r="544" spans="1:20" ht="21" customHeight="1">
      <c r="A544" s="57">
        <f>A542+1</f>
        <v>286</v>
      </c>
      <c r="B544" s="67" t="s">
        <v>511</v>
      </c>
      <c r="C544" s="68">
        <v>8</v>
      </c>
      <c r="D544" s="68">
        <v>6</v>
      </c>
      <c r="E544" s="68"/>
      <c r="F544" s="68"/>
      <c r="G544" s="68"/>
      <c r="H544" s="68"/>
      <c r="I544" s="68"/>
      <c r="J544" s="112" t="s">
        <v>586</v>
      </c>
      <c r="K544" s="69">
        <v>2</v>
      </c>
      <c r="L544" s="70">
        <f>429+90</f>
        <v>519</v>
      </c>
      <c r="M544" s="70">
        <f t="shared" si="8"/>
        <v>2595</v>
      </c>
      <c r="N544" s="70">
        <f t="shared" si="9"/>
        <v>18165</v>
      </c>
      <c r="O544" s="60"/>
      <c r="P544" s="61"/>
      <c r="Q544" s="60"/>
      <c r="T544" s="5" t="s">
        <v>483</v>
      </c>
    </row>
    <row r="545" spans="2:20" ht="21" customHeight="1">
      <c r="B545" s="67" t="s">
        <v>511</v>
      </c>
      <c r="C545" s="68"/>
      <c r="D545" s="68"/>
      <c r="E545" s="68"/>
      <c r="F545" s="68"/>
      <c r="G545" s="68"/>
      <c r="H545" s="68"/>
      <c r="I545" s="68"/>
      <c r="J545" s="112" t="s">
        <v>586</v>
      </c>
      <c r="K545" s="69"/>
      <c r="L545" s="70"/>
      <c r="M545" s="70"/>
      <c r="N545" s="70"/>
      <c r="O545" s="60"/>
      <c r="P545" s="61"/>
      <c r="Q545" s="60"/>
      <c r="T545" s="5" t="s">
        <v>320</v>
      </c>
    </row>
    <row r="546" spans="1:20" ht="21" customHeight="1">
      <c r="A546" s="57">
        <f>A544+1</f>
        <v>287</v>
      </c>
      <c r="B546" s="67" t="s">
        <v>683</v>
      </c>
      <c r="C546" s="68">
        <v>7</v>
      </c>
      <c r="D546" s="68">
        <v>6</v>
      </c>
      <c r="E546" s="68"/>
      <c r="F546" s="68"/>
      <c r="G546" s="68"/>
      <c r="H546" s="68"/>
      <c r="I546" s="68"/>
      <c r="J546" s="69" t="s">
        <v>684</v>
      </c>
      <c r="K546" s="69">
        <v>2</v>
      </c>
      <c r="L546" s="70">
        <f>242+176</f>
        <v>418</v>
      </c>
      <c r="M546" s="70">
        <f t="shared" si="8"/>
        <v>2090</v>
      </c>
      <c r="N546" s="70">
        <f t="shared" si="9"/>
        <v>14630</v>
      </c>
      <c r="T546" s="5" t="s">
        <v>561</v>
      </c>
    </row>
    <row r="547" spans="2:20" ht="21" customHeight="1">
      <c r="B547" s="67" t="s">
        <v>989</v>
      </c>
      <c r="C547" s="68"/>
      <c r="D547" s="68"/>
      <c r="E547" s="68"/>
      <c r="F547" s="68"/>
      <c r="G547" s="68"/>
      <c r="H547" s="68"/>
      <c r="I547" s="68"/>
      <c r="J547" s="69" t="s">
        <v>990</v>
      </c>
      <c r="K547" s="69"/>
      <c r="L547" s="70"/>
      <c r="M547" s="70"/>
      <c r="N547" s="70"/>
      <c r="T547" s="5" t="s">
        <v>301</v>
      </c>
    </row>
    <row r="548" spans="1:20" ht="21" customHeight="1">
      <c r="A548" s="57">
        <f>A546+1</f>
        <v>288</v>
      </c>
      <c r="B548" s="67" t="s">
        <v>856</v>
      </c>
      <c r="C548" s="68">
        <v>6</v>
      </c>
      <c r="D548" s="68">
        <v>5</v>
      </c>
      <c r="E548" s="68">
        <v>4</v>
      </c>
      <c r="F548" s="68"/>
      <c r="G548" s="68"/>
      <c r="H548" s="68"/>
      <c r="I548" s="68"/>
      <c r="J548" s="112" t="s">
        <v>244</v>
      </c>
      <c r="K548" s="69">
        <v>1</v>
      </c>
      <c r="L548" s="70">
        <f>118</f>
        <v>118</v>
      </c>
      <c r="M548" s="70">
        <f t="shared" si="8"/>
        <v>590</v>
      </c>
      <c r="N548" s="70">
        <f t="shared" si="9"/>
        <v>4130</v>
      </c>
      <c r="O548" s="60"/>
      <c r="P548" s="61"/>
      <c r="Q548" s="60"/>
      <c r="T548" s="5" t="s">
        <v>1051</v>
      </c>
    </row>
    <row r="549" spans="1:20" ht="21" customHeight="1">
      <c r="A549" s="57">
        <f>A548+1</f>
        <v>289</v>
      </c>
      <c r="B549" s="67" t="s">
        <v>724</v>
      </c>
      <c r="C549" s="68">
        <v>7</v>
      </c>
      <c r="D549" s="68">
        <v>6</v>
      </c>
      <c r="E549" s="68">
        <v>5</v>
      </c>
      <c r="F549" s="68"/>
      <c r="G549" s="68"/>
      <c r="H549" s="68"/>
      <c r="I549" s="68"/>
      <c r="J549" s="69" t="s">
        <v>117</v>
      </c>
      <c r="K549" s="69">
        <v>2</v>
      </c>
      <c r="L549" s="70">
        <f>170+62</f>
        <v>232</v>
      </c>
      <c r="M549" s="70">
        <f t="shared" si="8"/>
        <v>1160</v>
      </c>
      <c r="N549" s="70">
        <f t="shared" si="9"/>
        <v>8120</v>
      </c>
      <c r="O549" s="60"/>
      <c r="P549" s="61"/>
      <c r="Q549" s="60"/>
      <c r="T549" s="5" t="s">
        <v>934</v>
      </c>
    </row>
    <row r="550" spans="2:20" ht="21" customHeight="1">
      <c r="B550" s="67" t="s">
        <v>724</v>
      </c>
      <c r="C550" s="68"/>
      <c r="D550" s="68"/>
      <c r="E550" s="68"/>
      <c r="F550" s="68"/>
      <c r="G550" s="68"/>
      <c r="H550" s="68"/>
      <c r="I550" s="68"/>
      <c r="J550" s="69" t="s">
        <v>117</v>
      </c>
      <c r="K550" s="69"/>
      <c r="L550" s="70"/>
      <c r="M550" s="70"/>
      <c r="N550" s="70"/>
      <c r="O550" s="60"/>
      <c r="P550" s="61"/>
      <c r="Q550" s="60"/>
      <c r="T550" s="5" t="s">
        <v>108</v>
      </c>
    </row>
    <row r="551" spans="1:20" ht="21" customHeight="1">
      <c r="A551" s="57">
        <f>A549+1</f>
        <v>290</v>
      </c>
      <c r="B551" s="67" t="s">
        <v>723</v>
      </c>
      <c r="C551" s="68">
        <v>7</v>
      </c>
      <c r="D551" s="68">
        <v>6</v>
      </c>
      <c r="E551" s="68">
        <v>5</v>
      </c>
      <c r="F551" s="68"/>
      <c r="G551" s="68"/>
      <c r="H551" s="68"/>
      <c r="I551" s="68"/>
      <c r="J551" s="69" t="s">
        <v>118</v>
      </c>
      <c r="K551" s="69">
        <v>2</v>
      </c>
      <c r="L551" s="70">
        <f>97+83</f>
        <v>180</v>
      </c>
      <c r="M551" s="70">
        <f t="shared" si="8"/>
        <v>900</v>
      </c>
      <c r="N551" s="70">
        <f t="shared" si="9"/>
        <v>6300</v>
      </c>
      <c r="T551" s="5" t="s">
        <v>111</v>
      </c>
    </row>
    <row r="552" spans="2:20" ht="21" customHeight="1">
      <c r="B552" s="67" t="s">
        <v>723</v>
      </c>
      <c r="C552" s="68">
        <v>7</v>
      </c>
      <c r="D552" s="68">
        <v>6</v>
      </c>
      <c r="E552" s="68">
        <v>5</v>
      </c>
      <c r="F552" s="68"/>
      <c r="G552" s="68"/>
      <c r="H552" s="68"/>
      <c r="I552" s="68"/>
      <c r="J552" s="69" t="s">
        <v>118</v>
      </c>
      <c r="K552" s="69"/>
      <c r="L552" s="70"/>
      <c r="M552" s="70"/>
      <c r="N552" s="70"/>
      <c r="T552" s="5" t="s">
        <v>119</v>
      </c>
    </row>
    <row r="553" spans="1:20" ht="21" customHeight="1">
      <c r="A553" s="57">
        <f>A551+1</f>
        <v>291</v>
      </c>
      <c r="B553" s="67" t="s">
        <v>358</v>
      </c>
      <c r="C553" s="68">
        <v>7</v>
      </c>
      <c r="D553" s="68">
        <v>6</v>
      </c>
      <c r="E553" s="68"/>
      <c r="F553" s="68"/>
      <c r="G553" s="68"/>
      <c r="H553" s="68"/>
      <c r="I553" s="68"/>
      <c r="J553" s="69" t="s">
        <v>381</v>
      </c>
      <c r="K553" s="69">
        <v>2</v>
      </c>
      <c r="L553" s="70">
        <f>103+93</f>
        <v>196</v>
      </c>
      <c r="M553" s="70">
        <f t="shared" si="8"/>
        <v>980</v>
      </c>
      <c r="N553" s="70">
        <f t="shared" si="9"/>
        <v>6860</v>
      </c>
      <c r="O553" s="60"/>
      <c r="P553" s="61"/>
      <c r="Q553" s="60"/>
      <c r="T553" s="5" t="s">
        <v>335</v>
      </c>
    </row>
    <row r="554" spans="2:20" ht="21" customHeight="1">
      <c r="B554" s="67" t="s">
        <v>358</v>
      </c>
      <c r="C554" s="68">
        <v>7</v>
      </c>
      <c r="D554" s="68">
        <v>6</v>
      </c>
      <c r="E554" s="68"/>
      <c r="F554" s="68"/>
      <c r="G554" s="68"/>
      <c r="H554" s="68"/>
      <c r="I554" s="68"/>
      <c r="J554" s="69" t="s">
        <v>381</v>
      </c>
      <c r="K554" s="69"/>
      <c r="L554" s="70"/>
      <c r="M554" s="70"/>
      <c r="N554" s="70"/>
      <c r="O554" s="60"/>
      <c r="P554" s="61"/>
      <c r="Q554" s="60"/>
      <c r="T554" s="5" t="s">
        <v>551</v>
      </c>
    </row>
    <row r="555" spans="1:20" ht="21" customHeight="1">
      <c r="A555" s="57">
        <f>A553+1</f>
        <v>292</v>
      </c>
      <c r="B555" s="77" t="s">
        <v>338</v>
      </c>
      <c r="C555" s="68">
        <v>7</v>
      </c>
      <c r="D555" s="68"/>
      <c r="E555" s="68"/>
      <c r="F555" s="68"/>
      <c r="G555" s="68"/>
      <c r="H555" s="68"/>
      <c r="I555" s="68"/>
      <c r="J555" s="69" t="s">
        <v>67</v>
      </c>
      <c r="K555" s="69">
        <v>2</v>
      </c>
      <c r="L555" s="70">
        <f>200+200</f>
        <v>400</v>
      </c>
      <c r="M555" s="70">
        <f t="shared" si="8"/>
        <v>2000</v>
      </c>
      <c r="N555" s="70">
        <f t="shared" si="9"/>
        <v>14000</v>
      </c>
      <c r="T555" s="5" t="s">
        <v>1008</v>
      </c>
    </row>
    <row r="556" spans="2:20" ht="21" customHeight="1">
      <c r="B556" s="77" t="s">
        <v>338</v>
      </c>
      <c r="C556" s="68"/>
      <c r="D556" s="68"/>
      <c r="E556" s="68"/>
      <c r="F556" s="68"/>
      <c r="G556" s="68"/>
      <c r="H556" s="68"/>
      <c r="I556" s="68"/>
      <c r="J556" s="69" t="s">
        <v>67</v>
      </c>
      <c r="K556" s="69"/>
      <c r="L556" s="70"/>
      <c r="M556" s="70"/>
      <c r="N556" s="70"/>
      <c r="T556" s="5" t="s">
        <v>475</v>
      </c>
    </row>
    <row r="557" spans="1:20" ht="21" customHeight="1">
      <c r="A557" s="57">
        <f>A555+1</f>
        <v>293</v>
      </c>
      <c r="B557" s="67" t="s">
        <v>359</v>
      </c>
      <c r="C557" s="68">
        <v>10.5</v>
      </c>
      <c r="D557" s="68">
        <v>9.5</v>
      </c>
      <c r="E557" s="68">
        <v>8.5</v>
      </c>
      <c r="F557" s="68">
        <v>7.5</v>
      </c>
      <c r="G557" s="68">
        <v>5</v>
      </c>
      <c r="H557" s="68"/>
      <c r="I557" s="68"/>
      <c r="J557" s="112" t="s">
        <v>371</v>
      </c>
      <c r="K557" s="69">
        <v>2</v>
      </c>
      <c r="L557" s="70">
        <f>309+276</f>
        <v>585</v>
      </c>
      <c r="M557" s="70">
        <f t="shared" si="8"/>
        <v>2925</v>
      </c>
      <c r="N557" s="70">
        <f t="shared" si="9"/>
        <v>20475</v>
      </c>
      <c r="O557" s="60"/>
      <c r="P557" s="61"/>
      <c r="Q557" s="60"/>
      <c r="T557" s="5" t="s">
        <v>16</v>
      </c>
    </row>
    <row r="558" spans="2:20" ht="21" customHeight="1">
      <c r="B558" s="67" t="s">
        <v>359</v>
      </c>
      <c r="C558" s="68"/>
      <c r="D558" s="68"/>
      <c r="E558" s="68"/>
      <c r="F558" s="68"/>
      <c r="G558" s="68"/>
      <c r="H558" s="68"/>
      <c r="I558" s="68"/>
      <c r="J558" s="112" t="s">
        <v>371</v>
      </c>
      <c r="K558" s="69"/>
      <c r="L558" s="70"/>
      <c r="M558" s="70"/>
      <c r="N558" s="70"/>
      <c r="O558" s="60"/>
      <c r="P558" s="61"/>
      <c r="Q558" s="60"/>
      <c r="T558" s="5" t="s">
        <v>17</v>
      </c>
    </row>
    <row r="559" spans="1:20" ht="21" customHeight="1">
      <c r="A559" s="57">
        <f>A557+1</f>
        <v>294</v>
      </c>
      <c r="B559" s="67" t="s">
        <v>359</v>
      </c>
      <c r="C559" s="68">
        <v>10.5</v>
      </c>
      <c r="D559" s="68">
        <v>9.5</v>
      </c>
      <c r="E559" s="68">
        <v>8.5</v>
      </c>
      <c r="F559" s="68">
        <v>7.5</v>
      </c>
      <c r="G559" s="68">
        <v>5</v>
      </c>
      <c r="H559" s="68"/>
      <c r="I559" s="68"/>
      <c r="J559" s="112" t="s">
        <v>371</v>
      </c>
      <c r="K559" s="69">
        <v>2</v>
      </c>
      <c r="L559" s="70">
        <f>184+44</f>
        <v>228</v>
      </c>
      <c r="M559" s="70">
        <f t="shared" si="8"/>
        <v>1140</v>
      </c>
      <c r="N559" s="70">
        <f t="shared" si="9"/>
        <v>7980</v>
      </c>
      <c r="O559" s="60"/>
      <c r="P559" s="61"/>
      <c r="Q559" s="60"/>
      <c r="T559" s="5" t="s">
        <v>1055</v>
      </c>
    </row>
    <row r="560" spans="2:20" ht="21" customHeight="1">
      <c r="B560" s="67" t="s">
        <v>359</v>
      </c>
      <c r="C560" s="68"/>
      <c r="D560" s="68"/>
      <c r="E560" s="68"/>
      <c r="F560" s="68"/>
      <c r="G560" s="68"/>
      <c r="H560" s="68"/>
      <c r="I560" s="68"/>
      <c r="J560" s="112" t="s">
        <v>371</v>
      </c>
      <c r="K560" s="69"/>
      <c r="L560" s="70"/>
      <c r="M560" s="70"/>
      <c r="N560" s="70"/>
      <c r="O560" s="60"/>
      <c r="P560" s="61"/>
      <c r="Q560" s="60"/>
      <c r="T560" s="5" t="s">
        <v>18</v>
      </c>
    </row>
    <row r="561" spans="1:20" ht="21" customHeight="1">
      <c r="A561" s="57">
        <f>A559+1</f>
        <v>295</v>
      </c>
      <c r="B561" s="67" t="s">
        <v>857</v>
      </c>
      <c r="C561" s="68">
        <v>10</v>
      </c>
      <c r="D561" s="68">
        <v>7</v>
      </c>
      <c r="E561" s="68"/>
      <c r="F561" s="68"/>
      <c r="G561" s="68"/>
      <c r="H561" s="68"/>
      <c r="I561" s="68"/>
      <c r="J561" s="114" t="s">
        <v>245</v>
      </c>
      <c r="K561" s="69">
        <v>1</v>
      </c>
      <c r="L561" s="70">
        <v>395</v>
      </c>
      <c r="M561" s="70">
        <f t="shared" si="8"/>
        <v>1975</v>
      </c>
      <c r="N561" s="70">
        <f t="shared" si="9"/>
        <v>13825</v>
      </c>
      <c r="O561" s="60"/>
      <c r="P561" s="61"/>
      <c r="Q561" s="60"/>
      <c r="T561" s="5" t="s">
        <v>1036</v>
      </c>
    </row>
    <row r="562" spans="1:20" ht="21" customHeight="1">
      <c r="A562" s="57">
        <f>A561+1</f>
        <v>296</v>
      </c>
      <c r="B562" s="67" t="s">
        <v>858</v>
      </c>
      <c r="C562" s="68">
        <v>10</v>
      </c>
      <c r="D562" s="68">
        <v>7</v>
      </c>
      <c r="E562" s="68"/>
      <c r="F562" s="68"/>
      <c r="G562" s="68"/>
      <c r="H562" s="68"/>
      <c r="I562" s="68"/>
      <c r="J562" s="112" t="s">
        <v>246</v>
      </c>
      <c r="K562" s="69">
        <v>2</v>
      </c>
      <c r="L562" s="70">
        <f>164+106</f>
        <v>270</v>
      </c>
      <c r="M562" s="70">
        <f t="shared" si="8"/>
        <v>1350</v>
      </c>
      <c r="N562" s="70">
        <f t="shared" si="9"/>
        <v>9450</v>
      </c>
      <c r="O562" s="60"/>
      <c r="P562" s="61"/>
      <c r="Q562" s="60"/>
      <c r="T562" s="5" t="s">
        <v>967</v>
      </c>
    </row>
    <row r="563" spans="2:20" ht="21" customHeight="1">
      <c r="B563" s="67" t="s">
        <v>858</v>
      </c>
      <c r="C563" s="68"/>
      <c r="D563" s="68"/>
      <c r="E563" s="68"/>
      <c r="F563" s="68"/>
      <c r="G563" s="68"/>
      <c r="H563" s="68"/>
      <c r="I563" s="68"/>
      <c r="J563" s="112" t="s">
        <v>246</v>
      </c>
      <c r="K563" s="69"/>
      <c r="L563" s="70"/>
      <c r="M563" s="70"/>
      <c r="N563" s="70"/>
      <c r="O563" s="60"/>
      <c r="P563" s="61"/>
      <c r="Q563" s="60"/>
      <c r="T563" s="5" t="s">
        <v>968</v>
      </c>
    </row>
    <row r="564" spans="1:20" ht="21" customHeight="1">
      <c r="A564" s="57">
        <f>A562+1</f>
        <v>297</v>
      </c>
      <c r="B564" s="67" t="s">
        <v>859</v>
      </c>
      <c r="C564" s="68">
        <v>10</v>
      </c>
      <c r="D564" s="68">
        <v>7</v>
      </c>
      <c r="E564" s="68"/>
      <c r="F564" s="68"/>
      <c r="G564" s="68"/>
      <c r="H564" s="68"/>
      <c r="I564" s="68"/>
      <c r="J564" s="112" t="s">
        <v>247</v>
      </c>
      <c r="K564" s="69">
        <v>2</v>
      </c>
      <c r="L564" s="70">
        <f>228+137</f>
        <v>365</v>
      </c>
      <c r="M564" s="70">
        <f t="shared" si="8"/>
        <v>1825</v>
      </c>
      <c r="N564" s="70">
        <f t="shared" si="9"/>
        <v>12775</v>
      </c>
      <c r="O564" s="60"/>
      <c r="P564" s="61"/>
      <c r="Q564" s="60"/>
      <c r="T564" s="5" t="s">
        <v>968</v>
      </c>
    </row>
    <row r="565" spans="1:20" ht="21" customHeight="1">
      <c r="A565" s="57">
        <f>A564+1</f>
        <v>298</v>
      </c>
      <c r="B565" s="77" t="s">
        <v>860</v>
      </c>
      <c r="C565" s="68">
        <v>10</v>
      </c>
      <c r="D565" s="68">
        <v>7</v>
      </c>
      <c r="E565" s="68"/>
      <c r="F565" s="68"/>
      <c r="G565" s="68"/>
      <c r="H565" s="68"/>
      <c r="I565" s="68"/>
      <c r="J565" s="112" t="s">
        <v>658</v>
      </c>
      <c r="K565" s="69">
        <v>1</v>
      </c>
      <c r="L565" s="70">
        <f>350+148</f>
        <v>498</v>
      </c>
      <c r="M565" s="70">
        <f t="shared" si="8"/>
        <v>2490</v>
      </c>
      <c r="N565" s="70">
        <f t="shared" si="9"/>
        <v>17430</v>
      </c>
      <c r="O565" s="60"/>
      <c r="P565" s="61"/>
      <c r="Q565" s="60"/>
      <c r="T565" s="5" t="s">
        <v>1035</v>
      </c>
    </row>
    <row r="566" spans="1:20" ht="21" customHeight="1">
      <c r="A566" s="57">
        <f>A565+1</f>
        <v>299</v>
      </c>
      <c r="B566" s="77" t="s">
        <v>360</v>
      </c>
      <c r="C566" s="68">
        <v>8</v>
      </c>
      <c r="D566" s="68">
        <v>7</v>
      </c>
      <c r="E566" s="68">
        <v>6</v>
      </c>
      <c r="F566" s="68"/>
      <c r="G566" s="68"/>
      <c r="H566" s="68"/>
      <c r="I566" s="68"/>
      <c r="J566" s="142" t="s">
        <v>382</v>
      </c>
      <c r="K566" s="69">
        <v>2</v>
      </c>
      <c r="L566" s="70">
        <f>452+154</f>
        <v>606</v>
      </c>
      <c r="M566" s="70">
        <f t="shared" si="8"/>
        <v>3030</v>
      </c>
      <c r="N566" s="70">
        <f t="shared" si="9"/>
        <v>21210</v>
      </c>
      <c r="O566" s="60"/>
      <c r="P566" s="61"/>
      <c r="Q566" s="60"/>
      <c r="T566" s="5" t="s">
        <v>335</v>
      </c>
    </row>
    <row r="567" spans="2:20" ht="21" customHeight="1">
      <c r="B567" s="77" t="s">
        <v>360</v>
      </c>
      <c r="C567" s="68"/>
      <c r="D567" s="68"/>
      <c r="E567" s="68"/>
      <c r="F567" s="68"/>
      <c r="G567" s="68"/>
      <c r="H567" s="68"/>
      <c r="I567" s="68"/>
      <c r="J567" s="142" t="s">
        <v>382</v>
      </c>
      <c r="K567" s="69"/>
      <c r="L567" s="70"/>
      <c r="M567" s="70"/>
      <c r="N567" s="70"/>
      <c r="O567" s="60"/>
      <c r="P567" s="61"/>
      <c r="Q567" s="60"/>
      <c r="T567" s="5" t="s">
        <v>551</v>
      </c>
    </row>
    <row r="568" spans="1:20" ht="21" customHeight="1">
      <c r="A568" s="57">
        <f>A566+1</f>
        <v>300</v>
      </c>
      <c r="B568" s="67" t="s">
        <v>924</v>
      </c>
      <c r="C568" s="68">
        <v>8</v>
      </c>
      <c r="D568" s="68">
        <v>7</v>
      </c>
      <c r="E568" s="68"/>
      <c r="F568" s="68"/>
      <c r="G568" s="68"/>
      <c r="H568" s="68"/>
      <c r="I568" s="68"/>
      <c r="J568" s="69" t="s">
        <v>58</v>
      </c>
      <c r="K568" s="69">
        <v>2</v>
      </c>
      <c r="L568" s="70">
        <f>171+149</f>
        <v>320</v>
      </c>
      <c r="M568" s="70">
        <f t="shared" si="8"/>
        <v>1600</v>
      </c>
      <c r="N568" s="70">
        <f t="shared" si="9"/>
        <v>11200</v>
      </c>
      <c r="O568" s="60"/>
      <c r="P568" s="61"/>
      <c r="Q568" s="60"/>
      <c r="T568" s="5" t="s">
        <v>551</v>
      </c>
    </row>
    <row r="569" spans="2:20" ht="21" customHeight="1">
      <c r="B569" s="67" t="s">
        <v>924</v>
      </c>
      <c r="C569" s="68"/>
      <c r="D569" s="68"/>
      <c r="E569" s="68"/>
      <c r="F569" s="68"/>
      <c r="G569" s="68"/>
      <c r="H569" s="68"/>
      <c r="I569" s="68"/>
      <c r="J569" s="69" t="s">
        <v>58</v>
      </c>
      <c r="K569" s="69"/>
      <c r="L569" s="70"/>
      <c r="M569" s="70"/>
      <c r="N569" s="70"/>
      <c r="O569" s="60"/>
      <c r="P569" s="61"/>
      <c r="Q569" s="60"/>
      <c r="T569" s="5" t="s">
        <v>483</v>
      </c>
    </row>
    <row r="570" spans="1:20" ht="21" customHeight="1">
      <c r="A570" s="57">
        <f>A568+1</f>
        <v>301</v>
      </c>
      <c r="B570" s="77" t="s">
        <v>486</v>
      </c>
      <c r="C570" s="68">
        <v>7</v>
      </c>
      <c r="D570" s="68">
        <v>6</v>
      </c>
      <c r="E570" s="68"/>
      <c r="F570" s="68"/>
      <c r="G570" s="68"/>
      <c r="H570" s="68"/>
      <c r="I570" s="68"/>
      <c r="J570" s="113" t="s">
        <v>491</v>
      </c>
      <c r="K570" s="69">
        <v>2</v>
      </c>
      <c r="L570" s="70">
        <f>158+84</f>
        <v>242</v>
      </c>
      <c r="M570" s="70">
        <f t="shared" si="8"/>
        <v>1210</v>
      </c>
      <c r="N570" s="70">
        <f t="shared" si="9"/>
        <v>8470</v>
      </c>
      <c r="O570" s="60"/>
      <c r="P570" s="61"/>
      <c r="Q570" s="60"/>
      <c r="T570" s="5" t="s">
        <v>335</v>
      </c>
    </row>
    <row r="571" spans="1:20" ht="21" customHeight="1">
      <c r="A571" s="57">
        <f>A570+1</f>
        <v>302</v>
      </c>
      <c r="B571" s="67" t="s">
        <v>1038</v>
      </c>
      <c r="C571" s="68">
        <v>8</v>
      </c>
      <c r="D571" s="68">
        <v>7</v>
      </c>
      <c r="E571" s="68">
        <v>6</v>
      </c>
      <c r="F571" s="68"/>
      <c r="G571" s="68"/>
      <c r="H571" s="68"/>
      <c r="I571" s="68"/>
      <c r="J571" s="69" t="s">
        <v>300</v>
      </c>
      <c r="K571" s="69">
        <v>2</v>
      </c>
      <c r="L571" s="70">
        <f>187+195</f>
        <v>382</v>
      </c>
      <c r="M571" s="70">
        <f t="shared" si="8"/>
        <v>1910</v>
      </c>
      <c r="N571" s="70">
        <f t="shared" si="9"/>
        <v>13370</v>
      </c>
      <c r="O571" s="60"/>
      <c r="P571" s="61"/>
      <c r="Q571" s="60"/>
      <c r="T571" s="5" t="s">
        <v>335</v>
      </c>
    </row>
    <row r="572" spans="2:20" ht="21" customHeight="1">
      <c r="B572" s="67" t="s">
        <v>1038</v>
      </c>
      <c r="C572" s="68"/>
      <c r="D572" s="68"/>
      <c r="E572" s="68"/>
      <c r="F572" s="68"/>
      <c r="G572" s="68"/>
      <c r="H572" s="68"/>
      <c r="I572" s="68"/>
      <c r="J572" s="69" t="s">
        <v>300</v>
      </c>
      <c r="K572" s="69"/>
      <c r="L572" s="70"/>
      <c r="M572" s="70"/>
      <c r="N572" s="70"/>
      <c r="O572" s="60"/>
      <c r="P572" s="61"/>
      <c r="Q572" s="60"/>
      <c r="T572" s="5" t="s">
        <v>335</v>
      </c>
    </row>
    <row r="573" spans="2:20" ht="21" customHeight="1">
      <c r="B573" s="67" t="s">
        <v>1038</v>
      </c>
      <c r="C573" s="68"/>
      <c r="D573" s="68"/>
      <c r="E573" s="68"/>
      <c r="F573" s="68"/>
      <c r="G573" s="68"/>
      <c r="H573" s="68"/>
      <c r="I573" s="68"/>
      <c r="J573" s="69" t="s">
        <v>300</v>
      </c>
      <c r="K573" s="69"/>
      <c r="L573" s="70"/>
      <c r="M573" s="70"/>
      <c r="N573" s="70"/>
      <c r="O573" s="60"/>
      <c r="P573" s="61"/>
      <c r="Q573" s="60"/>
      <c r="T573" s="5" t="s">
        <v>551</v>
      </c>
    </row>
    <row r="574" spans="1:20" ht="21" customHeight="1">
      <c r="A574" s="57">
        <f>A571+1</f>
        <v>303</v>
      </c>
      <c r="B574" s="67" t="s">
        <v>861</v>
      </c>
      <c r="C574" s="68">
        <v>8</v>
      </c>
      <c r="D574" s="68">
        <v>7</v>
      </c>
      <c r="E574" s="68">
        <v>6</v>
      </c>
      <c r="F574" s="68"/>
      <c r="G574" s="68"/>
      <c r="H574" s="68"/>
      <c r="I574" s="68"/>
      <c r="J574" s="69" t="s">
        <v>573</v>
      </c>
      <c r="K574" s="69">
        <v>2</v>
      </c>
      <c r="L574" s="70">
        <f>146+146</f>
        <v>292</v>
      </c>
      <c r="M574" s="70">
        <f t="shared" si="8"/>
        <v>1460</v>
      </c>
      <c r="N574" s="70">
        <f t="shared" si="9"/>
        <v>10220</v>
      </c>
      <c r="O574" s="60"/>
      <c r="P574" s="61"/>
      <c r="Q574" s="60"/>
      <c r="T574" s="5" t="s">
        <v>996</v>
      </c>
    </row>
    <row r="575" spans="1:20" ht="21" customHeight="1">
      <c r="A575" s="57">
        <f>A574+1</f>
        <v>304</v>
      </c>
      <c r="B575" s="67" t="s">
        <v>861</v>
      </c>
      <c r="C575" s="68">
        <v>8</v>
      </c>
      <c r="D575" s="68">
        <v>7</v>
      </c>
      <c r="E575" s="68">
        <v>6</v>
      </c>
      <c r="F575" s="68"/>
      <c r="G575" s="68"/>
      <c r="H575" s="68"/>
      <c r="I575" s="68"/>
      <c r="J575" s="69" t="s">
        <v>573</v>
      </c>
      <c r="K575" s="69">
        <v>1</v>
      </c>
      <c r="L575" s="70">
        <v>200</v>
      </c>
      <c r="M575" s="70">
        <f t="shared" si="8"/>
        <v>1000</v>
      </c>
      <c r="N575" s="70">
        <f t="shared" si="9"/>
        <v>7000</v>
      </c>
      <c r="O575" s="60"/>
      <c r="P575" s="61"/>
      <c r="Q575" s="60"/>
      <c r="T575" s="5" t="s">
        <v>937</v>
      </c>
    </row>
    <row r="576" spans="1:20" ht="21" customHeight="1">
      <c r="A576" s="57">
        <f>A575+1</f>
        <v>305</v>
      </c>
      <c r="B576" s="67" t="s">
        <v>862</v>
      </c>
      <c r="C576" s="68">
        <v>9</v>
      </c>
      <c r="D576" s="68">
        <v>8</v>
      </c>
      <c r="E576" s="68">
        <v>7</v>
      </c>
      <c r="F576" s="68">
        <v>6</v>
      </c>
      <c r="G576" s="68"/>
      <c r="H576" s="68"/>
      <c r="I576" s="68"/>
      <c r="J576" s="69" t="s">
        <v>440</v>
      </c>
      <c r="K576" s="69">
        <v>2</v>
      </c>
      <c r="L576" s="70">
        <f>298+177</f>
        <v>475</v>
      </c>
      <c r="M576" s="70">
        <f t="shared" si="8"/>
        <v>2375</v>
      </c>
      <c r="N576" s="70">
        <f t="shared" si="9"/>
        <v>16625</v>
      </c>
      <c r="O576" s="60"/>
      <c r="P576" s="61"/>
      <c r="Q576" s="60"/>
      <c r="T576" s="5" t="s">
        <v>1098</v>
      </c>
    </row>
    <row r="577" spans="2:20" ht="21" customHeight="1">
      <c r="B577" s="67" t="s">
        <v>862</v>
      </c>
      <c r="C577" s="68"/>
      <c r="D577" s="68"/>
      <c r="E577" s="68"/>
      <c r="F577" s="68"/>
      <c r="G577" s="68"/>
      <c r="H577" s="68"/>
      <c r="I577" s="68"/>
      <c r="J577" s="69" t="s">
        <v>440</v>
      </c>
      <c r="K577" s="69"/>
      <c r="L577" s="70"/>
      <c r="M577" s="70"/>
      <c r="N577" s="70"/>
      <c r="O577" s="60"/>
      <c r="P577" s="61"/>
      <c r="Q577" s="60"/>
      <c r="T577" s="5" t="s">
        <v>937</v>
      </c>
    </row>
    <row r="578" spans="1:20" ht="21" customHeight="1">
      <c r="A578" s="57">
        <f>A576+1</f>
        <v>306</v>
      </c>
      <c r="B578" s="67" t="s">
        <v>862</v>
      </c>
      <c r="C578" s="68">
        <v>9</v>
      </c>
      <c r="D578" s="68">
        <v>8</v>
      </c>
      <c r="E578" s="68">
        <v>7</v>
      </c>
      <c r="F578" s="68">
        <v>6</v>
      </c>
      <c r="G578" s="68"/>
      <c r="H578" s="68"/>
      <c r="I578" s="68"/>
      <c r="J578" s="69" t="s">
        <v>440</v>
      </c>
      <c r="K578" s="69">
        <v>2</v>
      </c>
      <c r="L578" s="69">
        <v>200</v>
      </c>
      <c r="M578" s="70">
        <f t="shared" si="8"/>
        <v>1000</v>
      </c>
      <c r="N578" s="70">
        <f t="shared" si="9"/>
        <v>7000</v>
      </c>
      <c r="O578" s="60"/>
      <c r="P578" s="61"/>
      <c r="Q578" s="60"/>
      <c r="T578" s="5" t="s">
        <v>996</v>
      </c>
    </row>
    <row r="579" spans="1:20" ht="21" customHeight="1">
      <c r="A579" s="57">
        <f>A578+1</f>
        <v>307</v>
      </c>
      <c r="B579" s="67" t="s">
        <v>863</v>
      </c>
      <c r="C579" s="68">
        <v>10</v>
      </c>
      <c r="D579" s="68">
        <v>9</v>
      </c>
      <c r="E579" s="68">
        <v>8</v>
      </c>
      <c r="F579" s="68">
        <v>7</v>
      </c>
      <c r="G579" s="68">
        <v>6</v>
      </c>
      <c r="H579" s="68">
        <v>5</v>
      </c>
      <c r="I579" s="68"/>
      <c r="J579" s="69" t="s">
        <v>469</v>
      </c>
      <c r="K579" s="69">
        <v>2</v>
      </c>
      <c r="L579" s="70">
        <f>105+105</f>
        <v>210</v>
      </c>
      <c r="M579" s="70">
        <f t="shared" si="8"/>
        <v>1050</v>
      </c>
      <c r="N579" s="70">
        <f t="shared" si="9"/>
        <v>7350</v>
      </c>
      <c r="O579" s="60"/>
      <c r="P579" s="61"/>
      <c r="Q579" s="60"/>
      <c r="T579" s="5" t="s">
        <v>301</v>
      </c>
    </row>
    <row r="580" spans="2:20" ht="21" customHeight="1">
      <c r="B580" s="67" t="s">
        <v>863</v>
      </c>
      <c r="C580" s="68"/>
      <c r="D580" s="68"/>
      <c r="E580" s="68"/>
      <c r="F580" s="68"/>
      <c r="G580" s="68"/>
      <c r="H580" s="68"/>
      <c r="I580" s="68"/>
      <c r="J580" s="69" t="s">
        <v>469</v>
      </c>
      <c r="K580" s="69"/>
      <c r="L580" s="70"/>
      <c r="M580" s="70"/>
      <c r="N580" s="70"/>
      <c r="O580" s="60"/>
      <c r="P580" s="61"/>
      <c r="Q580" s="60"/>
      <c r="T580" s="5" t="s">
        <v>301</v>
      </c>
    </row>
    <row r="581" spans="1:20" ht="21" customHeight="1">
      <c r="A581" s="57">
        <f>A579+1</f>
        <v>308</v>
      </c>
      <c r="B581" s="77" t="s">
        <v>495</v>
      </c>
      <c r="C581" s="68">
        <v>8</v>
      </c>
      <c r="D581" s="68">
        <v>7</v>
      </c>
      <c r="E581" s="68">
        <v>6</v>
      </c>
      <c r="F581" s="68"/>
      <c r="G581" s="68"/>
      <c r="H581" s="68"/>
      <c r="I581" s="68"/>
      <c r="J581" s="113" t="s">
        <v>496</v>
      </c>
      <c r="K581" s="69">
        <v>2</v>
      </c>
      <c r="L581" s="70">
        <f>99+80</f>
        <v>179</v>
      </c>
      <c r="M581" s="70">
        <f t="shared" si="8"/>
        <v>895</v>
      </c>
      <c r="N581" s="70">
        <f t="shared" si="9"/>
        <v>6265</v>
      </c>
      <c r="O581" s="60"/>
      <c r="P581" s="61"/>
      <c r="Q581" s="60"/>
      <c r="T581" s="5" t="s">
        <v>335</v>
      </c>
    </row>
    <row r="582" spans="2:20" ht="21" customHeight="1">
      <c r="B582" s="77" t="s">
        <v>495</v>
      </c>
      <c r="C582" s="68">
        <v>8</v>
      </c>
      <c r="D582" s="68">
        <v>7</v>
      </c>
      <c r="E582" s="68">
        <v>6</v>
      </c>
      <c r="F582" s="68"/>
      <c r="G582" s="68"/>
      <c r="H582" s="68"/>
      <c r="I582" s="68"/>
      <c r="J582" s="113" t="s">
        <v>496</v>
      </c>
      <c r="K582" s="69"/>
      <c r="L582" s="70"/>
      <c r="M582" s="70"/>
      <c r="N582" s="70"/>
      <c r="O582" s="60"/>
      <c r="P582" s="61"/>
      <c r="Q582" s="60"/>
      <c r="T582" s="5" t="s">
        <v>551</v>
      </c>
    </row>
    <row r="583" spans="1:20" ht="21" customHeight="1">
      <c r="A583" s="57">
        <f>A581+1</f>
        <v>309</v>
      </c>
      <c r="B583" s="67" t="s">
        <v>925</v>
      </c>
      <c r="C583" s="68">
        <v>6</v>
      </c>
      <c r="D583" s="68">
        <v>5</v>
      </c>
      <c r="E583" s="68"/>
      <c r="F583" s="68"/>
      <c r="G583" s="68"/>
      <c r="H583" s="68"/>
      <c r="I583" s="68"/>
      <c r="J583" s="112" t="s">
        <v>249</v>
      </c>
      <c r="K583" s="69">
        <v>2</v>
      </c>
      <c r="L583" s="70">
        <f>155+124</f>
        <v>279</v>
      </c>
      <c r="M583" s="70">
        <f t="shared" si="8"/>
        <v>1395</v>
      </c>
      <c r="N583" s="70">
        <f t="shared" si="9"/>
        <v>9765</v>
      </c>
      <c r="O583" s="60"/>
      <c r="P583" s="61"/>
      <c r="Q583" s="60"/>
      <c r="T583" s="5" t="s">
        <v>936</v>
      </c>
    </row>
    <row r="584" spans="2:20" ht="21" customHeight="1">
      <c r="B584" s="67" t="s">
        <v>925</v>
      </c>
      <c r="C584" s="68"/>
      <c r="D584" s="68"/>
      <c r="E584" s="68"/>
      <c r="F584" s="68"/>
      <c r="G584" s="68"/>
      <c r="H584" s="68"/>
      <c r="I584" s="68"/>
      <c r="J584" s="112" t="s">
        <v>249</v>
      </c>
      <c r="K584" s="69"/>
      <c r="L584" s="70"/>
      <c r="M584" s="70"/>
      <c r="N584" s="70"/>
      <c r="O584" s="60"/>
      <c r="P584" s="61"/>
      <c r="Q584" s="60"/>
      <c r="T584" s="5" t="s">
        <v>1073</v>
      </c>
    </row>
    <row r="585" spans="1:20" ht="21" customHeight="1">
      <c r="A585" s="57">
        <f>A583+1</f>
        <v>310</v>
      </c>
      <c r="B585" s="67" t="s">
        <v>864</v>
      </c>
      <c r="C585" s="68">
        <v>7</v>
      </c>
      <c r="D585" s="68">
        <v>6</v>
      </c>
      <c r="E585" s="68">
        <v>5</v>
      </c>
      <c r="F585" s="68"/>
      <c r="G585" s="68"/>
      <c r="H585" s="68"/>
      <c r="I585" s="68"/>
      <c r="J585" s="69" t="s">
        <v>248</v>
      </c>
      <c r="K585" s="69">
        <v>1</v>
      </c>
      <c r="L585" s="70">
        <v>400</v>
      </c>
      <c r="M585" s="70">
        <f t="shared" si="8"/>
        <v>2000</v>
      </c>
      <c r="N585" s="70">
        <f t="shared" si="9"/>
        <v>14000</v>
      </c>
      <c r="O585" s="60"/>
      <c r="P585" s="61"/>
      <c r="Q585" s="60"/>
      <c r="T585" s="5" t="s">
        <v>475</v>
      </c>
    </row>
    <row r="586" spans="1:20" ht="21" customHeight="1">
      <c r="A586" s="57">
        <f>A585+1</f>
        <v>311</v>
      </c>
      <c r="B586" s="67" t="s">
        <v>926</v>
      </c>
      <c r="C586" s="68">
        <v>5</v>
      </c>
      <c r="D586" s="68"/>
      <c r="E586" s="68"/>
      <c r="F586" s="68"/>
      <c r="G586" s="68"/>
      <c r="H586" s="68"/>
      <c r="I586" s="68"/>
      <c r="J586" s="69" t="s">
        <v>59</v>
      </c>
      <c r="K586" s="69">
        <v>2</v>
      </c>
      <c r="L586" s="70">
        <f>148+70</f>
        <v>218</v>
      </c>
      <c r="M586" s="70">
        <f t="shared" si="8"/>
        <v>1090</v>
      </c>
      <c r="N586" s="70">
        <f t="shared" si="9"/>
        <v>7630</v>
      </c>
      <c r="O586" s="60"/>
      <c r="P586" s="61"/>
      <c r="Q586" s="60"/>
      <c r="T586" s="5" t="s">
        <v>483</v>
      </c>
    </row>
    <row r="587" spans="2:20" ht="21" customHeight="1">
      <c r="B587" s="67" t="s">
        <v>926</v>
      </c>
      <c r="C587" s="68"/>
      <c r="D587" s="68"/>
      <c r="E587" s="68"/>
      <c r="F587" s="68"/>
      <c r="G587" s="68"/>
      <c r="H587" s="68"/>
      <c r="I587" s="68"/>
      <c r="J587" s="69" t="s">
        <v>59</v>
      </c>
      <c r="K587" s="69"/>
      <c r="L587" s="70"/>
      <c r="M587" s="70"/>
      <c r="N587" s="70"/>
      <c r="O587" s="60"/>
      <c r="P587" s="61"/>
      <c r="Q587" s="60"/>
      <c r="T587" s="5" t="s">
        <v>551</v>
      </c>
    </row>
    <row r="588" spans="1:20" ht="21" customHeight="1">
      <c r="A588" s="57">
        <f>A586+1</f>
        <v>312</v>
      </c>
      <c r="B588" s="77" t="s">
        <v>865</v>
      </c>
      <c r="C588" s="68">
        <v>8</v>
      </c>
      <c r="D588" s="68">
        <v>7</v>
      </c>
      <c r="E588" s="68"/>
      <c r="F588" s="68"/>
      <c r="G588" s="68"/>
      <c r="H588" s="68"/>
      <c r="I588" s="68"/>
      <c r="J588" s="69" t="s">
        <v>1105</v>
      </c>
      <c r="K588" s="69">
        <v>2</v>
      </c>
      <c r="L588" s="70">
        <v>200</v>
      </c>
      <c r="M588" s="70">
        <f t="shared" si="8"/>
        <v>1000</v>
      </c>
      <c r="N588" s="70">
        <f t="shared" si="9"/>
        <v>7000</v>
      </c>
      <c r="O588" s="60"/>
      <c r="P588" s="61"/>
      <c r="Q588" s="60"/>
      <c r="T588" s="5" t="s">
        <v>996</v>
      </c>
    </row>
    <row r="589" spans="2:20" ht="21" customHeight="1">
      <c r="B589" s="77" t="s">
        <v>865</v>
      </c>
      <c r="C589" s="68"/>
      <c r="D589" s="68"/>
      <c r="E589" s="68"/>
      <c r="F589" s="68"/>
      <c r="G589" s="68"/>
      <c r="H589" s="68"/>
      <c r="I589" s="68"/>
      <c r="J589" s="69" t="s">
        <v>1105</v>
      </c>
      <c r="K589" s="69"/>
      <c r="L589" s="70"/>
      <c r="M589" s="70"/>
      <c r="N589" s="70"/>
      <c r="O589" s="60"/>
      <c r="P589" s="61"/>
      <c r="Q589" s="60"/>
      <c r="T589" s="5" t="s">
        <v>1098</v>
      </c>
    </row>
    <row r="590" spans="1:20" ht="21" customHeight="1">
      <c r="A590" s="57">
        <f>A588+1</f>
        <v>313</v>
      </c>
      <c r="B590" s="77" t="s">
        <v>865</v>
      </c>
      <c r="C590" s="68">
        <v>8</v>
      </c>
      <c r="D590" s="68">
        <v>7</v>
      </c>
      <c r="E590" s="68"/>
      <c r="F590" s="68"/>
      <c r="G590" s="68"/>
      <c r="H590" s="68"/>
      <c r="I590" s="68"/>
      <c r="J590" s="69" t="s">
        <v>1105</v>
      </c>
      <c r="K590" s="69">
        <v>1</v>
      </c>
      <c r="L590" s="70">
        <v>150</v>
      </c>
      <c r="M590" s="70">
        <f t="shared" si="8"/>
        <v>750</v>
      </c>
      <c r="N590" s="70">
        <f t="shared" si="9"/>
        <v>5250</v>
      </c>
      <c r="O590" s="60"/>
      <c r="P590" s="61"/>
      <c r="Q590" s="60"/>
      <c r="T590" s="5" t="s">
        <v>937</v>
      </c>
    </row>
    <row r="591" spans="1:20" ht="21" customHeight="1">
      <c r="A591" s="57">
        <f>A590+1</f>
        <v>314</v>
      </c>
      <c r="B591" s="77" t="s">
        <v>326</v>
      </c>
      <c r="C591" s="68">
        <v>8</v>
      </c>
      <c r="D591" s="68">
        <v>7</v>
      </c>
      <c r="E591" s="68"/>
      <c r="F591" s="68"/>
      <c r="G591" s="68"/>
      <c r="H591" s="68"/>
      <c r="I591" s="68"/>
      <c r="J591" s="112" t="s">
        <v>250</v>
      </c>
      <c r="K591" s="69">
        <v>2</v>
      </c>
      <c r="L591" s="70">
        <f>317+219</f>
        <v>536</v>
      </c>
      <c r="M591" s="70">
        <f t="shared" si="8"/>
        <v>2680</v>
      </c>
      <c r="N591" s="70">
        <f t="shared" si="9"/>
        <v>18760</v>
      </c>
      <c r="O591" s="60"/>
      <c r="P591" s="61"/>
      <c r="Q591" s="60"/>
      <c r="T591" s="5" t="s">
        <v>1029</v>
      </c>
    </row>
    <row r="592" spans="2:20" ht="21" customHeight="1">
      <c r="B592" s="77" t="s">
        <v>326</v>
      </c>
      <c r="C592" s="68"/>
      <c r="D592" s="68"/>
      <c r="E592" s="68"/>
      <c r="F592" s="68"/>
      <c r="G592" s="68"/>
      <c r="H592" s="68"/>
      <c r="I592" s="68"/>
      <c r="J592" s="112" t="s">
        <v>250</v>
      </c>
      <c r="K592" s="69"/>
      <c r="L592" s="70"/>
      <c r="M592" s="70"/>
      <c r="N592" s="70"/>
      <c r="O592" s="60"/>
      <c r="P592" s="61"/>
      <c r="Q592" s="60"/>
      <c r="T592" s="5" t="s">
        <v>1030</v>
      </c>
    </row>
    <row r="593" spans="1:20" ht="21" customHeight="1">
      <c r="A593" s="57">
        <f>A591+1</f>
        <v>315</v>
      </c>
      <c r="B593" s="77" t="s">
        <v>866</v>
      </c>
      <c r="C593" s="68">
        <v>9</v>
      </c>
      <c r="D593" s="68">
        <v>8</v>
      </c>
      <c r="E593" s="68">
        <v>7</v>
      </c>
      <c r="F593" s="68"/>
      <c r="G593" s="68"/>
      <c r="H593" s="68"/>
      <c r="I593" s="68"/>
      <c r="J593" s="112" t="s">
        <v>364</v>
      </c>
      <c r="K593" s="69">
        <v>2</v>
      </c>
      <c r="L593" s="70">
        <f>200+60</f>
        <v>260</v>
      </c>
      <c r="M593" s="70">
        <f t="shared" si="8"/>
        <v>1300</v>
      </c>
      <c r="N593" s="70">
        <f t="shared" si="9"/>
        <v>9100</v>
      </c>
      <c r="T593" s="5" t="s">
        <v>312</v>
      </c>
    </row>
    <row r="594" spans="2:20" ht="21" customHeight="1">
      <c r="B594" s="77" t="s">
        <v>866</v>
      </c>
      <c r="C594" s="68"/>
      <c r="D594" s="68"/>
      <c r="E594" s="68"/>
      <c r="F594" s="68"/>
      <c r="G594" s="68"/>
      <c r="H594" s="68"/>
      <c r="I594" s="68"/>
      <c r="J594" s="112" t="s">
        <v>364</v>
      </c>
      <c r="K594" s="69"/>
      <c r="L594" s="70"/>
      <c r="M594" s="70"/>
      <c r="N594" s="70"/>
      <c r="T594" s="5" t="s">
        <v>961</v>
      </c>
    </row>
    <row r="595" spans="1:20" ht="21" customHeight="1">
      <c r="A595" s="57">
        <f>A593+1</f>
        <v>316</v>
      </c>
      <c r="B595" s="77" t="s">
        <v>927</v>
      </c>
      <c r="C595" s="68">
        <v>5</v>
      </c>
      <c r="D595" s="68">
        <v>4</v>
      </c>
      <c r="E595" s="68"/>
      <c r="F595" s="68"/>
      <c r="G595" s="68"/>
      <c r="H595" s="68"/>
      <c r="I595" s="68"/>
      <c r="J595" s="112" t="s">
        <v>251</v>
      </c>
      <c r="K595" s="69">
        <v>1</v>
      </c>
      <c r="L595" s="70">
        <v>460</v>
      </c>
      <c r="M595" s="70">
        <f t="shared" si="8"/>
        <v>2300</v>
      </c>
      <c r="N595" s="70">
        <f t="shared" si="9"/>
        <v>16100</v>
      </c>
      <c r="O595" s="60"/>
      <c r="P595" s="61"/>
      <c r="Q595" s="60"/>
      <c r="T595" s="5" t="s">
        <v>956</v>
      </c>
    </row>
    <row r="596" spans="1:20" ht="21" customHeight="1">
      <c r="A596" s="57">
        <f>A595+1</f>
        <v>317</v>
      </c>
      <c r="B596" s="67" t="s">
        <v>867</v>
      </c>
      <c r="C596" s="68">
        <v>7.5</v>
      </c>
      <c r="D596" s="68">
        <v>6</v>
      </c>
      <c r="E596" s="68"/>
      <c r="F596" s="68"/>
      <c r="G596" s="68"/>
      <c r="H596" s="68"/>
      <c r="I596" s="68"/>
      <c r="J596" s="69" t="s">
        <v>1007</v>
      </c>
      <c r="K596" s="69">
        <v>2</v>
      </c>
      <c r="L596" s="70">
        <f>200+80</f>
        <v>280</v>
      </c>
      <c r="M596" s="70">
        <f t="shared" si="8"/>
        <v>1400</v>
      </c>
      <c r="N596" s="70">
        <f t="shared" si="9"/>
        <v>9800</v>
      </c>
      <c r="O596" s="60"/>
      <c r="P596" s="61"/>
      <c r="Q596" s="60"/>
      <c r="T596" s="5" t="s">
        <v>335</v>
      </c>
    </row>
    <row r="597" spans="2:20" ht="21" customHeight="1">
      <c r="B597" s="67" t="s">
        <v>867</v>
      </c>
      <c r="C597" s="68"/>
      <c r="D597" s="68"/>
      <c r="E597" s="68"/>
      <c r="F597" s="68"/>
      <c r="G597" s="68"/>
      <c r="H597" s="68"/>
      <c r="I597" s="68"/>
      <c r="J597" s="69" t="s">
        <v>1007</v>
      </c>
      <c r="K597" s="69"/>
      <c r="L597" s="70"/>
      <c r="M597" s="70"/>
      <c r="N597" s="70"/>
      <c r="O597" s="60"/>
      <c r="P597" s="61"/>
      <c r="Q597" s="60"/>
      <c r="T597" s="5" t="s">
        <v>551</v>
      </c>
    </row>
    <row r="598" spans="1:20" ht="21" customHeight="1">
      <c r="A598" s="57">
        <f>A596+1</f>
        <v>318</v>
      </c>
      <c r="B598" s="77" t="s">
        <v>361</v>
      </c>
      <c r="C598" s="68">
        <v>7.5</v>
      </c>
      <c r="D598" s="68">
        <v>6</v>
      </c>
      <c r="E598" s="68"/>
      <c r="F598" s="68"/>
      <c r="G598" s="68"/>
      <c r="H598" s="68"/>
      <c r="I598" s="68"/>
      <c r="J598" s="136" t="s">
        <v>252</v>
      </c>
      <c r="K598" s="69">
        <v>2</v>
      </c>
      <c r="L598" s="70">
        <f>330+150</f>
        <v>480</v>
      </c>
      <c r="M598" s="70">
        <f t="shared" si="8"/>
        <v>2400</v>
      </c>
      <c r="N598" s="70">
        <f t="shared" si="9"/>
        <v>16800</v>
      </c>
      <c r="O598" s="60"/>
      <c r="P598" s="61"/>
      <c r="Q598" s="60"/>
      <c r="T598" s="5" t="s">
        <v>64</v>
      </c>
    </row>
    <row r="599" spans="2:20" ht="21" customHeight="1">
      <c r="B599" s="77" t="s">
        <v>361</v>
      </c>
      <c r="C599" s="68"/>
      <c r="D599" s="68"/>
      <c r="E599" s="68"/>
      <c r="F599" s="68"/>
      <c r="G599" s="68"/>
      <c r="H599" s="68"/>
      <c r="I599" s="68"/>
      <c r="J599" s="136" t="s">
        <v>252</v>
      </c>
      <c r="K599" s="69"/>
      <c r="L599" s="70"/>
      <c r="M599" s="70"/>
      <c r="N599" s="70"/>
      <c r="O599" s="60"/>
      <c r="P599" s="61"/>
      <c r="Q599" s="60"/>
      <c r="T599" s="5" t="s">
        <v>475</v>
      </c>
    </row>
    <row r="600" spans="1:20" ht="21" customHeight="1">
      <c r="A600" s="57">
        <f>A598+1</f>
        <v>319</v>
      </c>
      <c r="B600" s="67" t="s">
        <v>868</v>
      </c>
      <c r="C600" s="68">
        <v>7.5</v>
      </c>
      <c r="D600" s="68">
        <v>6</v>
      </c>
      <c r="E600" s="68">
        <v>5</v>
      </c>
      <c r="F600" s="68"/>
      <c r="G600" s="68"/>
      <c r="H600" s="68"/>
      <c r="I600" s="68"/>
      <c r="J600" s="69" t="s">
        <v>1040</v>
      </c>
      <c r="K600" s="69">
        <v>2</v>
      </c>
      <c r="L600" s="70">
        <f>141+90</f>
        <v>231</v>
      </c>
      <c r="M600" s="70">
        <f t="shared" si="8"/>
        <v>1155</v>
      </c>
      <c r="N600" s="70">
        <f t="shared" si="9"/>
        <v>8085</v>
      </c>
      <c r="O600" s="60"/>
      <c r="P600" s="61"/>
      <c r="Q600" s="60"/>
      <c r="T600" s="5" t="s">
        <v>1041</v>
      </c>
    </row>
    <row r="601" spans="2:20" ht="21" customHeight="1">
      <c r="B601" s="67" t="s">
        <v>1042</v>
      </c>
      <c r="C601" s="68"/>
      <c r="D601" s="68"/>
      <c r="E601" s="68"/>
      <c r="F601" s="68"/>
      <c r="G601" s="68"/>
      <c r="H601" s="68"/>
      <c r="I601" s="68"/>
      <c r="J601" s="69" t="s">
        <v>695</v>
      </c>
      <c r="K601" s="69"/>
      <c r="L601" s="70"/>
      <c r="M601" s="70"/>
      <c r="N601" s="70"/>
      <c r="O601" s="60"/>
      <c r="P601" s="61"/>
      <c r="Q601" s="60"/>
      <c r="T601" s="5" t="s">
        <v>698</v>
      </c>
    </row>
    <row r="602" spans="1:20" ht="21" customHeight="1">
      <c r="A602" s="57">
        <f>A600+1</f>
        <v>320</v>
      </c>
      <c r="B602" s="67" t="s">
        <v>1045</v>
      </c>
      <c r="C602" s="68">
        <v>7.5</v>
      </c>
      <c r="D602" s="68">
        <v>6</v>
      </c>
      <c r="E602" s="68">
        <v>5</v>
      </c>
      <c r="F602" s="68"/>
      <c r="G602" s="68"/>
      <c r="H602" s="68"/>
      <c r="I602" s="68"/>
      <c r="J602" s="69" t="s">
        <v>1043</v>
      </c>
      <c r="K602" s="69">
        <v>2</v>
      </c>
      <c r="L602" s="70">
        <f>230+100</f>
        <v>330</v>
      </c>
      <c r="M602" s="70">
        <f t="shared" si="8"/>
        <v>1650</v>
      </c>
      <c r="N602" s="70">
        <f t="shared" si="9"/>
        <v>11550</v>
      </c>
      <c r="O602" s="60"/>
      <c r="P602" s="61"/>
      <c r="Q602" s="60"/>
      <c r="T602" s="5" t="s">
        <v>1041</v>
      </c>
    </row>
    <row r="603" spans="2:20" ht="21" customHeight="1">
      <c r="B603" s="67" t="s">
        <v>1044</v>
      </c>
      <c r="C603" s="68"/>
      <c r="D603" s="68"/>
      <c r="E603" s="68"/>
      <c r="F603" s="68"/>
      <c r="G603" s="68"/>
      <c r="H603" s="68"/>
      <c r="I603" s="68"/>
      <c r="J603" s="69" t="s">
        <v>1046</v>
      </c>
      <c r="K603" s="69"/>
      <c r="L603" s="70"/>
      <c r="M603" s="70"/>
      <c r="N603" s="70"/>
      <c r="O603" s="60"/>
      <c r="P603" s="61"/>
      <c r="Q603" s="60"/>
      <c r="T603" s="5" t="s">
        <v>698</v>
      </c>
    </row>
    <row r="604" spans="1:20" s="94" customFormat="1" ht="21" customHeight="1">
      <c r="A604" s="57">
        <f>A602+1</f>
        <v>321</v>
      </c>
      <c r="B604" s="67" t="s">
        <v>545</v>
      </c>
      <c r="C604" s="68">
        <v>7</v>
      </c>
      <c r="D604" s="68">
        <v>6</v>
      </c>
      <c r="E604" s="68"/>
      <c r="F604" s="68"/>
      <c r="G604" s="68"/>
      <c r="H604" s="68"/>
      <c r="I604" s="68"/>
      <c r="J604" s="69"/>
      <c r="K604" s="69">
        <v>1</v>
      </c>
      <c r="L604" s="70">
        <v>500</v>
      </c>
      <c r="M604" s="70">
        <f t="shared" si="8"/>
        <v>2500</v>
      </c>
      <c r="N604" s="70">
        <f t="shared" si="9"/>
        <v>17500</v>
      </c>
      <c r="O604" s="92"/>
      <c r="P604" s="93"/>
      <c r="Q604" s="92"/>
      <c r="T604" s="5" t="s">
        <v>335</v>
      </c>
    </row>
    <row r="605" spans="1:20" ht="21" customHeight="1">
      <c r="A605" s="57">
        <f>A604+1</f>
        <v>322</v>
      </c>
      <c r="B605" s="67" t="s">
        <v>869</v>
      </c>
      <c r="C605" s="68">
        <v>9</v>
      </c>
      <c r="D605" s="68">
        <v>7</v>
      </c>
      <c r="E605" s="68"/>
      <c r="F605" s="68"/>
      <c r="G605" s="68"/>
      <c r="H605" s="68"/>
      <c r="I605" s="68"/>
      <c r="J605" s="112" t="s">
        <v>253</v>
      </c>
      <c r="K605" s="69">
        <v>2</v>
      </c>
      <c r="L605" s="70">
        <f>130+118</f>
        <v>248</v>
      </c>
      <c r="M605" s="70">
        <f aca="true" t="shared" si="10" ref="M605:M705">L605*5</f>
        <v>1240</v>
      </c>
      <c r="N605" s="70">
        <f aca="true" t="shared" si="11" ref="N605:N705">M605*7</f>
        <v>8680</v>
      </c>
      <c r="O605" s="60"/>
      <c r="P605" s="61"/>
      <c r="Q605" s="60"/>
      <c r="T605" s="5" t="s">
        <v>937</v>
      </c>
    </row>
    <row r="606" spans="2:20" ht="21" customHeight="1">
      <c r="B606" s="67" t="s">
        <v>869</v>
      </c>
      <c r="C606" s="68">
        <v>9</v>
      </c>
      <c r="D606" s="68">
        <v>7</v>
      </c>
      <c r="E606" s="68"/>
      <c r="F606" s="68"/>
      <c r="G606" s="68"/>
      <c r="H606" s="68"/>
      <c r="I606" s="68"/>
      <c r="J606" s="112" t="s">
        <v>253</v>
      </c>
      <c r="K606" s="69">
        <v>2</v>
      </c>
      <c r="L606" s="70">
        <f>130+118</f>
        <v>248</v>
      </c>
      <c r="M606" s="70">
        <f t="shared" si="10"/>
        <v>1240</v>
      </c>
      <c r="N606" s="70">
        <f t="shared" si="11"/>
        <v>8680</v>
      </c>
      <c r="O606" s="60"/>
      <c r="P606" s="61"/>
      <c r="Q606" s="60"/>
      <c r="T606" s="5" t="s">
        <v>938</v>
      </c>
    </row>
    <row r="607" spans="1:20" ht="21" customHeight="1">
      <c r="A607" s="57">
        <f>SUM(A605+1)</f>
        <v>323</v>
      </c>
      <c r="B607" s="77" t="s">
        <v>299</v>
      </c>
      <c r="C607" s="68">
        <v>8</v>
      </c>
      <c r="D607" s="68">
        <v>6.5</v>
      </c>
      <c r="E607" s="68"/>
      <c r="F607" s="68"/>
      <c r="G607" s="68"/>
      <c r="H607" s="68"/>
      <c r="I607" s="68"/>
      <c r="J607" s="112" t="s">
        <v>461</v>
      </c>
      <c r="K607" s="69">
        <v>2</v>
      </c>
      <c r="L607" s="70">
        <f>284+150</f>
        <v>434</v>
      </c>
      <c r="M607" s="70">
        <f t="shared" si="10"/>
        <v>2170</v>
      </c>
      <c r="N607" s="70">
        <f t="shared" si="11"/>
        <v>15190</v>
      </c>
      <c r="T607" s="5" t="s">
        <v>301</v>
      </c>
    </row>
    <row r="608" spans="2:20" ht="21" customHeight="1">
      <c r="B608" s="77" t="s">
        <v>299</v>
      </c>
      <c r="C608" s="68"/>
      <c r="D608" s="68"/>
      <c r="E608" s="68"/>
      <c r="F608" s="68"/>
      <c r="G608" s="68"/>
      <c r="H608" s="68"/>
      <c r="I608" s="68"/>
      <c r="J608" s="112" t="s">
        <v>461</v>
      </c>
      <c r="K608" s="69"/>
      <c r="L608" s="70"/>
      <c r="M608" s="70"/>
      <c r="N608" s="70"/>
      <c r="T608" s="5" t="s">
        <v>937</v>
      </c>
    </row>
    <row r="609" spans="2:20" ht="21" customHeight="1">
      <c r="B609" s="77" t="s">
        <v>563</v>
      </c>
      <c r="C609" s="68"/>
      <c r="D609" s="68"/>
      <c r="E609" s="68"/>
      <c r="F609" s="68"/>
      <c r="G609" s="68"/>
      <c r="H609" s="68"/>
      <c r="I609" s="68"/>
      <c r="K609" s="69"/>
      <c r="L609" s="70"/>
      <c r="M609" s="70"/>
      <c r="N609" s="70"/>
      <c r="T609" s="5" t="s">
        <v>561</v>
      </c>
    </row>
    <row r="610" spans="1:20" ht="21" customHeight="1">
      <c r="A610" s="57">
        <f>A607+1</f>
        <v>324</v>
      </c>
      <c r="B610" s="67" t="s">
        <v>328</v>
      </c>
      <c r="C610" s="68">
        <v>8.5</v>
      </c>
      <c r="D610" s="68">
        <v>6.5</v>
      </c>
      <c r="E610" s="68">
        <v>6</v>
      </c>
      <c r="F610" s="68"/>
      <c r="G610" s="68"/>
      <c r="H610" s="68"/>
      <c r="I610" s="68"/>
      <c r="J610" s="112" t="s">
        <v>329</v>
      </c>
      <c r="K610" s="69">
        <v>2</v>
      </c>
      <c r="L610" s="70">
        <f>239+237</f>
        <v>476</v>
      </c>
      <c r="M610" s="70">
        <f t="shared" si="10"/>
        <v>2380</v>
      </c>
      <c r="N610" s="70">
        <f t="shared" si="11"/>
        <v>16660</v>
      </c>
      <c r="T610" s="5" t="s">
        <v>335</v>
      </c>
    </row>
    <row r="611" spans="2:20" ht="21" customHeight="1">
      <c r="B611" s="67" t="s">
        <v>328</v>
      </c>
      <c r="C611" s="68"/>
      <c r="D611" s="68"/>
      <c r="E611" s="68"/>
      <c r="F611" s="68"/>
      <c r="G611" s="68"/>
      <c r="H611" s="68"/>
      <c r="I611" s="68"/>
      <c r="J611" s="112" t="s">
        <v>329</v>
      </c>
      <c r="K611" s="69"/>
      <c r="L611" s="70"/>
      <c r="M611" s="70"/>
      <c r="N611" s="70"/>
      <c r="T611" s="5" t="s">
        <v>551</v>
      </c>
    </row>
    <row r="612" spans="1:20" ht="21" customHeight="1">
      <c r="A612" s="57">
        <f>A610+1</f>
        <v>325</v>
      </c>
      <c r="B612" s="67" t="s">
        <v>530</v>
      </c>
      <c r="C612" s="68">
        <v>11</v>
      </c>
      <c r="D612" s="68">
        <v>10</v>
      </c>
      <c r="E612" s="68">
        <v>9</v>
      </c>
      <c r="F612" s="68">
        <v>5</v>
      </c>
      <c r="G612" s="68"/>
      <c r="H612" s="68"/>
      <c r="I612" s="68"/>
      <c r="J612" s="112" t="s">
        <v>662</v>
      </c>
      <c r="K612" s="69">
        <v>1</v>
      </c>
      <c r="L612" s="69">
        <v>244</v>
      </c>
      <c r="M612" s="70">
        <f t="shared" si="10"/>
        <v>1220</v>
      </c>
      <c r="N612" s="70">
        <f t="shared" si="11"/>
        <v>8540</v>
      </c>
      <c r="T612" s="5" t="s">
        <v>31</v>
      </c>
    </row>
    <row r="613" spans="2:20" ht="21" customHeight="1">
      <c r="B613" s="67" t="s">
        <v>530</v>
      </c>
      <c r="C613" s="68"/>
      <c r="D613" s="68"/>
      <c r="E613" s="68"/>
      <c r="F613" s="68"/>
      <c r="G613" s="68"/>
      <c r="H613" s="68"/>
      <c r="I613" s="68"/>
      <c r="J613" s="112" t="s">
        <v>662</v>
      </c>
      <c r="K613" s="69"/>
      <c r="L613" s="69"/>
      <c r="M613" s="70"/>
      <c r="N613" s="70"/>
      <c r="T613" s="5" t="s">
        <v>29</v>
      </c>
    </row>
    <row r="614" spans="1:20" ht="21" customHeight="1">
      <c r="A614" s="57">
        <f>A612+1</f>
        <v>326</v>
      </c>
      <c r="B614" s="67" t="s">
        <v>530</v>
      </c>
      <c r="C614" s="68">
        <v>11</v>
      </c>
      <c r="D614" s="68">
        <v>10</v>
      </c>
      <c r="E614" s="68">
        <v>9</v>
      </c>
      <c r="F614" s="68">
        <v>5</v>
      </c>
      <c r="G614" s="68"/>
      <c r="H614" s="68"/>
      <c r="I614" s="68"/>
      <c r="J614" s="112" t="s">
        <v>662</v>
      </c>
      <c r="K614" s="69">
        <v>2</v>
      </c>
      <c r="L614" s="70">
        <f>126+113</f>
        <v>239</v>
      </c>
      <c r="M614" s="70">
        <f t="shared" si="10"/>
        <v>1195</v>
      </c>
      <c r="N614" s="70">
        <f t="shared" si="11"/>
        <v>8365</v>
      </c>
      <c r="T614" s="5" t="s">
        <v>30</v>
      </c>
    </row>
    <row r="615" spans="1:20" ht="21" customHeight="1">
      <c r="A615" s="57">
        <f aca="true" t="shared" si="12" ref="A615:A620">A614+1</f>
        <v>327</v>
      </c>
      <c r="B615" s="67" t="s">
        <v>530</v>
      </c>
      <c r="C615" s="68">
        <v>11</v>
      </c>
      <c r="D615" s="68">
        <v>10</v>
      </c>
      <c r="E615" s="68">
        <v>9</v>
      </c>
      <c r="F615" s="68">
        <v>5</v>
      </c>
      <c r="G615" s="68"/>
      <c r="H615" s="68"/>
      <c r="I615" s="68"/>
      <c r="J615" s="112" t="s">
        <v>662</v>
      </c>
      <c r="K615" s="69">
        <v>2</v>
      </c>
      <c r="L615" s="70">
        <f>131+166</f>
        <v>297</v>
      </c>
      <c r="M615" s="70">
        <f t="shared" si="10"/>
        <v>1485</v>
      </c>
      <c r="N615" s="70">
        <f t="shared" si="11"/>
        <v>10395</v>
      </c>
      <c r="T615" s="5" t="s">
        <v>32</v>
      </c>
    </row>
    <row r="616" spans="1:20" ht="21" customHeight="1">
      <c r="A616" s="57">
        <f t="shared" si="12"/>
        <v>328</v>
      </c>
      <c r="B616" s="67" t="s">
        <v>891</v>
      </c>
      <c r="C616" s="68">
        <v>7</v>
      </c>
      <c r="D616" s="68">
        <v>6</v>
      </c>
      <c r="E616" s="68"/>
      <c r="F616" s="68"/>
      <c r="G616" s="68"/>
      <c r="H616" s="68"/>
      <c r="I616" s="68"/>
      <c r="J616" s="114" t="s">
        <v>254</v>
      </c>
      <c r="K616" s="69">
        <v>1</v>
      </c>
      <c r="L616" s="70">
        <v>158</v>
      </c>
      <c r="M616" s="70">
        <f t="shared" si="10"/>
        <v>790</v>
      </c>
      <c r="N616" s="70">
        <f t="shared" si="11"/>
        <v>5530</v>
      </c>
      <c r="T616" s="5" t="s">
        <v>890</v>
      </c>
    </row>
    <row r="617" spans="1:20" ht="21" customHeight="1">
      <c r="A617" s="57">
        <f t="shared" si="12"/>
        <v>329</v>
      </c>
      <c r="B617" s="77" t="s">
        <v>870</v>
      </c>
      <c r="C617" s="68">
        <v>7</v>
      </c>
      <c r="D617" s="68">
        <v>5</v>
      </c>
      <c r="E617" s="68"/>
      <c r="F617" s="68"/>
      <c r="G617" s="68"/>
      <c r="H617" s="68"/>
      <c r="I617" s="68"/>
      <c r="J617" s="112" t="s">
        <v>255</v>
      </c>
      <c r="K617" s="69">
        <v>2</v>
      </c>
      <c r="L617" s="70">
        <f>117+85</f>
        <v>202</v>
      </c>
      <c r="M617" s="70">
        <f t="shared" si="10"/>
        <v>1010</v>
      </c>
      <c r="N617" s="70">
        <f t="shared" si="11"/>
        <v>7070</v>
      </c>
      <c r="T617" s="5" t="s">
        <v>335</v>
      </c>
    </row>
    <row r="618" spans="2:20" ht="21" customHeight="1">
      <c r="B618" s="77" t="s">
        <v>870</v>
      </c>
      <c r="C618" s="68"/>
      <c r="D618" s="68"/>
      <c r="E618" s="68"/>
      <c r="F618" s="68"/>
      <c r="G618" s="68"/>
      <c r="H618" s="68"/>
      <c r="I618" s="68"/>
      <c r="J618" s="112" t="s">
        <v>255</v>
      </c>
      <c r="K618" s="69"/>
      <c r="L618" s="70"/>
      <c r="M618" s="70"/>
      <c r="N618" s="70"/>
      <c r="T618" s="5" t="s">
        <v>320</v>
      </c>
    </row>
    <row r="619" spans="1:20" ht="21" customHeight="1">
      <c r="A619" s="57">
        <f>A617+1</f>
        <v>330</v>
      </c>
      <c r="B619" s="67" t="s">
        <v>939</v>
      </c>
      <c r="C619" s="68"/>
      <c r="D619" s="68"/>
      <c r="E619" s="68"/>
      <c r="F619" s="68"/>
      <c r="G619" s="68"/>
      <c r="H619" s="68"/>
      <c r="I619" s="68"/>
      <c r="K619" s="80">
        <v>1</v>
      </c>
      <c r="L619" s="81">
        <v>155</v>
      </c>
      <c r="M619" s="70">
        <f t="shared" si="10"/>
        <v>775</v>
      </c>
      <c r="N619" s="70">
        <f t="shared" si="11"/>
        <v>5425</v>
      </c>
      <c r="T619" s="5" t="s">
        <v>301</v>
      </c>
    </row>
    <row r="620" spans="1:20" ht="21" customHeight="1">
      <c r="A620" s="57">
        <f t="shared" si="12"/>
        <v>331</v>
      </c>
      <c r="B620" s="67" t="s">
        <v>546</v>
      </c>
      <c r="C620" s="68">
        <v>7</v>
      </c>
      <c r="D620" s="68">
        <v>5</v>
      </c>
      <c r="E620" s="68"/>
      <c r="F620" s="68"/>
      <c r="G620" s="68"/>
      <c r="H620" s="68"/>
      <c r="I620" s="68"/>
      <c r="J620" s="125" t="s">
        <v>479</v>
      </c>
      <c r="K620" s="69">
        <v>2</v>
      </c>
      <c r="L620" s="69">
        <f>312+166</f>
        <v>478</v>
      </c>
      <c r="M620" s="70">
        <f t="shared" si="10"/>
        <v>2390</v>
      </c>
      <c r="N620" s="70">
        <f t="shared" si="11"/>
        <v>16730</v>
      </c>
      <c r="T620" s="5" t="s">
        <v>1074</v>
      </c>
    </row>
    <row r="621" spans="2:20" ht="21" customHeight="1">
      <c r="B621" s="67" t="s">
        <v>546</v>
      </c>
      <c r="C621" s="68">
        <v>7</v>
      </c>
      <c r="D621" s="68">
        <v>5</v>
      </c>
      <c r="E621" s="68"/>
      <c r="F621" s="68"/>
      <c r="G621" s="68"/>
      <c r="H621" s="68"/>
      <c r="I621" s="68"/>
      <c r="J621" s="125" t="s">
        <v>479</v>
      </c>
      <c r="K621" s="69"/>
      <c r="L621" s="69"/>
      <c r="M621" s="70"/>
      <c r="N621" s="70"/>
      <c r="T621" s="5" t="s">
        <v>106</v>
      </c>
    </row>
    <row r="622" spans="1:20" ht="21" customHeight="1">
      <c r="A622" s="57">
        <f>A620+1</f>
        <v>332</v>
      </c>
      <c r="B622" s="77" t="s">
        <v>1032</v>
      </c>
      <c r="C622" s="68">
        <v>6</v>
      </c>
      <c r="D622" s="68">
        <v>5</v>
      </c>
      <c r="E622" s="68">
        <v>4</v>
      </c>
      <c r="F622" s="68"/>
      <c r="G622" s="68"/>
      <c r="H622" s="68"/>
      <c r="I622" s="68"/>
      <c r="J622" s="112" t="s">
        <v>256</v>
      </c>
      <c r="K622" s="69">
        <v>2</v>
      </c>
      <c r="L622" s="70">
        <v>600</v>
      </c>
      <c r="M622" s="70">
        <f t="shared" si="10"/>
        <v>3000</v>
      </c>
      <c r="N622" s="70">
        <f t="shared" si="11"/>
        <v>21000</v>
      </c>
      <c r="T622" s="5" t="s">
        <v>1033</v>
      </c>
    </row>
    <row r="623" spans="2:20" ht="21" customHeight="1">
      <c r="B623" s="77" t="s">
        <v>1031</v>
      </c>
      <c r="C623" s="68"/>
      <c r="D623" s="68"/>
      <c r="E623" s="68"/>
      <c r="F623" s="68"/>
      <c r="G623" s="68"/>
      <c r="H623" s="68"/>
      <c r="I623" s="68"/>
      <c r="J623" s="112" t="s">
        <v>256</v>
      </c>
      <c r="K623" s="69"/>
      <c r="L623" s="70"/>
      <c r="M623" s="70"/>
      <c r="N623" s="70"/>
      <c r="T623" s="5" t="s">
        <v>1034</v>
      </c>
    </row>
    <row r="624" spans="1:20" ht="21" customHeight="1">
      <c r="A624" s="57">
        <f>A622+1</f>
        <v>333</v>
      </c>
      <c r="B624" s="67" t="s">
        <v>871</v>
      </c>
      <c r="C624" s="68">
        <v>6</v>
      </c>
      <c r="D624" s="68">
        <v>5</v>
      </c>
      <c r="E624" s="68">
        <v>3</v>
      </c>
      <c r="F624" s="68"/>
      <c r="G624" s="68"/>
      <c r="H624" s="68"/>
      <c r="I624" s="68"/>
      <c r="K624" s="69">
        <v>2</v>
      </c>
      <c r="L624" s="70">
        <v>300</v>
      </c>
      <c r="M624" s="70">
        <f t="shared" si="10"/>
        <v>1500</v>
      </c>
      <c r="N624" s="70">
        <f t="shared" si="11"/>
        <v>10500</v>
      </c>
      <c r="T624" s="5" t="s">
        <v>335</v>
      </c>
    </row>
    <row r="625" spans="2:20" ht="21" customHeight="1">
      <c r="B625" s="67" t="s">
        <v>871</v>
      </c>
      <c r="C625" s="68"/>
      <c r="D625" s="68"/>
      <c r="E625" s="68"/>
      <c r="F625" s="68"/>
      <c r="G625" s="68"/>
      <c r="H625" s="68"/>
      <c r="I625" s="68"/>
      <c r="K625" s="69"/>
      <c r="L625" s="70"/>
      <c r="M625" s="70"/>
      <c r="N625" s="70"/>
      <c r="T625" s="5" t="s">
        <v>551</v>
      </c>
    </row>
    <row r="626" spans="1:20" ht="21" customHeight="1">
      <c r="A626" s="57">
        <f>A624+1</f>
        <v>334</v>
      </c>
      <c r="B626" s="77" t="s">
        <v>872</v>
      </c>
      <c r="C626" s="68">
        <v>4</v>
      </c>
      <c r="D626" s="68">
        <v>2</v>
      </c>
      <c r="E626" s="68"/>
      <c r="F626" s="68"/>
      <c r="G626" s="68"/>
      <c r="H626" s="68"/>
      <c r="I626" s="68"/>
      <c r="J626" s="112" t="s">
        <v>257</v>
      </c>
      <c r="K626" s="69">
        <v>1</v>
      </c>
      <c r="L626" s="70">
        <v>425</v>
      </c>
      <c r="M626" s="70">
        <f t="shared" si="10"/>
        <v>2125</v>
      </c>
      <c r="N626" s="70">
        <f t="shared" si="11"/>
        <v>14875</v>
      </c>
      <c r="T626" s="5" t="s">
        <v>1048</v>
      </c>
    </row>
    <row r="627" spans="1:20" ht="21" customHeight="1">
      <c r="A627" s="57">
        <f>A626+1</f>
        <v>335</v>
      </c>
      <c r="B627" s="77" t="s">
        <v>873</v>
      </c>
      <c r="C627" s="68">
        <v>7</v>
      </c>
      <c r="D627" s="68">
        <v>6</v>
      </c>
      <c r="E627" s="68"/>
      <c r="F627" s="68"/>
      <c r="G627" s="68"/>
      <c r="H627" s="68"/>
      <c r="I627" s="68"/>
      <c r="J627" s="112" t="s">
        <v>258</v>
      </c>
      <c r="K627" s="69">
        <v>2</v>
      </c>
      <c r="L627" s="70">
        <f>135+105</f>
        <v>240</v>
      </c>
      <c r="M627" s="70">
        <f t="shared" si="10"/>
        <v>1200</v>
      </c>
      <c r="N627" s="70">
        <f t="shared" si="11"/>
        <v>8400</v>
      </c>
      <c r="T627" s="5" t="s">
        <v>335</v>
      </c>
    </row>
    <row r="628" spans="2:20" ht="21" customHeight="1">
      <c r="B628" s="77" t="s">
        <v>873</v>
      </c>
      <c r="C628" s="68"/>
      <c r="D628" s="68"/>
      <c r="E628" s="68"/>
      <c r="F628" s="68"/>
      <c r="G628" s="68"/>
      <c r="H628" s="68"/>
      <c r="I628" s="68"/>
      <c r="J628" s="112" t="s">
        <v>258</v>
      </c>
      <c r="K628" s="69"/>
      <c r="L628" s="70"/>
      <c r="M628" s="70"/>
      <c r="N628" s="70"/>
      <c r="T628" s="5" t="s">
        <v>320</v>
      </c>
    </row>
    <row r="629" spans="1:20" ht="21" customHeight="1">
      <c r="A629" s="57">
        <f>A627+1</f>
        <v>336</v>
      </c>
      <c r="B629" s="77" t="s">
        <v>424</v>
      </c>
      <c r="C629" s="68">
        <v>7</v>
      </c>
      <c r="D629" s="68">
        <v>6</v>
      </c>
      <c r="E629" s="68">
        <v>5</v>
      </c>
      <c r="F629" s="68"/>
      <c r="G629" s="68"/>
      <c r="H629" s="68"/>
      <c r="I629" s="68"/>
      <c r="J629" s="112" t="s">
        <v>460</v>
      </c>
      <c r="K629" s="69">
        <v>2</v>
      </c>
      <c r="L629" s="70">
        <f>105+115</f>
        <v>220</v>
      </c>
      <c r="M629" s="70">
        <f t="shared" si="10"/>
        <v>1100</v>
      </c>
      <c r="N629" s="70">
        <f t="shared" si="11"/>
        <v>7700</v>
      </c>
      <c r="T629" s="5" t="s">
        <v>562</v>
      </c>
    </row>
    <row r="630" spans="2:20" ht="21" customHeight="1">
      <c r="B630" s="77" t="s">
        <v>424</v>
      </c>
      <c r="C630" s="68"/>
      <c r="D630" s="68"/>
      <c r="E630" s="68"/>
      <c r="F630" s="68"/>
      <c r="G630" s="68"/>
      <c r="H630" s="68"/>
      <c r="I630" s="68"/>
      <c r="J630" s="112" t="s">
        <v>460</v>
      </c>
      <c r="K630" s="69"/>
      <c r="L630" s="70"/>
      <c r="M630" s="70"/>
      <c r="N630" s="70"/>
      <c r="T630" s="5" t="s">
        <v>551</v>
      </c>
    </row>
    <row r="631" spans="1:20" ht="21" customHeight="1">
      <c r="A631" s="57">
        <f>A629+1</f>
        <v>337</v>
      </c>
      <c r="B631" s="67" t="s">
        <v>874</v>
      </c>
      <c r="C631" s="68">
        <v>6</v>
      </c>
      <c r="D631" s="68">
        <v>5</v>
      </c>
      <c r="E631" s="68">
        <v>4</v>
      </c>
      <c r="F631" s="68"/>
      <c r="G631" s="68"/>
      <c r="H631" s="68"/>
      <c r="I631" s="68"/>
      <c r="J631" s="112" t="s">
        <v>259</v>
      </c>
      <c r="K631" s="69">
        <v>2</v>
      </c>
      <c r="L631" s="70">
        <f>170+99</f>
        <v>269</v>
      </c>
      <c r="M631" s="70">
        <f t="shared" si="10"/>
        <v>1345</v>
      </c>
      <c r="N631" s="70">
        <f t="shared" si="11"/>
        <v>9415</v>
      </c>
      <c r="T631" s="5" t="s">
        <v>335</v>
      </c>
    </row>
    <row r="632" spans="2:20" ht="21" customHeight="1">
      <c r="B632" s="67" t="s">
        <v>874</v>
      </c>
      <c r="C632" s="68"/>
      <c r="D632" s="68"/>
      <c r="E632" s="68"/>
      <c r="F632" s="68"/>
      <c r="G632" s="68"/>
      <c r="H632" s="68"/>
      <c r="I632" s="68"/>
      <c r="J632" s="112" t="s">
        <v>259</v>
      </c>
      <c r="K632" s="69"/>
      <c r="L632" s="70"/>
      <c r="M632" s="70"/>
      <c r="N632" s="70"/>
      <c r="T632" s="5" t="s">
        <v>551</v>
      </c>
    </row>
    <row r="633" spans="1:20" ht="21" customHeight="1">
      <c r="A633" s="57">
        <f>A631+1</f>
        <v>338</v>
      </c>
      <c r="B633" s="67" t="s">
        <v>892</v>
      </c>
      <c r="C633" s="68">
        <v>7</v>
      </c>
      <c r="D633" s="68">
        <v>6</v>
      </c>
      <c r="E633" s="68">
        <v>5</v>
      </c>
      <c r="F633" s="68"/>
      <c r="G633" s="68"/>
      <c r="H633" s="68"/>
      <c r="I633" s="126"/>
      <c r="J633" s="140"/>
      <c r="K633" s="62"/>
      <c r="L633" s="62"/>
      <c r="M633" s="62"/>
      <c r="N633" s="62"/>
      <c r="O633" s="62"/>
      <c r="P633" s="62"/>
      <c r="Q633" s="62"/>
      <c r="T633" s="5" t="s">
        <v>335</v>
      </c>
    </row>
    <row r="634" spans="2:20" ht="21" customHeight="1">
      <c r="B634" s="67" t="s">
        <v>892</v>
      </c>
      <c r="C634" s="68"/>
      <c r="D634" s="68"/>
      <c r="E634" s="68"/>
      <c r="F634" s="68"/>
      <c r="G634" s="68"/>
      <c r="H634" s="68"/>
      <c r="I634" s="126"/>
      <c r="J634" s="140"/>
      <c r="K634" s="62"/>
      <c r="L634" s="62"/>
      <c r="M634" s="62"/>
      <c r="N634" s="62"/>
      <c r="O634" s="62"/>
      <c r="P634" s="62"/>
      <c r="Q634" s="62"/>
      <c r="T634" s="5" t="s">
        <v>133</v>
      </c>
    </row>
    <row r="635" spans="1:20" ht="21" customHeight="1">
      <c r="A635" s="57">
        <f>A633+1</f>
        <v>339</v>
      </c>
      <c r="B635" s="77" t="s">
        <v>875</v>
      </c>
      <c r="C635" s="68">
        <v>7</v>
      </c>
      <c r="D635" s="68">
        <v>6</v>
      </c>
      <c r="E635" s="68">
        <v>5</v>
      </c>
      <c r="F635" s="68"/>
      <c r="G635" s="68"/>
      <c r="H635" s="68"/>
      <c r="I635" s="68"/>
      <c r="J635" s="69" t="s">
        <v>1111</v>
      </c>
      <c r="K635" s="80">
        <v>2</v>
      </c>
      <c r="L635" s="81">
        <f>143+133</f>
        <v>276</v>
      </c>
      <c r="M635" s="70">
        <f>L635*5</f>
        <v>1380</v>
      </c>
      <c r="N635" s="70">
        <f>M635*7</f>
        <v>9660</v>
      </c>
      <c r="T635" s="5" t="s">
        <v>564</v>
      </c>
    </row>
    <row r="636" spans="2:20" ht="21" customHeight="1">
      <c r="B636" s="77" t="s">
        <v>875</v>
      </c>
      <c r="C636" s="68"/>
      <c r="D636" s="68"/>
      <c r="E636" s="68"/>
      <c r="F636" s="68"/>
      <c r="G636" s="68"/>
      <c r="H636" s="68"/>
      <c r="I636" s="68"/>
      <c r="J636" s="69" t="s">
        <v>1111</v>
      </c>
      <c r="M636" s="70"/>
      <c r="N636" s="70"/>
      <c r="T636" s="5" t="s">
        <v>393</v>
      </c>
    </row>
    <row r="637" spans="1:20" ht="21" customHeight="1">
      <c r="A637" s="57">
        <f>A635+1</f>
        <v>340</v>
      </c>
      <c r="B637" s="67" t="s">
        <v>1155</v>
      </c>
      <c r="C637" s="68">
        <v>7</v>
      </c>
      <c r="D637" s="68">
        <v>6</v>
      </c>
      <c r="E637" s="68">
        <v>5</v>
      </c>
      <c r="F637" s="68"/>
      <c r="G637" s="68"/>
      <c r="H637" s="68"/>
      <c r="I637" s="68"/>
      <c r="J637" s="69" t="s">
        <v>663</v>
      </c>
      <c r="K637" s="69">
        <v>2</v>
      </c>
      <c r="L637" s="70">
        <f>94+52</f>
        <v>146</v>
      </c>
      <c r="M637" s="70">
        <f t="shared" si="10"/>
        <v>730</v>
      </c>
      <c r="N637" s="70">
        <f t="shared" si="11"/>
        <v>5110</v>
      </c>
      <c r="T637" s="5" t="s">
        <v>745</v>
      </c>
    </row>
    <row r="638" spans="2:20" ht="21" customHeight="1">
      <c r="B638" s="67" t="s">
        <v>1155</v>
      </c>
      <c r="C638" s="68">
        <v>7</v>
      </c>
      <c r="D638" s="68">
        <v>6</v>
      </c>
      <c r="E638" s="68">
        <v>5</v>
      </c>
      <c r="F638" s="68"/>
      <c r="G638" s="68"/>
      <c r="H638" s="68"/>
      <c r="I638" s="68"/>
      <c r="J638" s="69" t="s">
        <v>663</v>
      </c>
      <c r="K638" s="69"/>
      <c r="L638" s="70"/>
      <c r="M638" s="70"/>
      <c r="N638" s="70"/>
      <c r="T638" s="5" t="s">
        <v>181</v>
      </c>
    </row>
    <row r="639" spans="1:20" ht="21" customHeight="1">
      <c r="A639" s="57">
        <f>A637+1</f>
        <v>341</v>
      </c>
      <c r="B639" s="67" t="s">
        <v>928</v>
      </c>
      <c r="C639" s="68">
        <v>7</v>
      </c>
      <c r="D639" s="68">
        <v>6</v>
      </c>
      <c r="E639" s="68"/>
      <c r="F639" s="68"/>
      <c r="G639" s="68"/>
      <c r="H639" s="68"/>
      <c r="I639" s="68"/>
      <c r="J639" s="69" t="s">
        <v>129</v>
      </c>
      <c r="K639" s="69">
        <v>2</v>
      </c>
      <c r="L639" s="70">
        <f>104+96</f>
        <v>200</v>
      </c>
      <c r="M639" s="70">
        <f t="shared" si="10"/>
        <v>1000</v>
      </c>
      <c r="N639" s="70">
        <f t="shared" si="11"/>
        <v>7000</v>
      </c>
      <c r="T639" s="5" t="s">
        <v>335</v>
      </c>
    </row>
    <row r="640" spans="2:20" ht="21" customHeight="1">
      <c r="B640" s="67" t="s">
        <v>928</v>
      </c>
      <c r="C640" s="68"/>
      <c r="D640" s="68"/>
      <c r="E640" s="68"/>
      <c r="F640" s="68"/>
      <c r="G640" s="68"/>
      <c r="H640" s="68"/>
      <c r="I640" s="68"/>
      <c r="J640" s="69" t="s">
        <v>129</v>
      </c>
      <c r="K640" s="69"/>
      <c r="L640" s="70"/>
      <c r="M640" s="70"/>
      <c r="N640" s="70"/>
      <c r="T640" s="5" t="s">
        <v>551</v>
      </c>
    </row>
    <row r="641" spans="1:20" ht="21" customHeight="1">
      <c r="A641" s="57">
        <f>A639+1</f>
        <v>342</v>
      </c>
      <c r="B641" s="67" t="s">
        <v>362</v>
      </c>
      <c r="C641" s="68">
        <v>8</v>
      </c>
      <c r="D641" s="68">
        <v>7</v>
      </c>
      <c r="E641" s="68">
        <v>6</v>
      </c>
      <c r="F641" s="68"/>
      <c r="G641" s="68"/>
      <c r="H641" s="68"/>
      <c r="I641" s="68"/>
      <c r="J641" s="112" t="s">
        <v>346</v>
      </c>
      <c r="K641" s="69">
        <v>2</v>
      </c>
      <c r="L641" s="70">
        <f>220+83</f>
        <v>303</v>
      </c>
      <c r="M641" s="70">
        <f t="shared" si="10"/>
        <v>1515</v>
      </c>
      <c r="N641" s="70">
        <f t="shared" si="11"/>
        <v>10605</v>
      </c>
      <c r="T641" s="5" t="s">
        <v>335</v>
      </c>
    </row>
    <row r="642" spans="2:20" ht="21" customHeight="1">
      <c r="B642" s="67" t="s">
        <v>362</v>
      </c>
      <c r="C642" s="68"/>
      <c r="D642" s="68"/>
      <c r="E642" s="68"/>
      <c r="F642" s="68"/>
      <c r="G642" s="68"/>
      <c r="H642" s="68"/>
      <c r="I642" s="68"/>
      <c r="J642" s="112" t="s">
        <v>346</v>
      </c>
      <c r="K642" s="69"/>
      <c r="L642" s="70"/>
      <c r="M642" s="70"/>
      <c r="N642" s="70"/>
      <c r="T642" s="5" t="s">
        <v>551</v>
      </c>
    </row>
    <row r="643" spans="1:20" ht="21" customHeight="1">
      <c r="A643" s="57">
        <f>A641+1</f>
        <v>343</v>
      </c>
      <c r="B643" s="77" t="s">
        <v>876</v>
      </c>
      <c r="C643" s="68">
        <v>8</v>
      </c>
      <c r="D643" s="68">
        <v>7</v>
      </c>
      <c r="E643" s="68">
        <v>6</v>
      </c>
      <c r="F643" s="68"/>
      <c r="G643" s="68"/>
      <c r="H643" s="68"/>
      <c r="I643" s="68"/>
      <c r="J643" s="112" t="s">
        <v>260</v>
      </c>
      <c r="K643" s="69">
        <v>2</v>
      </c>
      <c r="L643" s="70">
        <f>249+102</f>
        <v>351</v>
      </c>
      <c r="M643" s="70">
        <f t="shared" si="10"/>
        <v>1755</v>
      </c>
      <c r="N643" s="70">
        <f t="shared" si="11"/>
        <v>12285</v>
      </c>
      <c r="T643" s="5" t="s">
        <v>91</v>
      </c>
    </row>
    <row r="644" spans="2:20" ht="21" customHeight="1">
      <c r="B644" s="77" t="s">
        <v>876</v>
      </c>
      <c r="C644" s="68"/>
      <c r="D644" s="68"/>
      <c r="E644" s="68"/>
      <c r="F644" s="68"/>
      <c r="G644" s="68"/>
      <c r="H644" s="68"/>
      <c r="I644" s="68"/>
      <c r="J644" s="112" t="s">
        <v>260</v>
      </c>
      <c r="K644" s="69"/>
      <c r="L644" s="70"/>
      <c r="M644" s="70"/>
      <c r="N644" s="70"/>
      <c r="T644" s="5" t="s">
        <v>92</v>
      </c>
    </row>
    <row r="645" spans="1:20" ht="21" customHeight="1">
      <c r="A645" s="57">
        <f>A643+1</f>
        <v>344</v>
      </c>
      <c r="B645" s="77" t="s">
        <v>877</v>
      </c>
      <c r="C645" s="68">
        <v>8</v>
      </c>
      <c r="D645" s="68">
        <v>6</v>
      </c>
      <c r="E645" s="68"/>
      <c r="F645" s="68"/>
      <c r="G645" s="68"/>
      <c r="H645" s="68"/>
      <c r="I645" s="68"/>
      <c r="J645" s="69" t="s">
        <v>1117</v>
      </c>
      <c r="K645" s="69">
        <v>2</v>
      </c>
      <c r="L645" s="70">
        <f>137+108</f>
        <v>245</v>
      </c>
      <c r="M645" s="70">
        <f t="shared" si="10"/>
        <v>1225</v>
      </c>
      <c r="N645" s="70">
        <f t="shared" si="11"/>
        <v>8575</v>
      </c>
      <c r="T645" s="5" t="s">
        <v>312</v>
      </c>
    </row>
    <row r="646" spans="2:20" ht="21" customHeight="1">
      <c r="B646" s="77" t="s">
        <v>877</v>
      </c>
      <c r="C646" s="68"/>
      <c r="D646" s="68"/>
      <c r="E646" s="68"/>
      <c r="F646" s="68"/>
      <c r="G646" s="68"/>
      <c r="H646" s="68"/>
      <c r="I646" s="68"/>
      <c r="J646" s="69" t="s">
        <v>1117</v>
      </c>
      <c r="K646" s="69"/>
      <c r="L646" s="70"/>
      <c r="M646" s="70"/>
      <c r="N646" s="70"/>
      <c r="T646" s="5" t="s">
        <v>1004</v>
      </c>
    </row>
    <row r="647" spans="1:20" ht="21" customHeight="1">
      <c r="A647" s="57">
        <f>A645+1</f>
        <v>345</v>
      </c>
      <c r="B647" s="77" t="s">
        <v>1022</v>
      </c>
      <c r="C647" s="68">
        <v>8</v>
      </c>
      <c r="D647" s="68">
        <v>7</v>
      </c>
      <c r="E647" s="68"/>
      <c r="F647" s="68"/>
      <c r="G647" s="68"/>
      <c r="H647" s="68"/>
      <c r="I647" s="68"/>
      <c r="J647" s="69" t="s">
        <v>1021</v>
      </c>
      <c r="K647" s="69">
        <v>2</v>
      </c>
      <c r="L647" s="70">
        <f>166+77</f>
        <v>243</v>
      </c>
      <c r="M647" s="70">
        <f t="shared" si="10"/>
        <v>1215</v>
      </c>
      <c r="N647" s="70">
        <f t="shared" si="11"/>
        <v>8505</v>
      </c>
      <c r="T647" s="5" t="s">
        <v>562</v>
      </c>
    </row>
    <row r="648" spans="2:20" ht="21" customHeight="1">
      <c r="B648" s="77" t="s">
        <v>1022</v>
      </c>
      <c r="C648" s="68"/>
      <c r="D648" s="68"/>
      <c r="E648" s="68"/>
      <c r="F648" s="68"/>
      <c r="G648" s="68"/>
      <c r="H648" s="68"/>
      <c r="I648" s="68"/>
      <c r="J648" s="69" t="s">
        <v>1021</v>
      </c>
      <c r="K648" s="69"/>
      <c r="L648" s="70"/>
      <c r="M648" s="70"/>
      <c r="N648" s="70"/>
      <c r="T648" s="5" t="s">
        <v>551</v>
      </c>
    </row>
    <row r="649" spans="1:20" ht="21" customHeight="1">
      <c r="A649" s="57">
        <f>A647+1</f>
        <v>346</v>
      </c>
      <c r="B649" s="77" t="s">
        <v>425</v>
      </c>
      <c r="C649" s="68">
        <v>8</v>
      </c>
      <c r="D649" s="68">
        <v>7</v>
      </c>
      <c r="E649" s="68"/>
      <c r="F649" s="68"/>
      <c r="G649" s="68"/>
      <c r="H649" s="68"/>
      <c r="I649" s="68"/>
      <c r="J649" s="69" t="s">
        <v>392</v>
      </c>
      <c r="K649" s="69">
        <v>2</v>
      </c>
      <c r="L649" s="69">
        <v>200</v>
      </c>
      <c r="M649" s="70">
        <f t="shared" si="10"/>
        <v>1000</v>
      </c>
      <c r="N649" s="70">
        <f t="shared" si="11"/>
        <v>7000</v>
      </c>
      <c r="T649" s="5" t="s">
        <v>1023</v>
      </c>
    </row>
    <row r="650" spans="2:20" ht="21" customHeight="1">
      <c r="B650" s="77" t="s">
        <v>425</v>
      </c>
      <c r="C650" s="68"/>
      <c r="D650" s="68"/>
      <c r="E650" s="68"/>
      <c r="F650" s="68"/>
      <c r="G650" s="68"/>
      <c r="H650" s="68"/>
      <c r="I650" s="68"/>
      <c r="J650" s="69" t="s">
        <v>392</v>
      </c>
      <c r="K650" s="69"/>
      <c r="L650" s="69"/>
      <c r="M650" s="70"/>
      <c r="N650" s="70"/>
      <c r="T650" s="5" t="s">
        <v>312</v>
      </c>
    </row>
    <row r="651" spans="1:20" ht="21" customHeight="1">
      <c r="A651" s="57">
        <f>A649+1</f>
        <v>347</v>
      </c>
      <c r="B651" s="77" t="s">
        <v>327</v>
      </c>
      <c r="C651" s="68">
        <v>8</v>
      </c>
      <c r="D651" s="68">
        <v>7</v>
      </c>
      <c r="E651" s="68">
        <v>6</v>
      </c>
      <c r="F651" s="68"/>
      <c r="G651" s="68"/>
      <c r="H651" s="68"/>
      <c r="I651" s="68"/>
      <c r="J651" s="112" t="s">
        <v>345</v>
      </c>
      <c r="K651" s="69">
        <v>2</v>
      </c>
      <c r="L651" s="70">
        <f>200+160</f>
        <v>360</v>
      </c>
      <c r="M651" s="70">
        <f t="shared" si="10"/>
        <v>1800</v>
      </c>
      <c r="N651" s="70">
        <f t="shared" si="11"/>
        <v>12600</v>
      </c>
      <c r="T651" s="5" t="s">
        <v>954</v>
      </c>
    </row>
    <row r="652" spans="2:20" ht="21" customHeight="1">
      <c r="B652" s="77" t="s">
        <v>327</v>
      </c>
      <c r="C652" s="68"/>
      <c r="D652" s="68"/>
      <c r="E652" s="68"/>
      <c r="F652" s="68"/>
      <c r="G652" s="68"/>
      <c r="H652" s="68"/>
      <c r="I652" s="68"/>
      <c r="J652" s="112" t="s">
        <v>345</v>
      </c>
      <c r="K652" s="69"/>
      <c r="L652" s="70"/>
      <c r="M652" s="70"/>
      <c r="N652" s="70"/>
      <c r="T652" s="5" t="s">
        <v>955</v>
      </c>
    </row>
    <row r="653" spans="1:20" ht="21" customHeight="1">
      <c r="A653" s="57">
        <f>A651+1</f>
        <v>348</v>
      </c>
      <c r="B653" s="77" t="s">
        <v>330</v>
      </c>
      <c r="C653" s="68">
        <v>7</v>
      </c>
      <c r="D653" s="68">
        <v>6</v>
      </c>
      <c r="E653" s="68">
        <v>5</v>
      </c>
      <c r="F653" s="68"/>
      <c r="G653" s="68"/>
      <c r="H653" s="68"/>
      <c r="I653" s="68"/>
      <c r="J653" s="69" t="s">
        <v>333</v>
      </c>
      <c r="K653" s="69">
        <v>2</v>
      </c>
      <c r="L653" s="70">
        <f>215+142</f>
        <v>357</v>
      </c>
      <c r="M653" s="70">
        <f t="shared" si="10"/>
        <v>1785</v>
      </c>
      <c r="N653" s="70">
        <f t="shared" si="11"/>
        <v>12495</v>
      </c>
      <c r="O653" s="60"/>
      <c r="T653" s="5" t="s">
        <v>475</v>
      </c>
    </row>
    <row r="654" spans="2:20" ht="21" customHeight="1">
      <c r="B654" s="77" t="s">
        <v>330</v>
      </c>
      <c r="C654" s="68"/>
      <c r="D654" s="68"/>
      <c r="E654" s="68"/>
      <c r="F654" s="68"/>
      <c r="G654" s="68"/>
      <c r="H654" s="68"/>
      <c r="I654" s="68"/>
      <c r="J654" s="69" t="s">
        <v>333</v>
      </c>
      <c r="K654" s="69"/>
      <c r="L654" s="70"/>
      <c r="M654" s="70"/>
      <c r="N654" s="70"/>
      <c r="O654" s="60"/>
      <c r="T654" s="5" t="s">
        <v>1012</v>
      </c>
    </row>
    <row r="655" spans="2:20" ht="21" customHeight="1">
      <c r="B655" s="77" t="s">
        <v>330</v>
      </c>
      <c r="C655" s="68"/>
      <c r="D655" s="68"/>
      <c r="E655" s="68"/>
      <c r="F655" s="68"/>
      <c r="G655" s="68"/>
      <c r="H655" s="68"/>
      <c r="I655" s="68"/>
      <c r="J655" s="69" t="s">
        <v>333</v>
      </c>
      <c r="K655" s="69"/>
      <c r="L655" s="70"/>
      <c r="M655" s="70"/>
      <c r="N655" s="70"/>
      <c r="O655" s="60"/>
      <c r="T655" s="5" t="s">
        <v>1013</v>
      </c>
    </row>
    <row r="656" spans="1:20" ht="21" customHeight="1">
      <c r="A656" s="57">
        <f>A653+1</f>
        <v>349</v>
      </c>
      <c r="B656" s="67" t="s">
        <v>1156</v>
      </c>
      <c r="C656" s="68">
        <v>11</v>
      </c>
      <c r="D656" s="68">
        <v>9</v>
      </c>
      <c r="E656" s="68">
        <v>8</v>
      </c>
      <c r="F656" s="68">
        <v>6</v>
      </c>
      <c r="G656" s="68"/>
      <c r="H656" s="68"/>
      <c r="I656" s="68"/>
      <c r="J656" s="69" t="s">
        <v>1157</v>
      </c>
      <c r="K656" s="69">
        <v>2</v>
      </c>
      <c r="L656" s="70">
        <f>191+110</f>
        <v>301</v>
      </c>
      <c r="M656" s="70">
        <f t="shared" si="10"/>
        <v>1505</v>
      </c>
      <c r="N656" s="70">
        <f t="shared" si="11"/>
        <v>10535</v>
      </c>
      <c r="O656" s="60"/>
      <c r="P656" s="61"/>
      <c r="Q656" s="60"/>
      <c r="T656" s="5" t="s">
        <v>191</v>
      </c>
    </row>
    <row r="657" spans="2:20" ht="21" customHeight="1">
      <c r="B657" s="67" t="s">
        <v>1156</v>
      </c>
      <c r="C657" s="68">
        <v>11</v>
      </c>
      <c r="D657" s="68">
        <v>9</v>
      </c>
      <c r="E657" s="68">
        <v>8</v>
      </c>
      <c r="F657" s="68">
        <v>6</v>
      </c>
      <c r="G657" s="68"/>
      <c r="H657" s="68"/>
      <c r="I657" s="68"/>
      <c r="J657" s="69" t="s">
        <v>1157</v>
      </c>
      <c r="K657" s="69"/>
      <c r="L657" s="70"/>
      <c r="M657" s="70"/>
      <c r="N657" s="70"/>
      <c r="O657" s="60"/>
      <c r="P657" s="61"/>
      <c r="Q657" s="60"/>
      <c r="T657" s="5" t="s">
        <v>97</v>
      </c>
    </row>
    <row r="658" spans="1:20" ht="21" customHeight="1">
      <c r="A658" s="57">
        <f>A656+1</f>
        <v>350</v>
      </c>
      <c r="B658" s="67" t="s">
        <v>929</v>
      </c>
      <c r="C658" s="68">
        <v>6</v>
      </c>
      <c r="D658" s="68"/>
      <c r="E658" s="68"/>
      <c r="F658" s="68"/>
      <c r="G658" s="68"/>
      <c r="H658" s="68"/>
      <c r="I658" s="68"/>
      <c r="J658" s="112" t="s">
        <v>261</v>
      </c>
      <c r="K658" s="69">
        <v>1</v>
      </c>
      <c r="L658" s="70">
        <v>284</v>
      </c>
      <c r="M658" s="70">
        <f t="shared" si="10"/>
        <v>1420</v>
      </c>
      <c r="N658" s="70">
        <f t="shared" si="11"/>
        <v>9940</v>
      </c>
      <c r="T658" s="5" t="s">
        <v>130</v>
      </c>
    </row>
    <row r="659" spans="1:20" ht="21" customHeight="1">
      <c r="A659" s="57">
        <f>A658+1</f>
        <v>351</v>
      </c>
      <c r="B659" s="67" t="s">
        <v>878</v>
      </c>
      <c r="C659" s="68">
        <v>7</v>
      </c>
      <c r="D659" s="68">
        <v>6</v>
      </c>
      <c r="E659" s="68">
        <v>3.5</v>
      </c>
      <c r="F659" s="68"/>
      <c r="G659" s="68"/>
      <c r="H659" s="68"/>
      <c r="I659" s="68"/>
      <c r="J659" s="112" t="s">
        <v>262</v>
      </c>
      <c r="K659" s="69">
        <v>1</v>
      </c>
      <c r="L659" s="70">
        <v>100</v>
      </c>
      <c r="M659" s="70">
        <f t="shared" si="10"/>
        <v>500</v>
      </c>
      <c r="N659" s="70">
        <f t="shared" si="11"/>
        <v>3500</v>
      </c>
      <c r="T659" s="5" t="s">
        <v>105</v>
      </c>
    </row>
    <row r="660" spans="1:20" ht="21" customHeight="1">
      <c r="A660" s="57">
        <f>A659+1</f>
        <v>352</v>
      </c>
      <c r="B660" s="67" t="s">
        <v>879</v>
      </c>
      <c r="C660" s="68">
        <v>7</v>
      </c>
      <c r="D660" s="68">
        <v>6</v>
      </c>
      <c r="E660" s="68">
        <v>5</v>
      </c>
      <c r="F660" s="68"/>
      <c r="G660" s="68"/>
      <c r="H660" s="68"/>
      <c r="I660" s="68"/>
      <c r="J660" s="112" t="s">
        <v>263</v>
      </c>
      <c r="K660" s="69">
        <v>2</v>
      </c>
      <c r="L660" s="70">
        <f>170+105</f>
        <v>275</v>
      </c>
      <c r="M660" s="70">
        <f t="shared" si="10"/>
        <v>1375</v>
      </c>
      <c r="N660" s="70">
        <f t="shared" si="11"/>
        <v>9625</v>
      </c>
      <c r="T660" s="5" t="s">
        <v>335</v>
      </c>
    </row>
    <row r="661" spans="2:20" ht="21" customHeight="1">
      <c r="B661" s="67" t="s">
        <v>879</v>
      </c>
      <c r="C661" s="68"/>
      <c r="D661" s="68"/>
      <c r="E661" s="68"/>
      <c r="F661" s="68"/>
      <c r="G661" s="68"/>
      <c r="H661" s="68"/>
      <c r="I661" s="68"/>
      <c r="J661" s="112" t="s">
        <v>263</v>
      </c>
      <c r="K661" s="69"/>
      <c r="L661" s="70"/>
      <c r="M661" s="70"/>
      <c r="N661" s="70"/>
      <c r="T661" s="5" t="s">
        <v>320</v>
      </c>
    </row>
    <row r="662" spans="1:20" ht="21" customHeight="1">
      <c r="A662" s="57">
        <f>A660+1</f>
        <v>353</v>
      </c>
      <c r="B662" s="67" t="s">
        <v>473</v>
      </c>
      <c r="C662" s="68">
        <v>7</v>
      </c>
      <c r="D662" s="68">
        <v>6</v>
      </c>
      <c r="E662" s="68">
        <v>5</v>
      </c>
      <c r="F662" s="68"/>
      <c r="G662" s="68"/>
      <c r="H662" s="68"/>
      <c r="I662" s="68"/>
      <c r="J662" s="69" t="s">
        <v>671</v>
      </c>
      <c r="K662" s="69">
        <v>1</v>
      </c>
      <c r="L662" s="70">
        <f>178</f>
        <v>178</v>
      </c>
      <c r="M662" s="70">
        <f t="shared" si="10"/>
        <v>890</v>
      </c>
      <c r="N662" s="70">
        <f t="shared" si="11"/>
        <v>6230</v>
      </c>
      <c r="T662" s="5" t="s">
        <v>478</v>
      </c>
    </row>
    <row r="663" spans="2:20" ht="21" customHeight="1">
      <c r="B663" s="67" t="s">
        <v>473</v>
      </c>
      <c r="C663" s="68"/>
      <c r="D663" s="68"/>
      <c r="E663" s="68"/>
      <c r="F663" s="68"/>
      <c r="G663" s="68"/>
      <c r="H663" s="68"/>
      <c r="I663" s="68"/>
      <c r="J663" s="69" t="s">
        <v>671</v>
      </c>
      <c r="K663" s="69"/>
      <c r="L663" s="70"/>
      <c r="M663" s="70"/>
      <c r="N663" s="70"/>
      <c r="T663" s="5" t="s">
        <v>390</v>
      </c>
    </row>
    <row r="664" spans="1:20" ht="21" customHeight="1">
      <c r="A664" s="57">
        <f>A662+1</f>
        <v>354</v>
      </c>
      <c r="B664" s="77" t="s">
        <v>880</v>
      </c>
      <c r="C664" s="68">
        <v>7</v>
      </c>
      <c r="D664" s="68">
        <v>6</v>
      </c>
      <c r="E664" s="68"/>
      <c r="F664" s="68"/>
      <c r="G664" s="68"/>
      <c r="H664" s="68"/>
      <c r="I664" s="68"/>
      <c r="J664" s="112" t="s">
        <v>705</v>
      </c>
      <c r="K664" s="69">
        <v>2</v>
      </c>
      <c r="L664" s="70">
        <f>98+90</f>
        <v>188</v>
      </c>
      <c r="M664" s="70">
        <f t="shared" si="10"/>
        <v>940</v>
      </c>
      <c r="N664" s="70">
        <f t="shared" si="11"/>
        <v>6580</v>
      </c>
      <c r="T664" s="5" t="s">
        <v>138</v>
      </c>
    </row>
    <row r="665" spans="2:20" ht="21" customHeight="1">
      <c r="B665" s="77" t="s">
        <v>880</v>
      </c>
      <c r="C665" s="68"/>
      <c r="D665" s="68"/>
      <c r="E665" s="68"/>
      <c r="F665" s="68"/>
      <c r="G665" s="68"/>
      <c r="H665" s="68"/>
      <c r="I665" s="68"/>
      <c r="J665" s="112" t="s">
        <v>705</v>
      </c>
      <c r="K665" s="69"/>
      <c r="L665" s="70"/>
      <c r="M665" s="70"/>
      <c r="N665" s="70"/>
      <c r="T665" s="5" t="s">
        <v>137</v>
      </c>
    </row>
    <row r="666" spans="1:20" ht="21" customHeight="1">
      <c r="A666" s="57">
        <f>A664+1</f>
        <v>355</v>
      </c>
      <c r="B666" s="77" t="s">
        <v>881</v>
      </c>
      <c r="C666" s="68">
        <v>7</v>
      </c>
      <c r="D666" s="68">
        <v>6</v>
      </c>
      <c r="E666" s="68"/>
      <c r="F666" s="68"/>
      <c r="G666" s="68"/>
      <c r="H666" s="68"/>
      <c r="I666" s="68"/>
      <c r="J666" s="112" t="s">
        <v>264</v>
      </c>
      <c r="K666" s="69">
        <v>2</v>
      </c>
      <c r="L666" s="70">
        <f>154+80</f>
        <v>234</v>
      </c>
      <c r="M666" s="70">
        <f t="shared" si="10"/>
        <v>1170</v>
      </c>
      <c r="N666" s="70">
        <f t="shared" si="11"/>
        <v>8190</v>
      </c>
      <c r="T666" s="5" t="s">
        <v>137</v>
      </c>
    </row>
    <row r="667" spans="2:20" ht="21" customHeight="1">
      <c r="B667" s="77" t="s">
        <v>881</v>
      </c>
      <c r="C667" s="68"/>
      <c r="D667" s="68"/>
      <c r="E667" s="68"/>
      <c r="F667" s="68"/>
      <c r="G667" s="68"/>
      <c r="H667" s="68"/>
      <c r="I667" s="68"/>
      <c r="J667" s="112" t="s">
        <v>264</v>
      </c>
      <c r="K667" s="69"/>
      <c r="L667" s="70"/>
      <c r="M667" s="70"/>
      <c r="N667" s="70"/>
      <c r="T667" s="5" t="s">
        <v>138</v>
      </c>
    </row>
    <row r="668" spans="1:20" ht="21" customHeight="1">
      <c r="A668" s="57">
        <f>A666+1</f>
        <v>356</v>
      </c>
      <c r="B668" s="77" t="s">
        <v>882</v>
      </c>
      <c r="C668" s="68">
        <v>7</v>
      </c>
      <c r="D668" s="68">
        <v>6</v>
      </c>
      <c r="E668" s="68"/>
      <c r="F668" s="68"/>
      <c r="G668" s="68"/>
      <c r="H668" s="68"/>
      <c r="I668" s="68"/>
      <c r="J668" s="112" t="s">
        <v>265</v>
      </c>
      <c r="K668" s="69">
        <v>2</v>
      </c>
      <c r="L668" s="70">
        <f>293+102</f>
        <v>395</v>
      </c>
      <c r="M668" s="70">
        <f t="shared" si="10"/>
        <v>1975</v>
      </c>
      <c r="N668" s="70">
        <f t="shared" si="11"/>
        <v>13825</v>
      </c>
      <c r="T668" s="5" t="s">
        <v>138</v>
      </c>
    </row>
    <row r="669" spans="2:20" ht="21" customHeight="1">
      <c r="B669" s="77" t="s">
        <v>882</v>
      </c>
      <c r="C669" s="68"/>
      <c r="D669" s="68"/>
      <c r="E669" s="68"/>
      <c r="F669" s="68"/>
      <c r="G669" s="68"/>
      <c r="H669" s="68"/>
      <c r="I669" s="68"/>
      <c r="J669" s="112" t="s">
        <v>265</v>
      </c>
      <c r="K669" s="69"/>
      <c r="L669" s="70"/>
      <c r="M669" s="70"/>
      <c r="N669" s="70"/>
      <c r="T669" s="5" t="s">
        <v>137</v>
      </c>
    </row>
    <row r="670" spans="1:20" ht="21" customHeight="1">
      <c r="A670" s="57">
        <f>A668+1</f>
        <v>357</v>
      </c>
      <c r="B670" s="67" t="s">
        <v>1158</v>
      </c>
      <c r="C670" s="68">
        <v>9.5</v>
      </c>
      <c r="D670" s="68">
        <v>9</v>
      </c>
      <c r="E670" s="68">
        <v>6.5</v>
      </c>
      <c r="F670" s="68"/>
      <c r="G670" s="68"/>
      <c r="H670" s="68"/>
      <c r="I670" s="68"/>
      <c r="J670" s="69" t="s">
        <v>664</v>
      </c>
      <c r="K670" s="69">
        <v>2</v>
      </c>
      <c r="L670" s="70">
        <f>182+171</f>
        <v>353</v>
      </c>
      <c r="M670" s="70">
        <f t="shared" si="10"/>
        <v>1765</v>
      </c>
      <c r="N670" s="70">
        <f t="shared" si="11"/>
        <v>12355</v>
      </c>
      <c r="T670" s="5" t="s">
        <v>182</v>
      </c>
    </row>
    <row r="671" spans="2:20" ht="21" customHeight="1">
      <c r="B671" s="67" t="s">
        <v>1158</v>
      </c>
      <c r="C671" s="68">
        <v>9.5</v>
      </c>
      <c r="D671" s="68">
        <v>9</v>
      </c>
      <c r="E671" s="68">
        <v>6.5</v>
      </c>
      <c r="F671" s="68"/>
      <c r="G671" s="68"/>
      <c r="H671" s="68"/>
      <c r="I671" s="68"/>
      <c r="J671" s="69" t="s">
        <v>664</v>
      </c>
      <c r="K671" s="69"/>
      <c r="L671" s="70"/>
      <c r="M671" s="70"/>
      <c r="N671" s="70"/>
      <c r="T671" s="5" t="s">
        <v>674</v>
      </c>
    </row>
    <row r="672" spans="1:20" ht="21" customHeight="1">
      <c r="A672" s="57">
        <f>A670+1</f>
        <v>358</v>
      </c>
      <c r="B672" s="67" t="s">
        <v>1158</v>
      </c>
      <c r="C672" s="68">
        <v>9.5</v>
      </c>
      <c r="D672" s="68">
        <v>9</v>
      </c>
      <c r="E672" s="68">
        <v>6.5</v>
      </c>
      <c r="F672" s="68"/>
      <c r="G672" s="68"/>
      <c r="H672" s="68"/>
      <c r="I672" s="68"/>
      <c r="J672" s="69" t="s">
        <v>664</v>
      </c>
      <c r="K672" s="69">
        <v>2</v>
      </c>
      <c r="L672" s="70">
        <v>300</v>
      </c>
      <c r="M672" s="70">
        <f t="shared" si="10"/>
        <v>1500</v>
      </c>
      <c r="N672" s="70">
        <f t="shared" si="11"/>
        <v>10500</v>
      </c>
      <c r="T672" s="5" t="s">
        <v>153</v>
      </c>
    </row>
    <row r="673" spans="2:20" ht="21" customHeight="1">
      <c r="B673" s="67" t="s">
        <v>1158</v>
      </c>
      <c r="C673" s="68">
        <v>9.5</v>
      </c>
      <c r="D673" s="68">
        <v>9</v>
      </c>
      <c r="E673" s="68">
        <v>6.5</v>
      </c>
      <c r="F673" s="68"/>
      <c r="G673" s="68"/>
      <c r="H673" s="68"/>
      <c r="I673" s="68"/>
      <c r="J673" s="69" t="s">
        <v>664</v>
      </c>
      <c r="K673" s="69"/>
      <c r="L673" s="70"/>
      <c r="M673" s="70"/>
      <c r="N673" s="70"/>
      <c r="T673" s="5" t="s">
        <v>1110</v>
      </c>
    </row>
    <row r="674" spans="1:20" ht="21" customHeight="1">
      <c r="A674" s="57">
        <f>A672+1</f>
        <v>359</v>
      </c>
      <c r="B674" s="77" t="s">
        <v>591</v>
      </c>
      <c r="C674" s="68">
        <v>6</v>
      </c>
      <c r="D674" s="68">
        <v>5</v>
      </c>
      <c r="E674" s="68"/>
      <c r="F674" s="68"/>
      <c r="G674" s="68"/>
      <c r="H674" s="68"/>
      <c r="I674" s="68"/>
      <c r="J674" s="69" t="s">
        <v>120</v>
      </c>
      <c r="K674" s="69">
        <v>2</v>
      </c>
      <c r="L674" s="70">
        <f>85+85</f>
        <v>170</v>
      </c>
      <c r="M674" s="70">
        <f t="shared" si="10"/>
        <v>850</v>
      </c>
      <c r="N674" s="70">
        <f t="shared" si="11"/>
        <v>5950</v>
      </c>
      <c r="T674" s="5" t="s">
        <v>934</v>
      </c>
    </row>
    <row r="675" spans="2:20" ht="21" customHeight="1">
      <c r="B675" s="77" t="s">
        <v>591</v>
      </c>
      <c r="C675" s="68"/>
      <c r="D675" s="68"/>
      <c r="E675" s="68"/>
      <c r="F675" s="68"/>
      <c r="G675" s="68"/>
      <c r="H675" s="68"/>
      <c r="I675" s="68"/>
      <c r="J675" s="69" t="s">
        <v>120</v>
      </c>
      <c r="K675" s="69"/>
      <c r="L675" s="70"/>
      <c r="M675" s="70"/>
      <c r="N675" s="70"/>
      <c r="T675" s="5" t="s">
        <v>108</v>
      </c>
    </row>
    <row r="676" spans="1:20" ht="21" customHeight="1">
      <c r="A676" s="57">
        <f>A674+1</f>
        <v>360</v>
      </c>
      <c r="B676" s="77" t="s">
        <v>547</v>
      </c>
      <c r="C676" s="68">
        <v>6</v>
      </c>
      <c r="D676" s="68">
        <v>5</v>
      </c>
      <c r="E676" s="68">
        <v>4</v>
      </c>
      <c r="F676" s="68"/>
      <c r="G676" s="68"/>
      <c r="H676" s="68"/>
      <c r="I676" s="68"/>
      <c r="J676" s="112" t="s">
        <v>332</v>
      </c>
      <c r="K676" s="69">
        <v>2</v>
      </c>
      <c r="L676" s="70">
        <f>104+104</f>
        <v>208</v>
      </c>
      <c r="M676" s="70">
        <f t="shared" si="10"/>
        <v>1040</v>
      </c>
      <c r="N676" s="70">
        <f t="shared" si="11"/>
        <v>7280</v>
      </c>
      <c r="T676" s="5" t="s">
        <v>335</v>
      </c>
    </row>
    <row r="677" spans="2:20" ht="21" customHeight="1">
      <c r="B677" s="77" t="s">
        <v>547</v>
      </c>
      <c r="C677" s="68"/>
      <c r="D677" s="68"/>
      <c r="E677" s="68"/>
      <c r="F677" s="68"/>
      <c r="G677" s="68"/>
      <c r="H677" s="68"/>
      <c r="I677" s="68"/>
      <c r="J677" s="112" t="s">
        <v>332</v>
      </c>
      <c r="K677" s="69"/>
      <c r="L677" s="70"/>
      <c r="M677" s="70"/>
      <c r="N677" s="70"/>
      <c r="T677" s="5" t="s">
        <v>551</v>
      </c>
    </row>
    <row r="678" spans="1:20" ht="21" customHeight="1">
      <c r="A678" s="57">
        <f>A676+1</f>
        <v>361</v>
      </c>
      <c r="B678" s="67" t="s">
        <v>1017</v>
      </c>
      <c r="C678" s="68">
        <v>7</v>
      </c>
      <c r="D678" s="68">
        <v>6</v>
      </c>
      <c r="E678" s="68"/>
      <c r="F678" s="68"/>
      <c r="G678" s="68"/>
      <c r="H678" s="68"/>
      <c r="I678" s="68"/>
      <c r="J678" s="69" t="s">
        <v>1019</v>
      </c>
      <c r="K678" s="69">
        <v>2</v>
      </c>
      <c r="L678" s="70">
        <f>130+120</f>
        <v>250</v>
      </c>
      <c r="M678" s="70">
        <f t="shared" si="10"/>
        <v>1250</v>
      </c>
      <c r="N678" s="70">
        <f t="shared" si="11"/>
        <v>8750</v>
      </c>
      <c r="T678" s="5" t="s">
        <v>1018</v>
      </c>
    </row>
    <row r="679" spans="2:20" ht="21" customHeight="1">
      <c r="B679" s="67" t="s">
        <v>1017</v>
      </c>
      <c r="C679" s="68"/>
      <c r="D679" s="68"/>
      <c r="E679" s="68"/>
      <c r="F679" s="68"/>
      <c r="G679" s="68"/>
      <c r="H679" s="68"/>
      <c r="I679" s="68"/>
      <c r="J679" s="69" t="s">
        <v>1019</v>
      </c>
      <c r="K679" s="69"/>
      <c r="L679" s="70"/>
      <c r="M679" s="70"/>
      <c r="N679" s="70"/>
      <c r="T679" s="5" t="s">
        <v>561</v>
      </c>
    </row>
    <row r="680" spans="1:20" ht="21" customHeight="1">
      <c r="A680" s="57">
        <f>A678+1</f>
        <v>362</v>
      </c>
      <c r="B680" s="67" t="s">
        <v>535</v>
      </c>
      <c r="C680" s="68">
        <v>9.5</v>
      </c>
      <c r="D680" s="68">
        <v>8.5</v>
      </c>
      <c r="E680" s="68">
        <v>7.5</v>
      </c>
      <c r="F680" s="68">
        <v>5</v>
      </c>
      <c r="G680" s="68"/>
      <c r="H680" s="68"/>
      <c r="I680" s="68"/>
      <c r="J680" s="112" t="s">
        <v>665</v>
      </c>
      <c r="K680" s="69">
        <v>2</v>
      </c>
      <c r="L680" s="70">
        <v>229</v>
      </c>
      <c r="M680" s="70">
        <f t="shared" si="10"/>
        <v>1145</v>
      </c>
      <c r="N680" s="70">
        <f t="shared" si="11"/>
        <v>8015</v>
      </c>
      <c r="T680" s="5" t="s">
        <v>49</v>
      </c>
    </row>
    <row r="681" spans="2:20" ht="21" customHeight="1">
      <c r="B681" s="67" t="s">
        <v>535</v>
      </c>
      <c r="C681" s="68"/>
      <c r="D681" s="68"/>
      <c r="E681" s="68"/>
      <c r="F681" s="68"/>
      <c r="G681" s="68"/>
      <c r="H681" s="68"/>
      <c r="I681" s="68"/>
      <c r="J681" s="112" t="s">
        <v>665</v>
      </c>
      <c r="K681" s="69"/>
      <c r="L681" s="70"/>
      <c r="M681" s="70"/>
      <c r="N681" s="70"/>
      <c r="T681" s="5" t="s">
        <v>50</v>
      </c>
    </row>
    <row r="682" spans="1:20" ht="21" customHeight="1">
      <c r="A682" s="57">
        <f>A680+1</f>
        <v>363</v>
      </c>
      <c r="B682" s="67" t="s">
        <v>535</v>
      </c>
      <c r="C682" s="68">
        <v>9.5</v>
      </c>
      <c r="D682" s="68">
        <v>8.5</v>
      </c>
      <c r="E682" s="68">
        <v>7.5</v>
      </c>
      <c r="F682" s="68">
        <v>5</v>
      </c>
      <c r="G682" s="68"/>
      <c r="H682" s="68"/>
      <c r="I682" s="68"/>
      <c r="J682" s="112" t="s">
        <v>665</v>
      </c>
      <c r="K682" s="69">
        <v>1</v>
      </c>
      <c r="L682" s="70">
        <f>202+228</f>
        <v>430</v>
      </c>
      <c r="M682" s="70">
        <f t="shared" si="10"/>
        <v>2150</v>
      </c>
      <c r="N682" s="70">
        <f t="shared" si="11"/>
        <v>15050</v>
      </c>
      <c r="T682" s="5" t="s">
        <v>564</v>
      </c>
    </row>
    <row r="683" spans="1:20" ht="21" customHeight="1">
      <c r="A683" s="57">
        <f>A682+1</f>
        <v>364</v>
      </c>
      <c r="B683" s="77" t="s">
        <v>548</v>
      </c>
      <c r="C683" s="68">
        <v>8</v>
      </c>
      <c r="D683" s="68">
        <v>7</v>
      </c>
      <c r="E683" s="68">
        <v>5</v>
      </c>
      <c r="F683" s="68"/>
      <c r="G683" s="68"/>
      <c r="H683" s="68"/>
      <c r="I683" s="68"/>
      <c r="J683" s="112" t="s">
        <v>666</v>
      </c>
      <c r="K683" s="69">
        <v>2</v>
      </c>
      <c r="L683" s="70">
        <v>220</v>
      </c>
      <c r="M683" s="70">
        <f t="shared" si="10"/>
        <v>1100</v>
      </c>
      <c r="N683" s="70">
        <f t="shared" si="11"/>
        <v>7700</v>
      </c>
      <c r="T683" s="5" t="s">
        <v>1081</v>
      </c>
    </row>
    <row r="684" spans="2:20" ht="21" customHeight="1">
      <c r="B684" s="77" t="s">
        <v>548</v>
      </c>
      <c r="C684" s="68"/>
      <c r="D684" s="68"/>
      <c r="E684" s="68"/>
      <c r="F684" s="68"/>
      <c r="G684" s="68"/>
      <c r="H684" s="68"/>
      <c r="I684" s="68"/>
      <c r="J684" s="112" t="s">
        <v>666</v>
      </c>
      <c r="K684" s="69"/>
      <c r="L684" s="70"/>
      <c r="M684" s="70"/>
      <c r="N684" s="70"/>
      <c r="T684" s="5" t="s">
        <v>1082</v>
      </c>
    </row>
    <row r="685" spans="1:20" ht="21" customHeight="1">
      <c r="A685" s="57">
        <f>A683+1</f>
        <v>365</v>
      </c>
      <c r="B685" s="67" t="s">
        <v>363</v>
      </c>
      <c r="C685" s="68">
        <v>8</v>
      </c>
      <c r="D685" s="68">
        <v>7</v>
      </c>
      <c r="E685" s="68"/>
      <c r="F685" s="68"/>
      <c r="G685" s="68"/>
      <c r="H685" s="68"/>
      <c r="I685" s="68"/>
      <c r="J685" s="112" t="s">
        <v>383</v>
      </c>
      <c r="K685" s="69">
        <v>2</v>
      </c>
      <c r="L685" s="70">
        <f>205+130</f>
        <v>335</v>
      </c>
      <c r="M685" s="70">
        <f t="shared" si="10"/>
        <v>1675</v>
      </c>
      <c r="N685" s="70">
        <f t="shared" si="11"/>
        <v>11725</v>
      </c>
      <c r="T685" s="5" t="s">
        <v>957</v>
      </c>
    </row>
    <row r="686" spans="2:20" ht="21" customHeight="1">
      <c r="B686" s="67" t="s">
        <v>363</v>
      </c>
      <c r="C686" s="68"/>
      <c r="D686" s="68"/>
      <c r="E686" s="68"/>
      <c r="F686" s="68"/>
      <c r="G686" s="68"/>
      <c r="H686" s="68"/>
      <c r="I686" s="68"/>
      <c r="J686" s="112" t="s">
        <v>383</v>
      </c>
      <c r="K686" s="69"/>
      <c r="L686" s="70"/>
      <c r="M686" s="70"/>
      <c r="N686" s="70"/>
      <c r="T686" s="5" t="s">
        <v>184</v>
      </c>
    </row>
    <row r="687" spans="2:20" ht="21" customHeight="1">
      <c r="B687" s="67" t="s">
        <v>363</v>
      </c>
      <c r="C687" s="68"/>
      <c r="D687" s="68"/>
      <c r="E687" s="68"/>
      <c r="F687" s="68"/>
      <c r="G687" s="68"/>
      <c r="H687" s="68"/>
      <c r="I687" s="68"/>
      <c r="J687" s="112" t="s">
        <v>383</v>
      </c>
      <c r="K687" s="69"/>
      <c r="L687" s="70"/>
      <c r="M687" s="70"/>
      <c r="N687" s="70"/>
      <c r="T687" s="5" t="s">
        <v>183</v>
      </c>
    </row>
    <row r="688" spans="1:20" ht="21" customHeight="1">
      <c r="A688" s="57">
        <f>A685+1</f>
        <v>366</v>
      </c>
      <c r="B688" s="67" t="s">
        <v>494</v>
      </c>
      <c r="C688" s="68">
        <v>8</v>
      </c>
      <c r="D688" s="68">
        <v>7</v>
      </c>
      <c r="E688" s="68">
        <v>6</v>
      </c>
      <c r="F688" s="68"/>
      <c r="G688" s="68"/>
      <c r="H688" s="68"/>
      <c r="I688" s="68"/>
      <c r="J688" s="112" t="s">
        <v>667</v>
      </c>
      <c r="K688" s="69">
        <v>2</v>
      </c>
      <c r="L688" s="70">
        <f>140+74</f>
        <v>214</v>
      </c>
      <c r="M688" s="70">
        <f t="shared" si="10"/>
        <v>1070</v>
      </c>
      <c r="N688" s="70">
        <f t="shared" si="11"/>
        <v>7490</v>
      </c>
      <c r="T688" s="5" t="s">
        <v>335</v>
      </c>
    </row>
    <row r="689" spans="2:20" ht="21" customHeight="1">
      <c r="B689" s="67" t="s">
        <v>494</v>
      </c>
      <c r="C689" s="68">
        <v>8</v>
      </c>
      <c r="D689" s="68">
        <v>7</v>
      </c>
      <c r="E689" s="68">
        <v>6</v>
      </c>
      <c r="F689" s="68"/>
      <c r="G689" s="68"/>
      <c r="H689" s="68"/>
      <c r="I689" s="68"/>
      <c r="J689" s="112" t="s">
        <v>667</v>
      </c>
      <c r="K689" s="69"/>
      <c r="L689" s="70"/>
      <c r="M689" s="70"/>
      <c r="N689" s="70"/>
      <c r="T689" s="5" t="s">
        <v>551</v>
      </c>
    </row>
    <row r="690" spans="1:20" ht="21" customHeight="1">
      <c r="A690" s="57">
        <f>A688+1</f>
        <v>367</v>
      </c>
      <c r="B690" s="67" t="s">
        <v>930</v>
      </c>
      <c r="C690" s="68">
        <v>8</v>
      </c>
      <c r="D690" s="68">
        <v>7</v>
      </c>
      <c r="E690" s="68">
        <v>6</v>
      </c>
      <c r="F690" s="68"/>
      <c r="G690" s="68"/>
      <c r="H690" s="68"/>
      <c r="I690" s="68"/>
      <c r="J690" s="112" t="s">
        <v>266</v>
      </c>
      <c r="K690" s="69">
        <v>2</v>
      </c>
      <c r="L690" s="70">
        <f>138+136</f>
        <v>274</v>
      </c>
      <c r="M690" s="70">
        <f t="shared" si="10"/>
        <v>1370</v>
      </c>
      <c r="N690" s="70">
        <f t="shared" si="11"/>
        <v>9590</v>
      </c>
      <c r="T690" s="5" t="s">
        <v>940</v>
      </c>
    </row>
    <row r="691" spans="2:20" ht="21" customHeight="1">
      <c r="B691" s="67" t="s">
        <v>930</v>
      </c>
      <c r="C691" s="68"/>
      <c r="D691" s="68"/>
      <c r="E691" s="68"/>
      <c r="F691" s="68"/>
      <c r="G691" s="68"/>
      <c r="H691" s="68"/>
      <c r="I691" s="68"/>
      <c r="J691" s="112" t="s">
        <v>266</v>
      </c>
      <c r="K691" s="69"/>
      <c r="L691" s="70"/>
      <c r="M691" s="70"/>
      <c r="N691" s="70"/>
      <c r="T691" s="5" t="s">
        <v>941</v>
      </c>
    </row>
    <row r="692" spans="1:20" ht="21" customHeight="1">
      <c r="A692" s="57">
        <f>A690+1</f>
        <v>368</v>
      </c>
      <c r="B692" s="67" t="s">
        <v>883</v>
      </c>
      <c r="C692" s="68">
        <v>7</v>
      </c>
      <c r="D692" s="68">
        <v>6</v>
      </c>
      <c r="E692" s="68"/>
      <c r="F692" s="68"/>
      <c r="G692" s="68"/>
      <c r="H692" s="68"/>
      <c r="I692" s="68"/>
      <c r="J692" s="69" t="s">
        <v>140</v>
      </c>
      <c r="K692" s="69">
        <v>2</v>
      </c>
      <c r="L692" s="70">
        <v>200</v>
      </c>
      <c r="M692" s="70">
        <f t="shared" si="10"/>
        <v>1000</v>
      </c>
      <c r="N692" s="70">
        <f t="shared" si="11"/>
        <v>7000</v>
      </c>
      <c r="T692" s="5" t="s">
        <v>335</v>
      </c>
    </row>
    <row r="693" spans="2:20" ht="21" customHeight="1">
      <c r="B693" s="67" t="s">
        <v>883</v>
      </c>
      <c r="C693" s="68"/>
      <c r="D693" s="68"/>
      <c r="E693" s="68"/>
      <c r="F693" s="68"/>
      <c r="G693" s="68"/>
      <c r="H693" s="68"/>
      <c r="I693" s="68"/>
      <c r="J693" s="69" t="s">
        <v>140</v>
      </c>
      <c r="K693" s="69"/>
      <c r="L693" s="70"/>
      <c r="M693" s="70"/>
      <c r="N693" s="70"/>
      <c r="T693" s="5" t="s">
        <v>551</v>
      </c>
    </row>
    <row r="694" spans="1:20" ht="21" customHeight="1">
      <c r="A694" s="57">
        <f>A692+1</f>
        <v>369</v>
      </c>
      <c r="B694" s="77" t="s">
        <v>336</v>
      </c>
      <c r="C694" s="68">
        <v>8</v>
      </c>
      <c r="D694" s="68">
        <v>7</v>
      </c>
      <c r="E694" s="68"/>
      <c r="F694" s="68"/>
      <c r="G694" s="68"/>
      <c r="H694" s="68"/>
      <c r="I694" s="68"/>
      <c r="J694" s="69" t="s">
        <v>337</v>
      </c>
      <c r="K694" s="69">
        <v>2</v>
      </c>
      <c r="L694" s="70">
        <f>201+90</f>
        <v>291</v>
      </c>
      <c r="M694" s="70">
        <f t="shared" si="10"/>
        <v>1455</v>
      </c>
      <c r="N694" s="70">
        <f t="shared" si="11"/>
        <v>10185</v>
      </c>
      <c r="T694" s="5" t="s">
        <v>475</v>
      </c>
    </row>
    <row r="695" spans="2:20" ht="21" customHeight="1">
      <c r="B695" s="77" t="s">
        <v>336</v>
      </c>
      <c r="C695" s="68"/>
      <c r="D695" s="68"/>
      <c r="E695" s="68"/>
      <c r="F695" s="68"/>
      <c r="G695" s="68"/>
      <c r="H695" s="68"/>
      <c r="I695" s="68"/>
      <c r="J695" s="69" t="s">
        <v>337</v>
      </c>
      <c r="K695" s="69"/>
      <c r="L695" s="70"/>
      <c r="M695" s="70"/>
      <c r="N695" s="70"/>
      <c r="T695" s="5" t="s">
        <v>1008</v>
      </c>
    </row>
    <row r="696" spans="1:20" ht="21" customHeight="1">
      <c r="A696" s="57">
        <f>A694+1</f>
        <v>370</v>
      </c>
      <c r="B696" s="67" t="s">
        <v>884</v>
      </c>
      <c r="C696" s="68">
        <v>6</v>
      </c>
      <c r="D696" s="68">
        <v>5</v>
      </c>
      <c r="E696" s="68"/>
      <c r="F696" s="68"/>
      <c r="G696" s="68"/>
      <c r="H696" s="68"/>
      <c r="I696" s="68"/>
      <c r="J696" s="69" t="s">
        <v>688</v>
      </c>
      <c r="K696" s="69">
        <v>2</v>
      </c>
      <c r="L696" s="70">
        <f>100+100</f>
        <v>200</v>
      </c>
      <c r="M696" s="70">
        <f t="shared" si="10"/>
        <v>1000</v>
      </c>
      <c r="N696" s="70">
        <f t="shared" si="11"/>
        <v>7000</v>
      </c>
      <c r="T696" s="5" t="s">
        <v>335</v>
      </c>
    </row>
    <row r="697" spans="2:20" ht="21" customHeight="1">
      <c r="B697" s="67" t="s">
        <v>884</v>
      </c>
      <c r="C697" s="68"/>
      <c r="D697" s="68"/>
      <c r="E697" s="68"/>
      <c r="F697" s="68"/>
      <c r="G697" s="68"/>
      <c r="H697" s="68"/>
      <c r="I697" s="68"/>
      <c r="J697" s="69" t="s">
        <v>688</v>
      </c>
      <c r="K697" s="69"/>
      <c r="L697" s="70"/>
      <c r="M697" s="70"/>
      <c r="N697" s="70"/>
      <c r="T697" s="5" t="s">
        <v>551</v>
      </c>
    </row>
    <row r="698" spans="1:20" ht="21" customHeight="1">
      <c r="A698" s="57">
        <f>A696+1</f>
        <v>371</v>
      </c>
      <c r="B698" s="77" t="s">
        <v>885</v>
      </c>
      <c r="C698" s="68">
        <v>8</v>
      </c>
      <c r="D698" s="68">
        <v>6</v>
      </c>
      <c r="E698" s="68"/>
      <c r="F698" s="68"/>
      <c r="G698" s="68"/>
      <c r="H698" s="68"/>
      <c r="I698" s="68"/>
      <c r="J698" s="113" t="s">
        <v>668</v>
      </c>
      <c r="K698" s="69">
        <v>2</v>
      </c>
      <c r="L698" s="70">
        <f>235+126</f>
        <v>361</v>
      </c>
      <c r="M698" s="70">
        <f t="shared" si="10"/>
        <v>1805</v>
      </c>
      <c r="N698" s="70">
        <f t="shared" si="11"/>
        <v>12635</v>
      </c>
      <c r="T698" s="5" t="s">
        <v>596</v>
      </c>
    </row>
    <row r="699" spans="2:20" ht="21" customHeight="1">
      <c r="B699" s="77" t="s">
        <v>885</v>
      </c>
      <c r="C699" s="68">
        <v>8</v>
      </c>
      <c r="D699" s="68">
        <v>6</v>
      </c>
      <c r="E699" s="68"/>
      <c r="F699" s="68"/>
      <c r="G699" s="68"/>
      <c r="H699" s="68"/>
      <c r="I699" s="68"/>
      <c r="J699" s="113" t="s">
        <v>668</v>
      </c>
      <c r="K699" s="69"/>
      <c r="L699" s="70"/>
      <c r="M699" s="70"/>
      <c r="N699" s="70"/>
      <c r="T699" s="5" t="s">
        <v>475</v>
      </c>
    </row>
    <row r="700" spans="1:20" ht="21" customHeight="1">
      <c r="A700" s="57">
        <f>A698+1</f>
        <v>372</v>
      </c>
      <c r="B700" s="67" t="s">
        <v>886</v>
      </c>
      <c r="C700" s="68">
        <v>7</v>
      </c>
      <c r="D700" s="68">
        <v>6</v>
      </c>
      <c r="E700" s="68"/>
      <c r="F700" s="68"/>
      <c r="G700" s="68"/>
      <c r="H700" s="68"/>
      <c r="I700" s="68"/>
      <c r="J700" s="112" t="s">
        <v>267</v>
      </c>
      <c r="K700" s="69">
        <v>2</v>
      </c>
      <c r="L700" s="70">
        <f>165+85</f>
        <v>250</v>
      </c>
      <c r="M700" s="70">
        <f t="shared" si="10"/>
        <v>1250</v>
      </c>
      <c r="N700" s="70">
        <f t="shared" si="11"/>
        <v>8750</v>
      </c>
      <c r="T700" s="5" t="s">
        <v>690</v>
      </c>
    </row>
    <row r="701" spans="2:20" ht="21" customHeight="1">
      <c r="B701" s="67" t="s">
        <v>886</v>
      </c>
      <c r="C701" s="68"/>
      <c r="D701" s="68"/>
      <c r="E701" s="68"/>
      <c r="F701" s="68"/>
      <c r="G701" s="68"/>
      <c r="H701" s="68"/>
      <c r="I701" s="68"/>
      <c r="J701" s="112" t="s">
        <v>267</v>
      </c>
      <c r="K701" s="69"/>
      <c r="L701" s="70"/>
      <c r="M701" s="70"/>
      <c r="N701" s="70"/>
      <c r="T701" s="5" t="s">
        <v>320</v>
      </c>
    </row>
    <row r="702" spans="1:20" s="89" customFormat="1" ht="21" customHeight="1">
      <c r="A702" s="57">
        <f>A700+1</f>
        <v>373</v>
      </c>
      <c r="B702" s="67" t="s">
        <v>426</v>
      </c>
      <c r="C702" s="68">
        <v>7</v>
      </c>
      <c r="D702" s="68">
        <v>6</v>
      </c>
      <c r="E702" s="68">
        <v>5</v>
      </c>
      <c r="F702" s="68"/>
      <c r="G702" s="68"/>
      <c r="H702" s="68"/>
      <c r="I702" s="68"/>
      <c r="J702" s="112" t="s">
        <v>459</v>
      </c>
      <c r="K702" s="69">
        <v>2</v>
      </c>
      <c r="L702" s="70">
        <f>313+108</f>
        <v>421</v>
      </c>
      <c r="M702" s="70">
        <f t="shared" si="10"/>
        <v>2105</v>
      </c>
      <c r="N702" s="70">
        <f t="shared" si="11"/>
        <v>14735</v>
      </c>
      <c r="P702" s="90"/>
      <c r="T702" s="5" t="s">
        <v>1056</v>
      </c>
    </row>
    <row r="703" spans="1:20" s="89" customFormat="1" ht="21" customHeight="1">
      <c r="A703" s="57"/>
      <c r="B703" s="67" t="s">
        <v>426</v>
      </c>
      <c r="C703" s="68"/>
      <c r="D703" s="68"/>
      <c r="E703" s="68"/>
      <c r="F703" s="68"/>
      <c r="G703" s="68"/>
      <c r="H703" s="68"/>
      <c r="I703" s="68"/>
      <c r="J703" s="112" t="s">
        <v>459</v>
      </c>
      <c r="K703" s="69"/>
      <c r="L703" s="70"/>
      <c r="M703" s="70"/>
      <c r="N703" s="70"/>
      <c r="P703" s="90"/>
      <c r="T703" s="5" t="s">
        <v>1057</v>
      </c>
    </row>
    <row r="704" spans="1:20" ht="21" customHeight="1">
      <c r="A704" s="57">
        <f>A702+1</f>
        <v>374</v>
      </c>
      <c r="B704" s="67" t="s">
        <v>887</v>
      </c>
      <c r="C704" s="68">
        <v>7</v>
      </c>
      <c r="D704" s="68">
        <v>6</v>
      </c>
      <c r="E704" s="68"/>
      <c r="F704" s="68"/>
      <c r="G704" s="68"/>
      <c r="H704" s="68"/>
      <c r="I704" s="68"/>
      <c r="J704" s="112" t="s">
        <v>268</v>
      </c>
      <c r="K704" s="69">
        <v>1</v>
      </c>
      <c r="L704" s="70">
        <v>310</v>
      </c>
      <c r="M704" s="70">
        <f t="shared" si="10"/>
        <v>1550</v>
      </c>
      <c r="N704" s="70">
        <f t="shared" si="11"/>
        <v>10850</v>
      </c>
      <c r="T704" s="5" t="s">
        <v>1049</v>
      </c>
    </row>
    <row r="705" spans="1:20" ht="21" customHeight="1">
      <c r="A705" s="57">
        <f>A704+1</f>
        <v>375</v>
      </c>
      <c r="B705" s="67" t="s">
        <v>888</v>
      </c>
      <c r="C705" s="68">
        <v>7</v>
      </c>
      <c r="D705" s="68">
        <v>6</v>
      </c>
      <c r="E705" s="68"/>
      <c r="F705" s="68"/>
      <c r="G705" s="68"/>
      <c r="H705" s="68"/>
      <c r="I705" s="68"/>
      <c r="J705" s="69" t="s">
        <v>467</v>
      </c>
      <c r="K705" s="69">
        <v>2</v>
      </c>
      <c r="L705" s="70">
        <f>140+140</f>
        <v>280</v>
      </c>
      <c r="M705" s="70">
        <f t="shared" si="10"/>
        <v>1400</v>
      </c>
      <c r="N705" s="70">
        <f t="shared" si="11"/>
        <v>9800</v>
      </c>
      <c r="T705" s="5" t="s">
        <v>595</v>
      </c>
    </row>
    <row r="706" spans="2:20" ht="21" customHeight="1">
      <c r="B706" s="67" t="s">
        <v>888</v>
      </c>
      <c r="C706" s="68"/>
      <c r="D706" s="68"/>
      <c r="E706" s="68"/>
      <c r="F706" s="68"/>
      <c r="G706" s="68"/>
      <c r="H706" s="68"/>
      <c r="I706" s="68"/>
      <c r="J706" s="69" t="s">
        <v>467</v>
      </c>
      <c r="K706" s="80">
        <f>SUM(K4:K705)</f>
        <v>726</v>
      </c>
      <c r="L706" s="81">
        <f>SUM(L4:L705)</f>
        <v>123341</v>
      </c>
      <c r="M706" s="81">
        <f>SUM(M4:M705)</f>
        <v>616705</v>
      </c>
      <c r="N706" s="95">
        <f>SUM(N4:N705)</f>
        <v>4316935</v>
      </c>
      <c r="T706" s="5" t="s">
        <v>977</v>
      </c>
    </row>
    <row r="707" spans="1:20" ht="21" customHeight="1">
      <c r="A707" s="57">
        <f>A705+1</f>
        <v>376</v>
      </c>
      <c r="B707" s="133" t="s">
        <v>743</v>
      </c>
      <c r="C707" s="52" t="s">
        <v>744</v>
      </c>
      <c r="D707" s="68"/>
      <c r="E707" s="68"/>
      <c r="F707" s="68"/>
      <c r="G707" s="68"/>
      <c r="H707" s="68"/>
      <c r="I707" s="68"/>
      <c r="J707" s="114" t="s">
        <v>744</v>
      </c>
      <c r="T707" s="5" t="s">
        <v>551</v>
      </c>
    </row>
    <row r="708" spans="2:20" ht="21" customHeight="1">
      <c r="B708" s="133" t="s">
        <v>743</v>
      </c>
      <c r="C708" s="52" t="s">
        <v>744</v>
      </c>
      <c r="D708" s="68"/>
      <c r="E708" s="68"/>
      <c r="F708" s="68"/>
      <c r="G708" s="68"/>
      <c r="H708" s="68"/>
      <c r="I708" s="68"/>
      <c r="J708" s="114" t="s">
        <v>744</v>
      </c>
      <c r="T708" s="5" t="s">
        <v>269</v>
      </c>
    </row>
    <row r="709" spans="1:20" ht="21" customHeight="1">
      <c r="A709" s="57">
        <f>A707+1</f>
        <v>377</v>
      </c>
      <c r="B709" s="134" t="s">
        <v>270</v>
      </c>
      <c r="C709" s="68"/>
      <c r="D709" s="68"/>
      <c r="E709" s="68"/>
      <c r="F709" s="68"/>
      <c r="G709" s="68"/>
      <c r="H709" s="68"/>
      <c r="I709" s="68"/>
      <c r="J709" s="69" t="s">
        <v>271</v>
      </c>
      <c r="T709" s="5" t="s">
        <v>272</v>
      </c>
    </row>
    <row r="710" spans="2:20" ht="21" customHeight="1">
      <c r="B710" s="134" t="s">
        <v>270</v>
      </c>
      <c r="C710" s="68"/>
      <c r="D710" s="68"/>
      <c r="E710" s="68"/>
      <c r="F710" s="68"/>
      <c r="G710" s="68"/>
      <c r="H710" s="68"/>
      <c r="I710" s="68"/>
      <c r="J710" s="69" t="s">
        <v>271</v>
      </c>
      <c r="T710" s="5" t="s">
        <v>273</v>
      </c>
    </row>
    <row r="711" spans="1:2" ht="21" customHeight="1">
      <c r="A711" s="57">
        <f>A709+1</f>
        <v>378</v>
      </c>
      <c r="B711" s="145" t="s">
        <v>292</v>
      </c>
    </row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9"/>
  <sheetViews>
    <sheetView zoomScalePageLayoutView="0" workbookViewId="0" topLeftCell="A75">
      <selection activeCell="D117" sqref="D117"/>
    </sheetView>
  </sheetViews>
  <sheetFormatPr defaultColWidth="9.00390625" defaultRowHeight="12.75"/>
  <cols>
    <col min="1" max="1" width="4.875" style="36" bestFit="1" customWidth="1"/>
    <col min="2" max="2" width="45.625" style="36" bestFit="1" customWidth="1"/>
    <col min="3" max="3" width="14.25390625" style="37" bestFit="1" customWidth="1"/>
    <col min="4" max="4" width="61.00390625" style="36" bestFit="1" customWidth="1"/>
    <col min="5" max="16384" width="9.125" style="36" customWidth="1"/>
  </cols>
  <sheetData>
    <row r="1" spans="1:9" s="17" customFormat="1" ht="29.25" customHeight="1">
      <c r="A1" s="17" t="s">
        <v>321</v>
      </c>
      <c r="B1" s="27" t="s">
        <v>497</v>
      </c>
      <c r="C1" s="28"/>
      <c r="D1" s="29"/>
      <c r="E1" s="30"/>
      <c r="F1" s="30"/>
      <c r="G1" s="31"/>
      <c r="H1" s="31"/>
      <c r="I1" s="31"/>
    </row>
    <row r="2" spans="1:10" s="32" customFormat="1" ht="24" customHeight="1">
      <c r="A2" s="32" t="s">
        <v>322</v>
      </c>
      <c r="B2" s="25">
        <v>40221</v>
      </c>
      <c r="C2" s="33"/>
      <c r="D2" s="34"/>
      <c r="E2" s="33"/>
      <c r="F2" s="33"/>
      <c r="G2" s="33"/>
      <c r="H2" s="33"/>
      <c r="I2" s="33"/>
      <c r="J2" s="33"/>
    </row>
    <row r="3" spans="1:6" s="32" customFormat="1" ht="12">
      <c r="A3" s="32" t="s">
        <v>314</v>
      </c>
      <c r="B3" s="32" t="s">
        <v>314</v>
      </c>
      <c r="C3" s="32" t="s">
        <v>310</v>
      </c>
      <c r="D3" s="29" t="s">
        <v>314</v>
      </c>
      <c r="E3" s="30"/>
      <c r="F3" s="30"/>
    </row>
    <row r="4" spans="1:4" s="39" customFormat="1" ht="15" customHeight="1">
      <c r="A4" s="35">
        <v>1</v>
      </c>
      <c r="B4" s="38" t="s">
        <v>694</v>
      </c>
      <c r="C4" s="42" t="s">
        <v>703</v>
      </c>
      <c r="D4" s="39" t="s">
        <v>73</v>
      </c>
    </row>
    <row r="5" spans="1:4" s="39" customFormat="1" ht="15" customHeight="1">
      <c r="A5" s="35">
        <f>SUM(A4+1)</f>
        <v>2</v>
      </c>
      <c r="B5" s="38" t="s">
        <v>347</v>
      </c>
      <c r="C5" s="8" t="s">
        <v>365</v>
      </c>
      <c r="D5" s="39" t="s">
        <v>79</v>
      </c>
    </row>
    <row r="6" spans="1:4" s="16" customFormat="1" ht="15" customHeight="1">
      <c r="A6" s="35">
        <f aca="true" t="shared" si="0" ref="A6:A69">SUM(A5+1)</f>
        <v>3</v>
      </c>
      <c r="B6" s="38" t="s">
        <v>524</v>
      </c>
      <c r="C6" s="26" t="s">
        <v>601</v>
      </c>
      <c r="D6" s="39" t="s">
        <v>15</v>
      </c>
    </row>
    <row r="7" spans="1:4" s="16" customFormat="1" ht="15" customHeight="1">
      <c r="A7" s="35">
        <f t="shared" si="0"/>
        <v>4</v>
      </c>
      <c r="B7" s="41" t="s">
        <v>737</v>
      </c>
      <c r="C7" s="120" t="s">
        <v>343</v>
      </c>
      <c r="D7" s="39" t="s">
        <v>312</v>
      </c>
    </row>
    <row r="8" spans="1:4" s="39" customFormat="1" ht="15" customHeight="1">
      <c r="A8" s="35">
        <f t="shared" si="0"/>
        <v>5</v>
      </c>
      <c r="B8" s="38" t="s">
        <v>503</v>
      </c>
      <c r="C8" s="4" t="s">
        <v>375</v>
      </c>
      <c r="D8" s="39" t="s">
        <v>390</v>
      </c>
    </row>
    <row r="9" spans="1:4" s="39" customFormat="1" ht="15" customHeight="1">
      <c r="A9" s="35">
        <f t="shared" si="0"/>
        <v>6</v>
      </c>
      <c r="B9" s="38" t="s">
        <v>513</v>
      </c>
      <c r="C9" s="4" t="s">
        <v>366</v>
      </c>
      <c r="D9" s="39" t="s">
        <v>997</v>
      </c>
    </row>
    <row r="10" spans="1:4" s="39" customFormat="1" ht="15" customHeight="1">
      <c r="A10" s="35">
        <f t="shared" si="0"/>
        <v>7</v>
      </c>
      <c r="B10" s="38" t="s">
        <v>481</v>
      </c>
      <c r="C10" s="8" t="s">
        <v>480</v>
      </c>
      <c r="D10" s="39" t="s">
        <v>740</v>
      </c>
    </row>
    <row r="11" spans="1:4" s="39" customFormat="1" ht="15" customHeight="1">
      <c r="A11" s="35">
        <f t="shared" si="0"/>
        <v>8</v>
      </c>
      <c r="B11" s="38" t="s">
        <v>681</v>
      </c>
      <c r="C11" s="8" t="s">
        <v>560</v>
      </c>
      <c r="D11" s="39" t="s">
        <v>741</v>
      </c>
    </row>
    <row r="12" spans="1:4" s="39" customFormat="1" ht="15" customHeight="1">
      <c r="A12" s="35">
        <f t="shared" si="0"/>
        <v>9</v>
      </c>
      <c r="B12" s="41" t="s">
        <v>727</v>
      </c>
      <c r="C12" s="8" t="s">
        <v>570</v>
      </c>
      <c r="D12" s="39" t="s">
        <v>677</v>
      </c>
    </row>
    <row r="13" spans="1:4" s="16" customFormat="1" ht="15" customHeight="1">
      <c r="A13" s="35">
        <f t="shared" si="0"/>
        <v>10</v>
      </c>
      <c r="B13" s="38" t="s">
        <v>555</v>
      </c>
      <c r="C13" s="8" t="s">
        <v>559</v>
      </c>
      <c r="D13" s="39" t="s">
        <v>558</v>
      </c>
    </row>
    <row r="14" spans="1:4" s="16" customFormat="1" ht="15" customHeight="1">
      <c r="A14" s="35">
        <f t="shared" si="0"/>
        <v>11</v>
      </c>
      <c r="B14" s="38" t="s">
        <v>556</v>
      </c>
      <c r="C14" s="8" t="s">
        <v>557</v>
      </c>
      <c r="D14" s="39" t="s">
        <v>558</v>
      </c>
    </row>
    <row r="15" spans="1:4" s="16" customFormat="1" ht="15" customHeight="1">
      <c r="A15" s="35">
        <f t="shared" si="0"/>
        <v>12</v>
      </c>
      <c r="B15" s="5" t="s">
        <v>399</v>
      </c>
      <c r="C15" s="4" t="s">
        <v>340</v>
      </c>
      <c r="D15" s="42" t="s">
        <v>1123</v>
      </c>
    </row>
    <row r="16" spans="1:4" s="39" customFormat="1" ht="15" customHeight="1">
      <c r="A16" s="35">
        <f t="shared" si="0"/>
        <v>13</v>
      </c>
      <c r="B16" s="42" t="s">
        <v>897</v>
      </c>
      <c r="C16" s="26" t="s">
        <v>1094</v>
      </c>
      <c r="D16" s="42" t="s">
        <v>1095</v>
      </c>
    </row>
    <row r="17" spans="1:4" s="39" customFormat="1" ht="15" customHeight="1">
      <c r="A17" s="35">
        <f t="shared" si="0"/>
        <v>14</v>
      </c>
      <c r="B17" s="41" t="s">
        <v>685</v>
      </c>
      <c r="C17" s="8" t="s">
        <v>686</v>
      </c>
      <c r="D17" s="39" t="s">
        <v>720</v>
      </c>
    </row>
    <row r="18" spans="1:4" s="39" customFormat="1" ht="15" customHeight="1">
      <c r="A18" s="35">
        <f t="shared" si="0"/>
        <v>15</v>
      </c>
      <c r="B18" s="41" t="s">
        <v>728</v>
      </c>
      <c r="C18" s="8" t="s">
        <v>571</v>
      </c>
      <c r="D18" s="39" t="s">
        <v>676</v>
      </c>
    </row>
    <row r="19" spans="1:4" s="16" customFormat="1" ht="15" customHeight="1">
      <c r="A19" s="35">
        <f t="shared" si="0"/>
        <v>16</v>
      </c>
      <c r="B19" s="38" t="s">
        <v>400</v>
      </c>
      <c r="C19" s="26" t="s">
        <v>386</v>
      </c>
      <c r="D19" s="39" t="s">
        <v>390</v>
      </c>
    </row>
    <row r="20" spans="1:4" s="39" customFormat="1" ht="15" customHeight="1">
      <c r="A20" s="35">
        <f t="shared" si="0"/>
        <v>17</v>
      </c>
      <c r="B20" s="41" t="s">
        <v>729</v>
      </c>
      <c r="C20" s="8" t="s">
        <v>439</v>
      </c>
      <c r="D20" s="39" t="s">
        <v>676</v>
      </c>
    </row>
    <row r="21" spans="1:4" s="16" customFormat="1" ht="15" customHeight="1">
      <c r="A21" s="35">
        <f t="shared" si="0"/>
        <v>18</v>
      </c>
      <c r="B21" s="38" t="s">
        <v>348</v>
      </c>
      <c r="C21" s="8" t="s">
        <v>376</v>
      </c>
      <c r="D21" s="39" t="s">
        <v>474</v>
      </c>
    </row>
    <row r="22" spans="1:4" s="39" customFormat="1" ht="15" customHeight="1">
      <c r="A22" s="35">
        <f t="shared" si="0"/>
        <v>19</v>
      </c>
      <c r="B22" s="38" t="s">
        <v>537</v>
      </c>
      <c r="C22" s="26" t="s">
        <v>344</v>
      </c>
      <c r="D22" s="39" t="s">
        <v>706</v>
      </c>
    </row>
    <row r="23" spans="1:4" s="39" customFormat="1" ht="15" customHeight="1">
      <c r="A23" s="35">
        <f t="shared" si="0"/>
        <v>20</v>
      </c>
      <c r="B23" s="38" t="s">
        <v>349</v>
      </c>
      <c r="C23" s="8" t="s">
        <v>610</v>
      </c>
      <c r="D23" s="39" t="s">
        <v>312</v>
      </c>
    </row>
    <row r="24" spans="1:4" s="39" customFormat="1" ht="15" customHeight="1">
      <c r="A24" s="35">
        <f t="shared" si="0"/>
        <v>21</v>
      </c>
      <c r="B24" s="119" t="s">
        <v>714</v>
      </c>
      <c r="C24" s="123" t="s">
        <v>554</v>
      </c>
      <c r="D24" s="48" t="s">
        <v>390</v>
      </c>
    </row>
    <row r="25" spans="1:4" s="39" customFormat="1" ht="15" customHeight="1">
      <c r="A25" s="35">
        <f t="shared" si="0"/>
        <v>22</v>
      </c>
      <c r="B25" s="41" t="s">
        <v>533</v>
      </c>
      <c r="C25" s="8" t="s">
        <v>552</v>
      </c>
      <c r="D25" s="39" t="s">
        <v>312</v>
      </c>
    </row>
    <row r="26" spans="1:4" s="16" customFormat="1" ht="15" customHeight="1">
      <c r="A26" s="35">
        <f t="shared" si="0"/>
        <v>23</v>
      </c>
      <c r="B26" s="38" t="s">
        <v>482</v>
      </c>
      <c r="C26" s="26" t="s">
        <v>490</v>
      </c>
      <c r="D26" s="39" t="s">
        <v>1113</v>
      </c>
    </row>
    <row r="27" spans="1:4" s="16" customFormat="1" ht="15" customHeight="1">
      <c r="A27" s="35">
        <f t="shared" si="0"/>
        <v>24</v>
      </c>
      <c r="B27" s="38" t="s">
        <v>350</v>
      </c>
      <c r="C27" s="8" t="s">
        <v>391</v>
      </c>
      <c r="D27" s="39" t="s">
        <v>735</v>
      </c>
    </row>
    <row r="28" spans="1:4" s="39" customFormat="1" ht="15" customHeight="1">
      <c r="A28" s="35">
        <f t="shared" si="0"/>
        <v>25</v>
      </c>
      <c r="B28" s="38" t="s">
        <v>401</v>
      </c>
      <c r="C28" s="8" t="s">
        <v>568</v>
      </c>
      <c r="D28" s="39" t="s">
        <v>948</v>
      </c>
    </row>
    <row r="29" spans="1:4" s="39" customFormat="1" ht="15" customHeight="1">
      <c r="A29" s="35">
        <f t="shared" si="0"/>
        <v>26</v>
      </c>
      <c r="B29" s="108" t="s">
        <v>315</v>
      </c>
      <c r="C29" s="109" t="s">
        <v>317</v>
      </c>
      <c r="D29" s="108"/>
    </row>
    <row r="30" spans="1:4" s="16" customFormat="1" ht="15" customHeight="1">
      <c r="A30" s="35">
        <f t="shared" si="0"/>
        <v>27</v>
      </c>
      <c r="B30" s="38" t="s">
        <v>402</v>
      </c>
      <c r="C30" s="26" t="s">
        <v>387</v>
      </c>
      <c r="D30" s="39" t="s">
        <v>335</v>
      </c>
    </row>
    <row r="31" spans="1:4" s="48" customFormat="1" ht="15" customHeight="1">
      <c r="A31" s="35">
        <f t="shared" si="0"/>
        <v>28</v>
      </c>
      <c r="B31" s="38" t="s">
        <v>403</v>
      </c>
      <c r="C31" s="8" t="s">
        <v>587</v>
      </c>
      <c r="D31" s="39" t="s">
        <v>86</v>
      </c>
    </row>
    <row r="32" spans="1:4" s="16" customFormat="1" ht="15" customHeight="1">
      <c r="A32" s="35">
        <f t="shared" si="0"/>
        <v>29</v>
      </c>
      <c r="B32" s="38" t="s">
        <v>507</v>
      </c>
      <c r="C32" s="8" t="s">
        <v>334</v>
      </c>
      <c r="D32" s="39" t="s">
        <v>708</v>
      </c>
    </row>
    <row r="33" spans="1:4" s="39" customFormat="1" ht="15" customHeight="1">
      <c r="A33" s="35">
        <f t="shared" si="0"/>
        <v>30</v>
      </c>
      <c r="B33" s="38" t="s">
        <v>504</v>
      </c>
      <c r="C33" s="8" t="s">
        <v>443</v>
      </c>
      <c r="D33" s="39" t="s">
        <v>85</v>
      </c>
    </row>
    <row r="34" spans="1:4" s="39" customFormat="1" ht="15" customHeight="1">
      <c r="A34" s="35">
        <f t="shared" si="0"/>
        <v>31</v>
      </c>
      <c r="B34" s="42" t="s">
        <v>905</v>
      </c>
      <c r="C34" s="26"/>
      <c r="D34" s="42" t="s">
        <v>1112</v>
      </c>
    </row>
    <row r="35" spans="1:4" s="16" customFormat="1" ht="15" customHeight="1">
      <c r="A35" s="35">
        <f t="shared" si="0"/>
        <v>32</v>
      </c>
      <c r="B35" s="38" t="s">
        <v>404</v>
      </c>
      <c r="C35" s="8" t="s">
        <v>444</v>
      </c>
      <c r="D35" s="39" t="s">
        <v>950</v>
      </c>
    </row>
    <row r="36" spans="1:4" s="39" customFormat="1" ht="15" customHeight="1">
      <c r="A36" s="35">
        <f t="shared" si="0"/>
        <v>33</v>
      </c>
      <c r="B36" s="38" t="s">
        <v>384</v>
      </c>
      <c r="C36" s="8" t="s">
        <v>385</v>
      </c>
      <c r="D36" s="39" t="s">
        <v>341</v>
      </c>
    </row>
    <row r="37" spans="1:4" s="39" customFormat="1" ht="15" customHeight="1">
      <c r="A37" s="35">
        <f t="shared" si="0"/>
        <v>34</v>
      </c>
      <c r="B37" s="115" t="s">
        <v>713</v>
      </c>
      <c r="C37" s="116" t="s">
        <v>985</v>
      </c>
      <c r="D37" s="50" t="s">
        <v>707</v>
      </c>
    </row>
    <row r="38" spans="1:4" s="39" customFormat="1" ht="15" customHeight="1">
      <c r="A38" s="35">
        <f t="shared" si="0"/>
        <v>35</v>
      </c>
      <c r="B38" s="38" t="s">
        <v>734</v>
      </c>
      <c r="C38" s="52" t="s">
        <v>465</v>
      </c>
      <c r="D38" s="39" t="s">
        <v>475</v>
      </c>
    </row>
    <row r="39" spans="1:4" s="48" customFormat="1" ht="15" customHeight="1">
      <c r="A39" s="35">
        <f t="shared" si="0"/>
        <v>36</v>
      </c>
      <c r="B39" s="41" t="s">
        <v>730</v>
      </c>
      <c r="C39" s="8" t="s">
        <v>572</v>
      </c>
      <c r="D39" s="39" t="s">
        <v>676</v>
      </c>
    </row>
    <row r="40" spans="1:4" s="39" customFormat="1" ht="15" customHeight="1">
      <c r="A40" s="35">
        <f t="shared" si="0"/>
        <v>37</v>
      </c>
      <c r="B40" s="38" t="s">
        <v>712</v>
      </c>
      <c r="C40" s="8" t="s">
        <v>585</v>
      </c>
      <c r="D40" s="39" t="s">
        <v>476</v>
      </c>
    </row>
    <row r="41" spans="1:4" s="39" customFormat="1" ht="15" customHeight="1">
      <c r="A41" s="35">
        <f t="shared" si="0"/>
        <v>38</v>
      </c>
      <c r="B41" s="45" t="s">
        <v>599</v>
      </c>
      <c r="C41" s="10" t="s">
        <v>616</v>
      </c>
      <c r="D41" s="16"/>
    </row>
    <row r="42" spans="1:4" s="39" customFormat="1" ht="15" customHeight="1">
      <c r="A42" s="35">
        <f t="shared" si="0"/>
        <v>39</v>
      </c>
      <c r="B42" s="38" t="s">
        <v>405</v>
      </c>
      <c r="C42" s="8" t="s">
        <v>445</v>
      </c>
      <c r="D42" s="39" t="s">
        <v>551</v>
      </c>
    </row>
    <row r="43" spans="1:4" s="39" customFormat="1" ht="15" customHeight="1">
      <c r="A43" s="35">
        <f t="shared" si="0"/>
        <v>40</v>
      </c>
      <c r="B43" s="38" t="s">
        <v>541</v>
      </c>
      <c r="C43" s="26" t="s">
        <v>618</v>
      </c>
      <c r="D43" s="39" t="s">
        <v>1086</v>
      </c>
    </row>
    <row r="44" spans="1:4" s="39" customFormat="1" ht="15" customHeight="1">
      <c r="A44" s="35">
        <f t="shared" si="0"/>
        <v>41</v>
      </c>
      <c r="B44" s="38" t="s">
        <v>406</v>
      </c>
      <c r="C44" s="8" t="s">
        <v>446</v>
      </c>
      <c r="D44" s="39" t="s">
        <v>721</v>
      </c>
    </row>
    <row r="45" spans="1:4" s="39" customFormat="1" ht="15" customHeight="1">
      <c r="A45" s="35">
        <f t="shared" si="0"/>
        <v>42</v>
      </c>
      <c r="B45" s="38" t="s">
        <v>351</v>
      </c>
      <c r="C45" s="8" t="s">
        <v>582</v>
      </c>
      <c r="D45" s="39" t="s">
        <v>335</v>
      </c>
    </row>
    <row r="46" spans="1:4" s="39" customFormat="1" ht="15" customHeight="1">
      <c r="A46" s="35">
        <f t="shared" si="0"/>
        <v>43</v>
      </c>
      <c r="B46" s="38" t="s">
        <v>352</v>
      </c>
      <c r="C46" s="8" t="s">
        <v>619</v>
      </c>
      <c r="D46" s="39" t="s">
        <v>335</v>
      </c>
    </row>
    <row r="47" spans="1:4" s="39" customFormat="1" ht="15" customHeight="1">
      <c r="A47" s="35">
        <f t="shared" si="0"/>
        <v>44</v>
      </c>
      <c r="B47" s="38" t="s">
        <v>477</v>
      </c>
      <c r="C47" s="8" t="s">
        <v>447</v>
      </c>
      <c r="D47" s="39" t="s">
        <v>680</v>
      </c>
    </row>
    <row r="48" spans="1:4" s="16" customFormat="1" ht="15" customHeight="1">
      <c r="A48" s="35">
        <f t="shared" si="0"/>
        <v>45</v>
      </c>
      <c r="B48" s="38" t="s">
        <v>407</v>
      </c>
      <c r="C48" s="26" t="s">
        <v>377</v>
      </c>
      <c r="D48" s="39" t="s">
        <v>341</v>
      </c>
    </row>
    <row r="49" spans="1:4" s="39" customFormat="1" ht="15" customHeight="1">
      <c r="A49" s="35">
        <f t="shared" si="0"/>
        <v>46</v>
      </c>
      <c r="B49" s="41" t="s">
        <v>812</v>
      </c>
      <c r="C49" s="8" t="s">
        <v>574</v>
      </c>
      <c r="D49" s="39" t="s">
        <v>676</v>
      </c>
    </row>
    <row r="50" spans="1:4" s="39" customFormat="1" ht="15" customHeight="1">
      <c r="A50" s="35">
        <f t="shared" si="0"/>
        <v>47</v>
      </c>
      <c r="B50" s="106" t="s">
        <v>813</v>
      </c>
      <c r="C50" s="9"/>
      <c r="D50" s="16"/>
    </row>
    <row r="51" spans="1:4" s="16" customFormat="1" ht="15" customHeight="1">
      <c r="A51" s="35">
        <f t="shared" si="0"/>
        <v>48</v>
      </c>
      <c r="B51" s="38" t="s">
        <v>510</v>
      </c>
      <c r="C51" s="8" t="s">
        <v>621</v>
      </c>
      <c r="D51" s="39" t="s">
        <v>192</v>
      </c>
    </row>
    <row r="52" spans="1:4" s="16" customFormat="1" ht="15" customHeight="1">
      <c r="A52" s="35">
        <f t="shared" si="0"/>
        <v>49</v>
      </c>
      <c r="B52" s="38" t="s">
        <v>500</v>
      </c>
      <c r="C52" s="8" t="s">
        <v>395</v>
      </c>
      <c r="D52" s="39" t="s">
        <v>335</v>
      </c>
    </row>
    <row r="53" spans="1:4" s="39" customFormat="1" ht="15" customHeight="1">
      <c r="A53" s="35">
        <f t="shared" si="0"/>
        <v>50</v>
      </c>
      <c r="B53" s="38" t="s">
        <v>408</v>
      </c>
      <c r="C53" s="8" t="s">
        <v>468</v>
      </c>
      <c r="D53" s="39" t="s">
        <v>949</v>
      </c>
    </row>
    <row r="54" spans="1:4" s="16" customFormat="1" ht="15" customHeight="1">
      <c r="A54" s="35">
        <f t="shared" si="0"/>
        <v>51</v>
      </c>
      <c r="B54" s="38" t="s">
        <v>388</v>
      </c>
      <c r="C54" s="40" t="s">
        <v>378</v>
      </c>
      <c r="D54" s="39" t="s">
        <v>312</v>
      </c>
    </row>
    <row r="55" spans="1:4" s="16" customFormat="1" ht="15" customHeight="1">
      <c r="A55" s="35">
        <f t="shared" si="0"/>
        <v>52</v>
      </c>
      <c r="B55" s="38" t="s">
        <v>409</v>
      </c>
      <c r="C55" s="26" t="s">
        <v>448</v>
      </c>
      <c r="D55" s="39" t="s">
        <v>622</v>
      </c>
    </row>
    <row r="56" spans="1:4" s="39" customFormat="1" ht="15" customHeight="1">
      <c r="A56" s="35">
        <f t="shared" si="0"/>
        <v>53</v>
      </c>
      <c r="B56" s="42" t="s">
        <v>1062</v>
      </c>
      <c r="C56" s="42" t="s">
        <v>1063</v>
      </c>
      <c r="D56" s="42" t="s">
        <v>890</v>
      </c>
    </row>
    <row r="57" spans="1:4" s="39" customFormat="1" ht="15" customHeight="1">
      <c r="A57" s="35">
        <f t="shared" si="0"/>
        <v>54</v>
      </c>
      <c r="B57" s="38" t="s">
        <v>1014</v>
      </c>
      <c r="C57" s="42" t="s">
        <v>1016</v>
      </c>
      <c r="D57" s="39" t="s">
        <v>1015</v>
      </c>
    </row>
    <row r="58" spans="1:4" s="39" customFormat="1" ht="15" customHeight="1">
      <c r="A58" s="35">
        <f t="shared" si="0"/>
        <v>55</v>
      </c>
      <c r="B58" s="38" t="s">
        <v>538</v>
      </c>
      <c r="C58" s="8" t="s">
        <v>449</v>
      </c>
      <c r="D58" s="39" t="s">
        <v>335</v>
      </c>
    </row>
    <row r="59" spans="1:4" s="39" customFormat="1" ht="15" customHeight="1">
      <c r="A59" s="35">
        <f t="shared" si="0"/>
        <v>56</v>
      </c>
      <c r="B59" s="38" t="s">
        <v>410</v>
      </c>
      <c r="C59" s="8" t="s">
        <v>442</v>
      </c>
      <c r="D59" s="39" t="s">
        <v>588</v>
      </c>
    </row>
    <row r="60" spans="1:4" s="39" customFormat="1" ht="15" customHeight="1">
      <c r="A60" s="35">
        <f t="shared" si="0"/>
        <v>57</v>
      </c>
      <c r="B60" s="119" t="s">
        <v>589</v>
      </c>
      <c r="C60" s="123" t="s">
        <v>660</v>
      </c>
      <c r="D60" s="48" t="s">
        <v>134</v>
      </c>
    </row>
    <row r="61" spans="1:4" s="39" customFormat="1" ht="15" customHeight="1">
      <c r="A61" s="35">
        <f t="shared" si="0"/>
        <v>58</v>
      </c>
      <c r="B61" s="38" t="s">
        <v>411</v>
      </c>
      <c r="C61" s="8" t="s">
        <v>450</v>
      </c>
      <c r="D61" s="39" t="s">
        <v>390</v>
      </c>
    </row>
    <row r="62" spans="1:4" s="16" customFormat="1" ht="15" customHeight="1">
      <c r="A62" s="35">
        <f t="shared" si="0"/>
        <v>59</v>
      </c>
      <c r="B62" s="38" t="s">
        <v>427</v>
      </c>
      <c r="C62" s="8" t="s">
        <v>389</v>
      </c>
      <c r="D62" s="39" t="s">
        <v>90</v>
      </c>
    </row>
    <row r="63" spans="1:4" s="39" customFormat="1" ht="15" customHeight="1">
      <c r="A63" s="35">
        <f t="shared" si="0"/>
        <v>60</v>
      </c>
      <c r="B63" s="103" t="s">
        <v>817</v>
      </c>
      <c r="C63" s="8" t="s">
        <v>433</v>
      </c>
      <c r="D63" s="39" t="s">
        <v>1109</v>
      </c>
    </row>
    <row r="64" spans="1:4" s="39" customFormat="1" ht="15" customHeight="1">
      <c r="A64" s="35">
        <f t="shared" si="0"/>
        <v>61</v>
      </c>
      <c r="B64" s="38" t="s">
        <v>323</v>
      </c>
      <c r="C64" s="8" t="s">
        <v>342</v>
      </c>
      <c r="D64" s="39" t="s">
        <v>390</v>
      </c>
    </row>
    <row r="65" spans="1:4" s="39" customFormat="1" ht="15" customHeight="1">
      <c r="A65" s="35">
        <f t="shared" si="0"/>
        <v>62</v>
      </c>
      <c r="B65" s="41" t="s">
        <v>733</v>
      </c>
      <c r="C65" s="8" t="s">
        <v>441</v>
      </c>
      <c r="D65" s="39" t="s">
        <v>676</v>
      </c>
    </row>
    <row r="66" spans="1:4" s="39" customFormat="1" ht="15" customHeight="1">
      <c r="A66" s="35">
        <f t="shared" si="0"/>
        <v>63</v>
      </c>
      <c r="B66" s="38" t="s">
        <v>434</v>
      </c>
      <c r="C66" s="40" t="s">
        <v>389</v>
      </c>
      <c r="D66" s="39" t="s">
        <v>341</v>
      </c>
    </row>
    <row r="67" spans="1:4" s="16" customFormat="1" ht="15" customHeight="1">
      <c r="A67" s="35">
        <f t="shared" si="0"/>
        <v>64</v>
      </c>
      <c r="B67" s="41" t="s">
        <v>575</v>
      </c>
      <c r="C67" s="8" t="s">
        <v>576</v>
      </c>
      <c r="D67" s="39" t="s">
        <v>676</v>
      </c>
    </row>
    <row r="68" spans="1:4" s="39" customFormat="1" ht="15" customHeight="1">
      <c r="A68" s="35">
        <f t="shared" si="0"/>
        <v>65</v>
      </c>
      <c r="B68" s="38" t="s">
        <v>719</v>
      </c>
      <c r="C68" s="8" t="s">
        <v>584</v>
      </c>
      <c r="D68" s="39" t="s">
        <v>100</v>
      </c>
    </row>
    <row r="69" spans="1:4" s="39" customFormat="1" ht="15" customHeight="1">
      <c r="A69" s="35">
        <f t="shared" si="0"/>
        <v>66</v>
      </c>
      <c r="B69" s="38" t="s">
        <v>396</v>
      </c>
      <c r="C69" s="8" t="s">
        <v>451</v>
      </c>
      <c r="D69" s="39" t="s">
        <v>1068</v>
      </c>
    </row>
    <row r="70" spans="1:4" s="16" customFormat="1" ht="15" customHeight="1">
      <c r="A70" s="35">
        <f aca="true" t="shared" si="1" ref="A70:A133">SUM(A69+1)</f>
        <v>67</v>
      </c>
      <c r="B70" s="38" t="s">
        <v>308</v>
      </c>
      <c r="C70" s="8" t="s">
        <v>311</v>
      </c>
      <c r="D70" s="39" t="s">
        <v>679</v>
      </c>
    </row>
    <row r="71" spans="1:4" s="39" customFormat="1" ht="15" customHeight="1">
      <c r="A71" s="35">
        <f t="shared" si="1"/>
        <v>68</v>
      </c>
      <c r="B71" s="45" t="s">
        <v>542</v>
      </c>
      <c r="C71" s="10" t="s">
        <v>628</v>
      </c>
      <c r="D71" s="16"/>
    </row>
    <row r="72" spans="1:4" s="16" customFormat="1" ht="15" customHeight="1">
      <c r="A72" s="35">
        <f t="shared" si="1"/>
        <v>69</v>
      </c>
      <c r="B72" s="41" t="s">
        <v>412</v>
      </c>
      <c r="C72" s="8" t="s">
        <v>438</v>
      </c>
      <c r="D72" s="39" t="s">
        <v>676</v>
      </c>
    </row>
    <row r="73" spans="1:4" s="16" customFormat="1" ht="15" customHeight="1">
      <c r="A73" s="35">
        <f t="shared" si="1"/>
        <v>70</v>
      </c>
      <c r="B73" s="38" t="s">
        <v>353</v>
      </c>
      <c r="C73" s="26" t="s">
        <v>367</v>
      </c>
      <c r="D73" s="39" t="s">
        <v>678</v>
      </c>
    </row>
    <row r="74" spans="1:4" s="16" customFormat="1" ht="15" customHeight="1">
      <c r="A74" s="35">
        <f t="shared" si="1"/>
        <v>71</v>
      </c>
      <c r="B74" s="38" t="s">
        <v>502</v>
      </c>
      <c r="C74" s="8" t="s">
        <v>583</v>
      </c>
      <c r="D74" s="39" t="s">
        <v>390</v>
      </c>
    </row>
    <row r="75" spans="1:4" s="39" customFormat="1" ht="15" customHeight="1">
      <c r="A75" s="35">
        <f t="shared" si="1"/>
        <v>72</v>
      </c>
      <c r="B75" s="38" t="s">
        <v>580</v>
      </c>
      <c r="C75" s="8" t="s">
        <v>581</v>
      </c>
      <c r="D75" s="39" t="s">
        <v>489</v>
      </c>
    </row>
    <row r="76" spans="1:4" s="49" customFormat="1" ht="15" customHeight="1">
      <c r="A76" s="35">
        <f t="shared" si="1"/>
        <v>73</v>
      </c>
      <c r="B76" s="41" t="s">
        <v>413</v>
      </c>
      <c r="C76" s="8" t="s">
        <v>569</v>
      </c>
      <c r="D76" s="39" t="s">
        <v>676</v>
      </c>
    </row>
    <row r="77" spans="1:4" s="39" customFormat="1" ht="15" customHeight="1">
      <c r="A77" s="35">
        <f t="shared" si="1"/>
        <v>74</v>
      </c>
      <c r="B77" s="38" t="s">
        <v>718</v>
      </c>
      <c r="C77" s="8" t="s">
        <v>374</v>
      </c>
      <c r="D77" s="39" t="s">
        <v>99</v>
      </c>
    </row>
    <row r="78" spans="1:4" s="39" customFormat="1" ht="15" customHeight="1">
      <c r="A78" s="35">
        <f t="shared" si="1"/>
        <v>75</v>
      </c>
      <c r="B78" s="38" t="s">
        <v>472</v>
      </c>
      <c r="C78" s="26" t="s">
        <v>368</v>
      </c>
      <c r="D78" s="42" t="s">
        <v>335</v>
      </c>
    </row>
    <row r="79" spans="1:4" s="39" customFormat="1" ht="15" customHeight="1">
      <c r="A79" s="35">
        <f t="shared" si="1"/>
        <v>76</v>
      </c>
      <c r="B79" s="38" t="s">
        <v>428</v>
      </c>
      <c r="C79" s="8" t="s">
        <v>452</v>
      </c>
      <c r="D79" s="39" t="s">
        <v>390</v>
      </c>
    </row>
    <row r="80" spans="1:4" s="39" customFormat="1" ht="15" customHeight="1">
      <c r="A80" s="35">
        <f t="shared" si="1"/>
        <v>77</v>
      </c>
      <c r="B80" s="38" t="s">
        <v>414</v>
      </c>
      <c r="C80" s="8" t="s">
        <v>453</v>
      </c>
      <c r="D80" s="39" t="s">
        <v>390</v>
      </c>
    </row>
    <row r="81" spans="1:4" s="39" customFormat="1" ht="15" customHeight="1">
      <c r="A81" s="35">
        <f t="shared" si="1"/>
        <v>78</v>
      </c>
      <c r="B81" s="38" t="s">
        <v>716</v>
      </c>
      <c r="C81" s="26" t="s">
        <v>633</v>
      </c>
      <c r="D81" s="39" t="s">
        <v>717</v>
      </c>
    </row>
    <row r="82" spans="1:4" s="39" customFormat="1" ht="15" customHeight="1">
      <c r="A82" s="35">
        <f t="shared" si="1"/>
        <v>79</v>
      </c>
      <c r="B82" s="38" t="s">
        <v>429</v>
      </c>
      <c r="C82" s="8" t="s">
        <v>435</v>
      </c>
      <c r="D82" s="39" t="s">
        <v>390</v>
      </c>
    </row>
    <row r="83" spans="1:4" s="16" customFormat="1" ht="15" customHeight="1">
      <c r="A83" s="35">
        <f t="shared" si="1"/>
        <v>80</v>
      </c>
      <c r="B83" s="45" t="s">
        <v>499</v>
      </c>
      <c r="C83" s="9" t="s">
        <v>634</v>
      </c>
      <c r="D83" s="16" t="s">
        <v>393</v>
      </c>
    </row>
    <row r="84" spans="1:4" s="16" customFormat="1" ht="15" customHeight="1">
      <c r="A84" s="35">
        <f t="shared" si="1"/>
        <v>81</v>
      </c>
      <c r="B84" s="38" t="s">
        <v>309</v>
      </c>
      <c r="C84" s="8" t="s">
        <v>313</v>
      </c>
      <c r="D84" s="39" t="s">
        <v>280</v>
      </c>
    </row>
    <row r="85" spans="1:4" s="39" customFormat="1" ht="15" customHeight="1">
      <c r="A85" s="35">
        <f t="shared" si="1"/>
        <v>82</v>
      </c>
      <c r="B85" s="38" t="s">
        <v>415</v>
      </c>
      <c r="C85" s="8" t="s">
        <v>454</v>
      </c>
      <c r="D85" s="39" t="s">
        <v>1015</v>
      </c>
    </row>
    <row r="86" spans="1:4" s="39" customFormat="1" ht="15" customHeight="1">
      <c r="A86" s="35">
        <f t="shared" si="1"/>
        <v>83</v>
      </c>
      <c r="B86" s="38" t="s">
        <v>416</v>
      </c>
      <c r="C86" s="8" t="s">
        <v>455</v>
      </c>
      <c r="D86" s="39" t="s">
        <v>1064</v>
      </c>
    </row>
    <row r="87" spans="1:4" s="39" customFormat="1" ht="15" customHeight="1">
      <c r="A87" s="35">
        <f t="shared" si="1"/>
        <v>84</v>
      </c>
      <c r="B87" s="38" t="s">
        <v>691</v>
      </c>
      <c r="C87" s="8" t="s">
        <v>437</v>
      </c>
      <c r="D87" s="39" t="s">
        <v>312</v>
      </c>
    </row>
    <row r="88" spans="1:4" s="16" customFormat="1" ht="15" customHeight="1">
      <c r="A88" s="35">
        <f t="shared" si="1"/>
        <v>85</v>
      </c>
      <c r="B88" s="38" t="s">
        <v>324</v>
      </c>
      <c r="C88" s="8" t="s">
        <v>331</v>
      </c>
      <c r="D88" s="39" t="s">
        <v>1053</v>
      </c>
    </row>
    <row r="89" spans="1:4" s="39" customFormat="1" ht="15" customHeight="1">
      <c r="A89" s="35">
        <f t="shared" si="1"/>
        <v>86</v>
      </c>
      <c r="B89" s="38" t="s">
        <v>722</v>
      </c>
      <c r="C89" s="43" t="s">
        <v>638</v>
      </c>
      <c r="D89" s="39" t="s">
        <v>932</v>
      </c>
    </row>
    <row r="90" spans="1:4" s="39" customFormat="1" ht="15" customHeight="1">
      <c r="A90" s="35">
        <f t="shared" si="1"/>
        <v>87</v>
      </c>
      <c r="B90" s="38" t="s">
        <v>508</v>
      </c>
      <c r="C90" s="8" t="s">
        <v>594</v>
      </c>
      <c r="D90" s="39" t="s">
        <v>595</v>
      </c>
    </row>
    <row r="91" spans="1:4" s="39" customFormat="1" ht="15" customHeight="1">
      <c r="A91" s="35">
        <f t="shared" si="1"/>
        <v>88</v>
      </c>
      <c r="B91" s="38" t="s">
        <v>430</v>
      </c>
      <c r="C91" s="8" t="s">
        <v>436</v>
      </c>
      <c r="D91" s="39" t="s">
        <v>99</v>
      </c>
    </row>
    <row r="92" spans="1:4" s="39" customFormat="1" ht="15" customHeight="1">
      <c r="A92" s="35">
        <f t="shared" si="1"/>
        <v>89</v>
      </c>
      <c r="B92" s="38" t="s">
        <v>742</v>
      </c>
      <c r="C92" s="8" t="s">
        <v>567</v>
      </c>
      <c r="D92" s="39" t="s">
        <v>562</v>
      </c>
    </row>
    <row r="93" spans="1:4" s="16" customFormat="1" ht="15" customHeight="1">
      <c r="A93" s="35">
        <f t="shared" si="1"/>
        <v>90</v>
      </c>
      <c r="B93" s="38" t="s">
        <v>501</v>
      </c>
      <c r="C93" s="26" t="s">
        <v>456</v>
      </c>
      <c r="D93" s="39" t="s">
        <v>320</v>
      </c>
    </row>
    <row r="94" spans="1:4" s="16" customFormat="1" ht="15" customHeight="1">
      <c r="A94" s="35">
        <f t="shared" si="1"/>
        <v>91</v>
      </c>
      <c r="B94" s="38" t="s">
        <v>512</v>
      </c>
      <c r="C94" s="8" t="s">
        <v>641</v>
      </c>
      <c r="D94" s="39" t="s">
        <v>335</v>
      </c>
    </row>
    <row r="95" spans="1:4" s="39" customFormat="1" ht="15" customHeight="1">
      <c r="A95" s="35">
        <f t="shared" si="1"/>
        <v>92</v>
      </c>
      <c r="B95" s="106" t="s">
        <v>746</v>
      </c>
      <c r="C95" s="107" t="s">
        <v>747</v>
      </c>
      <c r="D95" s="16"/>
    </row>
    <row r="96" spans="1:4" s="16" customFormat="1" ht="15" customHeight="1">
      <c r="A96" s="35">
        <f t="shared" si="1"/>
        <v>93</v>
      </c>
      <c r="B96" s="38" t="s">
        <v>506</v>
      </c>
      <c r="C96" s="8" t="s">
        <v>643</v>
      </c>
      <c r="D96" s="39" t="s">
        <v>1028</v>
      </c>
    </row>
    <row r="97" spans="1:4" s="16" customFormat="1" ht="15" customHeight="1">
      <c r="A97" s="35">
        <f t="shared" si="1"/>
        <v>94</v>
      </c>
      <c r="B97" s="38" t="s">
        <v>514</v>
      </c>
      <c r="C97" s="8" t="s">
        <v>578</v>
      </c>
      <c r="D97" s="39" t="s">
        <v>717</v>
      </c>
    </row>
    <row r="98" spans="1:4" s="16" customFormat="1" ht="15" customHeight="1">
      <c r="A98" s="35">
        <f t="shared" si="1"/>
        <v>95</v>
      </c>
      <c r="B98" s="41" t="s">
        <v>516</v>
      </c>
      <c r="C98" s="8" t="s">
        <v>647</v>
      </c>
      <c r="D98" s="39" t="s">
        <v>170</v>
      </c>
    </row>
    <row r="99" spans="1:4" s="16" customFormat="1" ht="15" customHeight="1">
      <c r="A99" s="35">
        <f t="shared" si="1"/>
        <v>96</v>
      </c>
      <c r="B99" s="121" t="s">
        <v>593</v>
      </c>
      <c r="C99" s="122" t="s">
        <v>369</v>
      </c>
      <c r="D99" s="121" t="s">
        <v>335</v>
      </c>
    </row>
    <row r="100" spans="1:4" s="16" customFormat="1" ht="15" customHeight="1">
      <c r="A100" s="35">
        <f t="shared" si="1"/>
        <v>97</v>
      </c>
      <c r="B100" s="38" t="s">
        <v>505</v>
      </c>
      <c r="C100" s="8" t="s">
        <v>579</v>
      </c>
      <c r="D100" s="39" t="s">
        <v>725</v>
      </c>
    </row>
    <row r="101" spans="1:4" s="39" customFormat="1" ht="15" customHeight="1">
      <c r="A101" s="35">
        <f t="shared" si="1"/>
        <v>98</v>
      </c>
      <c r="B101" s="38" t="s">
        <v>536</v>
      </c>
      <c r="C101" s="8" t="s">
        <v>549</v>
      </c>
      <c r="D101" s="39" t="s">
        <v>93</v>
      </c>
    </row>
    <row r="102" spans="1:4" s="39" customFormat="1" ht="15" customHeight="1">
      <c r="A102" s="35">
        <f t="shared" si="1"/>
        <v>99</v>
      </c>
      <c r="B102" s="38" t="s">
        <v>417</v>
      </c>
      <c r="C102" s="8" t="s">
        <v>645</v>
      </c>
      <c r="D102" s="39" t="s">
        <v>431</v>
      </c>
    </row>
    <row r="103" spans="1:4" s="39" customFormat="1" ht="15" customHeight="1">
      <c r="A103" s="35">
        <f t="shared" si="1"/>
        <v>100</v>
      </c>
      <c r="B103" s="38" t="s">
        <v>354</v>
      </c>
      <c r="C103" s="8" t="s">
        <v>294</v>
      </c>
      <c r="D103" s="39" t="s">
        <v>431</v>
      </c>
    </row>
    <row r="104" spans="1:4" s="39" customFormat="1" ht="15" customHeight="1">
      <c r="A104" s="35">
        <f t="shared" si="1"/>
        <v>101</v>
      </c>
      <c r="B104" s="38" t="s">
        <v>470</v>
      </c>
      <c r="C104" s="26" t="s">
        <v>471</v>
      </c>
      <c r="D104" s="39" t="s">
        <v>312</v>
      </c>
    </row>
    <row r="105" spans="1:4" s="16" customFormat="1" ht="15" customHeight="1">
      <c r="A105" s="35">
        <f t="shared" si="1"/>
        <v>102</v>
      </c>
      <c r="B105" s="38" t="s">
        <v>397</v>
      </c>
      <c r="C105" s="8" t="s">
        <v>466</v>
      </c>
      <c r="D105" s="39" t="s">
        <v>489</v>
      </c>
    </row>
    <row r="106" spans="1:4" s="39" customFormat="1" ht="15" customHeight="1">
      <c r="A106" s="35">
        <f t="shared" si="1"/>
        <v>103</v>
      </c>
      <c r="B106" s="38" t="s">
        <v>540</v>
      </c>
      <c r="C106" s="8" t="s">
        <v>295</v>
      </c>
      <c r="D106" s="39" t="s">
        <v>341</v>
      </c>
    </row>
    <row r="107" spans="1:4" s="39" customFormat="1" ht="15" customHeight="1">
      <c r="A107" s="35">
        <f t="shared" si="1"/>
        <v>104</v>
      </c>
      <c r="B107" s="38" t="s">
        <v>498</v>
      </c>
      <c r="C107" s="8" t="s">
        <v>646</v>
      </c>
      <c r="D107" s="39" t="s">
        <v>277</v>
      </c>
    </row>
    <row r="108" spans="1:4" s="39" customFormat="1" ht="15" customHeight="1">
      <c r="A108" s="35">
        <f t="shared" si="1"/>
        <v>105</v>
      </c>
      <c r="B108" s="38" t="s">
        <v>418</v>
      </c>
      <c r="C108" s="8" t="s">
        <v>457</v>
      </c>
      <c r="D108" s="39" t="s">
        <v>981</v>
      </c>
    </row>
    <row r="109" spans="1:4" s="16" customFormat="1" ht="15" customHeight="1">
      <c r="A109" s="35">
        <f t="shared" si="1"/>
        <v>106</v>
      </c>
      <c r="B109" s="41" t="s">
        <v>515</v>
      </c>
      <c r="C109" s="8" t="s">
        <v>649</v>
      </c>
      <c r="D109" s="39" t="s">
        <v>169</v>
      </c>
    </row>
    <row r="110" spans="1:4" s="39" customFormat="1" ht="15" customHeight="1">
      <c r="A110" s="35">
        <f t="shared" si="1"/>
        <v>107</v>
      </c>
      <c r="B110" s="38" t="s">
        <v>355</v>
      </c>
      <c r="C110" s="4" t="s">
        <v>296</v>
      </c>
      <c r="D110" s="39" t="s">
        <v>693</v>
      </c>
    </row>
    <row r="111" spans="1:4" s="16" customFormat="1" ht="15" customHeight="1">
      <c r="A111" s="35">
        <f t="shared" si="1"/>
        <v>108</v>
      </c>
      <c r="B111" s="41" t="s">
        <v>419</v>
      </c>
      <c r="C111" s="8" t="s">
        <v>458</v>
      </c>
      <c r="D111" s="39" t="s">
        <v>124</v>
      </c>
    </row>
    <row r="112" spans="1:4" s="39" customFormat="1" ht="15" customHeight="1">
      <c r="A112" s="35">
        <f t="shared" si="1"/>
        <v>109</v>
      </c>
      <c r="B112" s="38" t="s">
        <v>325</v>
      </c>
      <c r="C112" s="8" t="s">
        <v>380</v>
      </c>
      <c r="D112" s="39" t="s">
        <v>1054</v>
      </c>
    </row>
    <row r="113" spans="1:4" s="39" customFormat="1" ht="15" customHeight="1">
      <c r="A113" s="35">
        <f t="shared" si="1"/>
        <v>110</v>
      </c>
      <c r="B113" s="38" t="s">
        <v>543</v>
      </c>
      <c r="C113" s="8"/>
      <c r="D113" s="39" t="s">
        <v>987</v>
      </c>
    </row>
    <row r="114" spans="1:4" s="16" customFormat="1" ht="15" customHeight="1">
      <c r="A114" s="35">
        <f t="shared" si="1"/>
        <v>111</v>
      </c>
      <c r="B114" s="41" t="s">
        <v>420</v>
      </c>
      <c r="C114" s="8" t="s">
        <v>464</v>
      </c>
      <c r="D114" s="39" t="s">
        <v>124</v>
      </c>
    </row>
    <row r="115" spans="1:4" s="39" customFormat="1" ht="15" customHeight="1">
      <c r="A115" s="35">
        <f t="shared" si="1"/>
        <v>112</v>
      </c>
      <c r="B115" s="38" t="s">
        <v>421</v>
      </c>
      <c r="C115" s="8" t="s">
        <v>463</v>
      </c>
      <c r="D115" s="39" t="s">
        <v>335</v>
      </c>
    </row>
    <row r="116" spans="1:4" s="39" customFormat="1" ht="15" customHeight="1">
      <c r="A116" s="35">
        <f t="shared" si="1"/>
        <v>113</v>
      </c>
      <c r="B116" s="42" t="s">
        <v>135</v>
      </c>
      <c r="C116" s="26"/>
      <c r="D116" s="42" t="s">
        <v>136</v>
      </c>
    </row>
    <row r="117" spans="1:4" s="39" customFormat="1" ht="15" customHeight="1">
      <c r="A117" s="35">
        <f t="shared" si="1"/>
        <v>114</v>
      </c>
      <c r="B117" s="38" t="s">
        <v>356</v>
      </c>
      <c r="C117" s="26" t="s">
        <v>319</v>
      </c>
      <c r="D117" s="39" t="s">
        <v>57</v>
      </c>
    </row>
    <row r="118" spans="1:4" s="16" customFormat="1" ht="15" customHeight="1">
      <c r="A118" s="35">
        <f t="shared" si="1"/>
        <v>115</v>
      </c>
      <c r="B118" s="38" t="s">
        <v>544</v>
      </c>
      <c r="C118" s="8" t="s">
        <v>590</v>
      </c>
      <c r="D118" s="39" t="s">
        <v>72</v>
      </c>
    </row>
    <row r="119" spans="1:4" s="16" customFormat="1" ht="15" customHeight="1">
      <c r="A119" s="35">
        <f t="shared" si="1"/>
        <v>116</v>
      </c>
      <c r="B119" s="38" t="s">
        <v>422</v>
      </c>
      <c r="C119" s="8" t="s">
        <v>462</v>
      </c>
      <c r="D119" s="39" t="s">
        <v>961</v>
      </c>
    </row>
    <row r="120" spans="1:4" s="50" customFormat="1" ht="15" customHeight="1">
      <c r="A120" s="35">
        <f t="shared" si="1"/>
        <v>117</v>
      </c>
      <c r="B120" s="38" t="s">
        <v>297</v>
      </c>
      <c r="C120" s="8" t="s">
        <v>432</v>
      </c>
      <c r="D120" s="39" t="s">
        <v>577</v>
      </c>
    </row>
    <row r="121" spans="1:4" s="16" customFormat="1" ht="15" customHeight="1">
      <c r="A121" s="35">
        <f t="shared" si="1"/>
        <v>118</v>
      </c>
      <c r="B121" s="38" t="s">
        <v>372</v>
      </c>
      <c r="C121" s="8" t="s">
        <v>373</v>
      </c>
      <c r="D121" s="39" t="s">
        <v>577</v>
      </c>
    </row>
    <row r="122" spans="1:4" s="49" customFormat="1" ht="15" customHeight="1">
      <c r="A122" s="35">
        <f t="shared" si="1"/>
        <v>119</v>
      </c>
      <c r="B122" s="119" t="s">
        <v>709</v>
      </c>
      <c r="C122" s="39" t="s">
        <v>711</v>
      </c>
      <c r="D122" s="48" t="s">
        <v>710</v>
      </c>
    </row>
    <row r="123" spans="1:4" s="39" customFormat="1" ht="15" customHeight="1">
      <c r="A123" s="35">
        <f t="shared" si="1"/>
        <v>120</v>
      </c>
      <c r="B123" s="38" t="s">
        <v>357</v>
      </c>
      <c r="C123" s="26" t="s">
        <v>370</v>
      </c>
      <c r="D123" s="39" t="s">
        <v>936</v>
      </c>
    </row>
    <row r="124" spans="1:4" s="39" customFormat="1" ht="15" customHeight="1">
      <c r="A124" s="35">
        <f t="shared" si="1"/>
        <v>121</v>
      </c>
      <c r="B124" s="38" t="s">
        <v>511</v>
      </c>
      <c r="C124" s="8" t="s">
        <v>586</v>
      </c>
      <c r="D124" s="39" t="s">
        <v>961</v>
      </c>
    </row>
    <row r="125" spans="1:4" s="16" customFormat="1" ht="15" customHeight="1">
      <c r="A125" s="35">
        <f t="shared" si="1"/>
        <v>122</v>
      </c>
      <c r="B125" s="38" t="s">
        <v>683</v>
      </c>
      <c r="C125" s="8" t="s">
        <v>684</v>
      </c>
      <c r="D125" s="39" t="s">
        <v>726</v>
      </c>
    </row>
    <row r="126" spans="1:4" s="39" customFormat="1" ht="15" customHeight="1">
      <c r="A126" s="35">
        <f t="shared" si="1"/>
        <v>123</v>
      </c>
      <c r="B126" s="42" t="s">
        <v>724</v>
      </c>
      <c r="C126" s="26" t="s">
        <v>117</v>
      </c>
      <c r="D126" s="42" t="s">
        <v>390</v>
      </c>
    </row>
    <row r="127" spans="1:4" s="16" customFormat="1" ht="15" customHeight="1">
      <c r="A127" s="35">
        <f t="shared" si="1"/>
        <v>124</v>
      </c>
      <c r="B127" s="38" t="s">
        <v>358</v>
      </c>
      <c r="C127" s="8" t="s">
        <v>381</v>
      </c>
      <c r="D127" s="39" t="s">
        <v>335</v>
      </c>
    </row>
    <row r="128" spans="1:4" s="16" customFormat="1" ht="15" customHeight="1">
      <c r="A128" s="35">
        <f t="shared" si="1"/>
        <v>125</v>
      </c>
      <c r="B128" s="38" t="s">
        <v>338</v>
      </c>
      <c r="C128" s="8" t="s">
        <v>339</v>
      </c>
      <c r="D128" s="39" t="s">
        <v>68</v>
      </c>
    </row>
    <row r="129" spans="1:4" s="39" customFormat="1" ht="15" customHeight="1">
      <c r="A129" s="35">
        <f t="shared" si="1"/>
        <v>126</v>
      </c>
      <c r="B129" s="38" t="s">
        <v>359</v>
      </c>
      <c r="C129" s="26" t="s">
        <v>371</v>
      </c>
      <c r="D129" s="39" t="s">
        <v>19</v>
      </c>
    </row>
    <row r="130" spans="1:4" s="39" customFormat="1" ht="15" customHeight="1">
      <c r="A130" s="35">
        <f t="shared" si="1"/>
        <v>127</v>
      </c>
      <c r="B130" s="38" t="s">
        <v>736</v>
      </c>
      <c r="C130" s="26" t="s">
        <v>658</v>
      </c>
      <c r="D130" s="39" t="s">
        <v>1037</v>
      </c>
    </row>
    <row r="131" spans="1:4" s="39" customFormat="1" ht="15" customHeight="1">
      <c r="A131" s="35">
        <f t="shared" si="1"/>
        <v>128</v>
      </c>
      <c r="B131" s="38" t="s">
        <v>360</v>
      </c>
      <c r="C131" s="124" t="s">
        <v>382</v>
      </c>
      <c r="D131" s="39" t="s">
        <v>390</v>
      </c>
    </row>
    <row r="132" spans="1:4" s="39" customFormat="1" ht="15" customHeight="1">
      <c r="A132" s="35">
        <f t="shared" si="1"/>
        <v>129</v>
      </c>
      <c r="B132" s="39" t="s">
        <v>924</v>
      </c>
      <c r="C132" s="8" t="s">
        <v>58</v>
      </c>
      <c r="D132" s="103" t="s">
        <v>60</v>
      </c>
    </row>
    <row r="133" spans="1:4" s="39" customFormat="1" ht="15" customHeight="1">
      <c r="A133" s="35">
        <f t="shared" si="1"/>
        <v>130</v>
      </c>
      <c r="B133" s="38" t="s">
        <v>486</v>
      </c>
      <c r="C133" s="26" t="s">
        <v>491</v>
      </c>
      <c r="D133" s="39" t="s">
        <v>90</v>
      </c>
    </row>
    <row r="134" spans="1:4" s="16" customFormat="1" ht="15" customHeight="1">
      <c r="A134" s="35">
        <f aca="true" t="shared" si="2" ref="A134:A197">SUM(A133+1)</f>
        <v>131</v>
      </c>
      <c r="B134" s="38" t="s">
        <v>298</v>
      </c>
      <c r="C134" s="4" t="s">
        <v>300</v>
      </c>
      <c r="D134" s="39" t="s">
        <v>390</v>
      </c>
    </row>
    <row r="135" spans="1:4" s="16" customFormat="1" ht="15" customHeight="1">
      <c r="A135" s="35">
        <f t="shared" si="2"/>
        <v>132</v>
      </c>
      <c r="B135" s="41" t="s">
        <v>732</v>
      </c>
      <c r="C135" s="8" t="s">
        <v>573</v>
      </c>
      <c r="D135" s="39" t="s">
        <v>676</v>
      </c>
    </row>
    <row r="136" spans="1:4" s="39" customFormat="1" ht="15" customHeight="1">
      <c r="A136" s="35">
        <f t="shared" si="2"/>
        <v>133</v>
      </c>
      <c r="B136" s="41" t="s">
        <v>731</v>
      </c>
      <c r="C136" s="8" t="s">
        <v>440</v>
      </c>
      <c r="D136" s="39" t="s">
        <v>676</v>
      </c>
    </row>
    <row r="137" spans="1:4" s="16" customFormat="1" ht="15" customHeight="1">
      <c r="A137" s="35">
        <f t="shared" si="2"/>
        <v>134</v>
      </c>
      <c r="B137" s="38" t="s">
        <v>423</v>
      </c>
      <c r="C137" s="8" t="s">
        <v>469</v>
      </c>
      <c r="D137" s="39" t="s">
        <v>951</v>
      </c>
    </row>
    <row r="138" spans="1:4" s="16" customFormat="1" ht="15" customHeight="1">
      <c r="A138" s="35">
        <f t="shared" si="2"/>
        <v>135</v>
      </c>
      <c r="B138" s="38" t="s">
        <v>495</v>
      </c>
      <c r="C138" s="26" t="s">
        <v>496</v>
      </c>
      <c r="D138" s="39" t="s">
        <v>390</v>
      </c>
    </row>
    <row r="139" spans="1:4" s="16" customFormat="1" ht="15" customHeight="1">
      <c r="A139" s="35">
        <f t="shared" si="2"/>
        <v>136</v>
      </c>
      <c r="B139" s="5" t="s">
        <v>926</v>
      </c>
      <c r="C139" s="4" t="s">
        <v>59</v>
      </c>
      <c r="D139" s="103" t="s">
        <v>60</v>
      </c>
    </row>
    <row r="140" spans="1:4" s="39" customFormat="1" ht="15" customHeight="1">
      <c r="A140" s="35">
        <f t="shared" si="2"/>
        <v>137</v>
      </c>
      <c r="B140" s="41" t="s">
        <v>865</v>
      </c>
      <c r="C140" s="51" t="s">
        <v>670</v>
      </c>
      <c r="D140" s="39" t="s">
        <v>676</v>
      </c>
    </row>
    <row r="141" spans="1:4" s="16" customFormat="1" ht="15" customHeight="1">
      <c r="A141" s="35">
        <f t="shared" si="2"/>
        <v>138</v>
      </c>
      <c r="B141" s="38" t="s">
        <v>326</v>
      </c>
      <c r="C141" s="8" t="s">
        <v>659</v>
      </c>
      <c r="D141" s="39" t="s">
        <v>739</v>
      </c>
    </row>
    <row r="142" spans="1:4" s="16" customFormat="1" ht="15" customHeight="1">
      <c r="A142" s="35">
        <f t="shared" si="2"/>
        <v>139</v>
      </c>
      <c r="B142" s="119" t="s">
        <v>738</v>
      </c>
      <c r="C142" s="123" t="s">
        <v>364</v>
      </c>
      <c r="D142" s="48" t="s">
        <v>1058</v>
      </c>
    </row>
    <row r="143" spans="1:4" s="16" customFormat="1" ht="15" customHeight="1">
      <c r="A143" s="35">
        <f t="shared" si="2"/>
        <v>140</v>
      </c>
      <c r="B143" s="38" t="s">
        <v>361</v>
      </c>
      <c r="C143" s="43" t="s">
        <v>661</v>
      </c>
      <c r="D143" s="39" t="s">
        <v>493</v>
      </c>
    </row>
    <row r="144" spans="1:4" s="39" customFormat="1" ht="15" customHeight="1">
      <c r="A144" s="35">
        <f t="shared" si="2"/>
        <v>141</v>
      </c>
      <c r="B144" s="121" t="s">
        <v>1047</v>
      </c>
      <c r="C144" s="122" t="s">
        <v>1040</v>
      </c>
      <c r="D144" s="121" t="s">
        <v>335</v>
      </c>
    </row>
    <row r="145" spans="1:4" s="16" customFormat="1" ht="15" customHeight="1">
      <c r="A145" s="35">
        <f t="shared" si="2"/>
        <v>142</v>
      </c>
      <c r="B145" s="42" t="s">
        <v>1067</v>
      </c>
      <c r="C145" s="26" t="s">
        <v>744</v>
      </c>
      <c r="D145" s="42" t="s">
        <v>312</v>
      </c>
    </row>
    <row r="146" spans="1:4" s="16" customFormat="1" ht="15" customHeight="1">
      <c r="A146" s="35">
        <f t="shared" si="2"/>
        <v>143</v>
      </c>
      <c r="B146" s="38" t="s">
        <v>299</v>
      </c>
      <c r="C146" s="8" t="s">
        <v>461</v>
      </c>
      <c r="D146" s="39" t="s">
        <v>335</v>
      </c>
    </row>
    <row r="147" spans="1:4" s="16" customFormat="1" ht="15" customHeight="1">
      <c r="A147" s="35">
        <f t="shared" si="2"/>
        <v>144</v>
      </c>
      <c r="B147" s="38" t="s">
        <v>328</v>
      </c>
      <c r="C147" s="8" t="s">
        <v>329</v>
      </c>
      <c r="D147" s="39" t="s">
        <v>98</v>
      </c>
    </row>
    <row r="148" spans="1:4" s="16" customFormat="1" ht="15" customHeight="1">
      <c r="A148" s="35">
        <f t="shared" si="2"/>
        <v>145</v>
      </c>
      <c r="B148" s="38" t="s">
        <v>546</v>
      </c>
      <c r="C148" s="40" t="s">
        <v>479</v>
      </c>
      <c r="D148" s="39" t="s">
        <v>707</v>
      </c>
    </row>
    <row r="149" spans="1:4" s="16" customFormat="1" ht="15" customHeight="1">
      <c r="A149" s="35">
        <f t="shared" si="2"/>
        <v>146</v>
      </c>
      <c r="B149" s="103" t="s">
        <v>1032</v>
      </c>
      <c r="D149" s="42" t="s">
        <v>937</v>
      </c>
    </row>
    <row r="150" spans="1:4" s="16" customFormat="1" ht="15" customHeight="1">
      <c r="A150" s="35">
        <f t="shared" si="2"/>
        <v>147</v>
      </c>
      <c r="B150" s="38" t="s">
        <v>424</v>
      </c>
      <c r="C150" s="8" t="s">
        <v>460</v>
      </c>
      <c r="D150" s="39" t="s">
        <v>961</v>
      </c>
    </row>
    <row r="151" spans="1:4" s="39" customFormat="1" ht="15" customHeight="1">
      <c r="A151" s="35">
        <f t="shared" si="2"/>
        <v>148</v>
      </c>
      <c r="B151" s="38" t="s">
        <v>362</v>
      </c>
      <c r="C151" s="26" t="s">
        <v>346</v>
      </c>
      <c r="D151" s="39" t="s">
        <v>335</v>
      </c>
    </row>
    <row r="152" spans="1:4" s="39" customFormat="1" ht="15" customHeight="1">
      <c r="A152" s="35">
        <f t="shared" si="2"/>
        <v>149</v>
      </c>
      <c r="B152" s="38" t="s">
        <v>425</v>
      </c>
      <c r="C152" s="8" t="s">
        <v>392</v>
      </c>
      <c r="D152" s="39" t="s">
        <v>335</v>
      </c>
    </row>
    <row r="153" spans="1:4" s="39" customFormat="1" ht="15" customHeight="1">
      <c r="A153" s="35">
        <f t="shared" si="2"/>
        <v>150</v>
      </c>
      <c r="B153" s="38" t="s">
        <v>327</v>
      </c>
      <c r="C153" s="8" t="s">
        <v>345</v>
      </c>
      <c r="D153" s="39" t="s">
        <v>678</v>
      </c>
    </row>
    <row r="154" spans="1:4" s="48" customFormat="1" ht="15" customHeight="1">
      <c r="A154" s="35">
        <f t="shared" si="2"/>
        <v>151</v>
      </c>
      <c r="B154" s="38" t="s">
        <v>330</v>
      </c>
      <c r="C154" s="8" t="s">
        <v>333</v>
      </c>
      <c r="D154" s="39" t="s">
        <v>478</v>
      </c>
    </row>
    <row r="155" spans="1:4" s="16" customFormat="1" ht="15" customHeight="1">
      <c r="A155" s="35">
        <f t="shared" si="2"/>
        <v>152</v>
      </c>
      <c r="B155" s="38" t="s">
        <v>473</v>
      </c>
      <c r="C155" s="4" t="s">
        <v>671</v>
      </c>
      <c r="D155" s="39" t="s">
        <v>80</v>
      </c>
    </row>
    <row r="156" spans="1:4" s="39" customFormat="1" ht="15" customHeight="1">
      <c r="A156" s="35">
        <f t="shared" si="2"/>
        <v>153</v>
      </c>
      <c r="B156" s="38" t="s">
        <v>139</v>
      </c>
      <c r="C156" s="26"/>
      <c r="D156" s="39" t="s">
        <v>689</v>
      </c>
    </row>
    <row r="157" spans="1:3" s="16" customFormat="1" ht="15" customHeight="1">
      <c r="A157" s="35">
        <f t="shared" si="2"/>
        <v>154</v>
      </c>
      <c r="B157" s="45" t="s">
        <v>293</v>
      </c>
      <c r="C157" s="105"/>
    </row>
    <row r="158" spans="1:4" s="39" customFormat="1" ht="15" customHeight="1">
      <c r="A158" s="35">
        <f t="shared" si="2"/>
        <v>155</v>
      </c>
      <c r="B158" s="121" t="s">
        <v>591</v>
      </c>
      <c r="C158" s="122" t="s">
        <v>592</v>
      </c>
      <c r="D158" s="121" t="s">
        <v>312</v>
      </c>
    </row>
    <row r="159" spans="1:4" s="39" customFormat="1" ht="15" customHeight="1">
      <c r="A159" s="35">
        <f t="shared" si="2"/>
        <v>156</v>
      </c>
      <c r="B159" s="38" t="s">
        <v>547</v>
      </c>
      <c r="C159" s="8" t="s">
        <v>332</v>
      </c>
      <c r="D159" s="39" t="s">
        <v>682</v>
      </c>
    </row>
    <row r="160" spans="1:4" s="16" customFormat="1" ht="15" customHeight="1">
      <c r="A160" s="35">
        <f t="shared" si="2"/>
        <v>157</v>
      </c>
      <c r="B160" s="38" t="s">
        <v>548</v>
      </c>
      <c r="C160" s="8" t="s">
        <v>666</v>
      </c>
      <c r="D160" s="39" t="s">
        <v>551</v>
      </c>
    </row>
    <row r="161" spans="1:4" s="39" customFormat="1" ht="15" customHeight="1">
      <c r="A161" s="35">
        <f t="shared" si="2"/>
        <v>158</v>
      </c>
      <c r="B161" s="38" t="s">
        <v>363</v>
      </c>
      <c r="C161" s="8" t="s">
        <v>383</v>
      </c>
      <c r="D161" s="39" t="s">
        <v>193</v>
      </c>
    </row>
    <row r="162" spans="1:4" s="39" customFormat="1" ht="15" customHeight="1">
      <c r="A162" s="35">
        <f t="shared" si="2"/>
        <v>159</v>
      </c>
      <c r="B162" s="38" t="s">
        <v>494</v>
      </c>
      <c r="C162" s="8" t="s">
        <v>667</v>
      </c>
      <c r="D162" s="39" t="s">
        <v>390</v>
      </c>
    </row>
    <row r="163" spans="1:4" s="39" customFormat="1" ht="15" customHeight="1">
      <c r="A163" s="35">
        <f t="shared" si="2"/>
        <v>160</v>
      </c>
      <c r="B163" s="38" t="s">
        <v>336</v>
      </c>
      <c r="C163" s="8" t="s">
        <v>337</v>
      </c>
      <c r="D163" s="39" t="s">
        <v>1083</v>
      </c>
    </row>
    <row r="164" spans="1:4" s="39" customFormat="1" ht="15" customHeight="1">
      <c r="A164" s="35">
        <f t="shared" si="2"/>
        <v>161</v>
      </c>
      <c r="B164" s="42" t="s">
        <v>687</v>
      </c>
      <c r="C164" s="26" t="s">
        <v>688</v>
      </c>
      <c r="D164" s="42" t="s">
        <v>720</v>
      </c>
    </row>
    <row r="165" spans="1:4" s="39" customFormat="1" ht="15" customHeight="1">
      <c r="A165" s="35">
        <f t="shared" si="2"/>
        <v>162</v>
      </c>
      <c r="B165" s="38" t="s">
        <v>509</v>
      </c>
      <c r="C165" s="26" t="s">
        <v>668</v>
      </c>
      <c r="D165" s="39" t="s">
        <v>595</v>
      </c>
    </row>
    <row r="166" spans="1:4" s="39" customFormat="1" ht="15" customHeight="1">
      <c r="A166" s="35">
        <f t="shared" si="2"/>
        <v>163</v>
      </c>
      <c r="B166" s="38" t="s">
        <v>426</v>
      </c>
      <c r="C166" s="8" t="s">
        <v>459</v>
      </c>
      <c r="D166" s="39" t="s">
        <v>475</v>
      </c>
    </row>
    <row r="167" spans="1:4" s="39" customFormat="1" ht="15" customHeight="1">
      <c r="A167" s="35">
        <f t="shared" si="2"/>
        <v>164</v>
      </c>
      <c r="B167" s="41" t="s">
        <v>550</v>
      </c>
      <c r="C167" s="8" t="s">
        <v>467</v>
      </c>
      <c r="D167" s="39" t="s">
        <v>720</v>
      </c>
    </row>
    <row r="168" spans="1:4" s="39" customFormat="1" ht="15" customHeight="1">
      <c r="A168" s="35">
        <f t="shared" si="2"/>
        <v>165</v>
      </c>
      <c r="B168" s="106"/>
      <c r="C168" s="9"/>
      <c r="D168" s="16"/>
    </row>
    <row r="169" spans="1:4" s="39" customFormat="1" ht="15" customHeight="1">
      <c r="A169" s="35">
        <f t="shared" si="2"/>
        <v>166</v>
      </c>
      <c r="B169" s="45"/>
      <c r="C169" s="10"/>
      <c r="D169" s="16"/>
    </row>
    <row r="170" spans="1:4" s="39" customFormat="1" ht="15" customHeight="1">
      <c r="A170" s="35">
        <f t="shared" si="2"/>
        <v>167</v>
      </c>
      <c r="B170" s="45"/>
      <c r="C170" s="9"/>
      <c r="D170" s="16"/>
    </row>
    <row r="171" spans="1:4" s="48" customFormat="1" ht="15" customHeight="1">
      <c r="A171" s="35">
        <f t="shared" si="2"/>
        <v>168</v>
      </c>
      <c r="B171" s="45"/>
      <c r="C171" s="9"/>
      <c r="D171" s="16"/>
    </row>
    <row r="172" spans="1:4" s="48" customFormat="1" ht="15" customHeight="1">
      <c r="A172" s="35">
        <f t="shared" si="2"/>
        <v>169</v>
      </c>
      <c r="B172" s="45"/>
      <c r="C172" s="9"/>
      <c r="D172" s="16"/>
    </row>
    <row r="173" spans="1:3" s="16" customFormat="1" ht="15" customHeight="1">
      <c r="A173" s="35">
        <f t="shared" si="2"/>
        <v>170</v>
      </c>
      <c r="B173" s="45"/>
      <c r="C173" s="9"/>
    </row>
    <row r="174" spans="1:3" s="16" customFormat="1" ht="15" customHeight="1">
      <c r="A174" s="35">
        <f t="shared" si="2"/>
        <v>171</v>
      </c>
      <c r="B174" s="45"/>
      <c r="C174" s="9"/>
    </row>
    <row r="175" spans="1:4" s="39" customFormat="1" ht="15" customHeight="1">
      <c r="A175" s="35">
        <f t="shared" si="2"/>
        <v>172</v>
      </c>
      <c r="B175" s="45"/>
      <c r="C175" s="105"/>
      <c r="D175" s="16"/>
    </row>
    <row r="176" spans="1:4" s="39" customFormat="1" ht="15" customHeight="1">
      <c r="A176" s="35">
        <f t="shared" si="2"/>
        <v>173</v>
      </c>
      <c r="B176" s="106"/>
      <c r="C176" s="9"/>
      <c r="D176" s="16"/>
    </row>
    <row r="177" spans="1:4" s="39" customFormat="1" ht="15" customHeight="1">
      <c r="A177" s="35">
        <f t="shared" si="2"/>
        <v>174</v>
      </c>
      <c r="B177" s="45"/>
      <c r="C177" s="107"/>
      <c r="D177" s="16"/>
    </row>
    <row r="178" spans="1:3" s="16" customFormat="1" ht="15" customHeight="1">
      <c r="A178" s="35">
        <f t="shared" si="2"/>
        <v>175</v>
      </c>
      <c r="B178" s="106"/>
      <c r="C178" s="9"/>
    </row>
    <row r="179" spans="1:4" s="39" customFormat="1" ht="15" customHeight="1">
      <c r="A179" s="35">
        <f t="shared" si="2"/>
        <v>176</v>
      </c>
      <c r="B179" s="106"/>
      <c r="C179" s="9"/>
      <c r="D179" s="16"/>
    </row>
    <row r="180" spans="1:3" s="16" customFormat="1" ht="15" customHeight="1">
      <c r="A180" s="35">
        <f t="shared" si="2"/>
        <v>177</v>
      </c>
      <c r="B180" s="45"/>
      <c r="C180" s="9"/>
    </row>
    <row r="181" spans="1:4" s="39" customFormat="1" ht="15" customHeight="1">
      <c r="A181" s="35">
        <f t="shared" si="2"/>
        <v>178</v>
      </c>
      <c r="B181" s="106"/>
      <c r="C181" s="9"/>
      <c r="D181" s="104"/>
    </row>
    <row r="182" spans="1:4" s="39" customFormat="1" ht="15" customHeight="1">
      <c r="A182" s="35">
        <f t="shared" si="2"/>
        <v>179</v>
      </c>
      <c r="B182" s="106"/>
      <c r="C182" s="9"/>
      <c r="D182" s="16"/>
    </row>
    <row r="183" spans="1:3" s="16" customFormat="1" ht="15" customHeight="1">
      <c r="A183" s="35">
        <f t="shared" si="2"/>
        <v>180</v>
      </c>
      <c r="B183" s="45"/>
      <c r="C183" s="10"/>
    </row>
    <row r="184" spans="1:4" s="39" customFormat="1" ht="15" customHeight="1">
      <c r="A184" s="35">
        <f t="shared" si="2"/>
        <v>181</v>
      </c>
      <c r="B184" s="45"/>
      <c r="C184" s="10"/>
      <c r="D184" s="16"/>
    </row>
    <row r="185" spans="1:4" s="39" customFormat="1" ht="15" customHeight="1">
      <c r="A185" s="35">
        <f t="shared" si="2"/>
        <v>182</v>
      </c>
      <c r="B185" s="45"/>
      <c r="C185" s="9"/>
      <c r="D185" s="16"/>
    </row>
    <row r="186" spans="1:4" s="39" customFormat="1" ht="15" customHeight="1">
      <c r="A186" s="35">
        <f t="shared" si="2"/>
        <v>183</v>
      </c>
      <c r="B186" s="45"/>
      <c r="C186" s="10"/>
      <c r="D186" s="16"/>
    </row>
    <row r="187" spans="1:4" s="39" customFormat="1" ht="15" customHeight="1">
      <c r="A187" s="35">
        <f t="shared" si="2"/>
        <v>184</v>
      </c>
      <c r="B187" s="45"/>
      <c r="C187" s="105"/>
      <c r="D187" s="16"/>
    </row>
    <row r="188" spans="1:4" s="39" customFormat="1" ht="15" customHeight="1">
      <c r="A188" s="35">
        <f t="shared" si="2"/>
        <v>185</v>
      </c>
      <c r="B188" s="106"/>
      <c r="C188" s="107"/>
      <c r="D188" s="16"/>
    </row>
    <row r="189" spans="1:3" s="16" customFormat="1" ht="15" customHeight="1">
      <c r="A189" s="35">
        <f t="shared" si="2"/>
        <v>186</v>
      </c>
      <c r="B189" s="45"/>
      <c r="C189" s="9"/>
    </row>
    <row r="190" spans="1:4" s="48" customFormat="1" ht="15" customHeight="1">
      <c r="A190" s="35">
        <f t="shared" si="2"/>
        <v>187</v>
      </c>
      <c r="B190" s="45"/>
      <c r="C190" s="110"/>
      <c r="D190" s="16"/>
    </row>
    <row r="191" spans="1:4" s="39" customFormat="1" ht="15" customHeight="1">
      <c r="A191" s="35">
        <f t="shared" si="2"/>
        <v>188</v>
      </c>
      <c r="B191" s="106"/>
      <c r="C191" s="9"/>
      <c r="D191" s="16"/>
    </row>
    <row r="192" spans="1:3" s="16" customFormat="1" ht="15" customHeight="1">
      <c r="A192" s="35">
        <f t="shared" si="2"/>
        <v>189</v>
      </c>
      <c r="B192" s="106"/>
      <c r="C192" s="9"/>
    </row>
    <row r="193" spans="1:4" s="39" customFormat="1" ht="15" customHeight="1">
      <c r="A193" s="35">
        <f t="shared" si="2"/>
        <v>190</v>
      </c>
      <c r="B193" s="45"/>
      <c r="C193" s="9"/>
      <c r="D193" s="16"/>
    </row>
    <row r="194" spans="1:3" s="16" customFormat="1" ht="15" customHeight="1">
      <c r="A194" s="35">
        <f t="shared" si="2"/>
        <v>191</v>
      </c>
      <c r="B194" s="106"/>
      <c r="C194" s="9"/>
    </row>
    <row r="195" spans="1:4" s="39" customFormat="1" ht="15" customHeight="1">
      <c r="A195" s="35">
        <f t="shared" si="2"/>
        <v>192</v>
      </c>
      <c r="B195" s="106"/>
      <c r="C195" s="9"/>
      <c r="D195" s="16"/>
    </row>
    <row r="196" spans="1:4" s="39" customFormat="1" ht="15" customHeight="1">
      <c r="A196" s="35">
        <f t="shared" si="2"/>
        <v>193</v>
      </c>
      <c r="B196" s="106"/>
      <c r="C196" s="9"/>
      <c r="D196" s="16"/>
    </row>
    <row r="197" spans="1:4" s="39" customFormat="1" ht="15" customHeight="1">
      <c r="A197" s="35">
        <f t="shared" si="2"/>
        <v>194</v>
      </c>
      <c r="B197" s="45"/>
      <c r="C197" s="9"/>
      <c r="D197" s="16"/>
    </row>
    <row r="198" spans="1:4" s="39" customFormat="1" ht="15" customHeight="1">
      <c r="A198" s="35">
        <f>SUM(A197+1)</f>
        <v>195</v>
      </c>
      <c r="B198" s="45"/>
      <c r="C198" s="9"/>
      <c r="D198" s="16"/>
    </row>
    <row r="199" spans="1:4" s="39" customFormat="1" ht="15" customHeight="1">
      <c r="A199" s="35">
        <f>SUM(A198+1)</f>
        <v>196</v>
      </c>
      <c r="B199" s="45"/>
      <c r="C199" s="9"/>
      <c r="D199" s="16"/>
    </row>
    <row r="200" spans="1:4" s="39" customFormat="1" ht="15" customHeight="1">
      <c r="A200" s="35">
        <f>SUM(A199+1)</f>
        <v>197</v>
      </c>
      <c r="B200" s="106"/>
      <c r="C200" s="9"/>
      <c r="D200" s="16"/>
    </row>
    <row r="201" spans="1:3" s="16" customFormat="1" ht="15" customHeight="1">
      <c r="A201" s="44"/>
      <c r="B201" s="106"/>
      <c r="C201" s="9"/>
    </row>
    <row r="202" s="16" customFormat="1" ht="15" customHeight="1">
      <c r="A202" s="44"/>
    </row>
    <row r="203" s="16" customFormat="1" ht="15" customHeight="1">
      <c r="A203" s="44"/>
    </row>
    <row r="204" s="16" customFormat="1" ht="15" customHeight="1">
      <c r="A204" s="44"/>
    </row>
    <row r="205" s="16" customFormat="1" ht="15" customHeight="1">
      <c r="A205" s="44"/>
    </row>
    <row r="206" s="16" customFormat="1" ht="15" customHeight="1">
      <c r="A206" s="44"/>
    </row>
    <row r="207" spans="1:10" s="16" customFormat="1" ht="15" customHeight="1">
      <c r="A207" s="44"/>
      <c r="E207" s="130"/>
      <c r="F207" s="130"/>
      <c r="G207" s="130"/>
      <c r="H207" s="130"/>
      <c r="I207" s="130"/>
      <c r="J207" s="4" t="s">
        <v>59</v>
      </c>
    </row>
    <row r="208" s="16" customFormat="1" ht="15" customHeight="1">
      <c r="A208" s="44"/>
    </row>
    <row r="209" s="16" customFormat="1" ht="15" customHeight="1">
      <c r="A209" s="44"/>
    </row>
    <row r="210" s="16" customFormat="1" ht="15" customHeight="1">
      <c r="A210" s="44"/>
    </row>
    <row r="211" spans="1:4" s="16" customFormat="1" ht="15" customHeight="1">
      <c r="A211" s="44"/>
      <c r="B211" s="42"/>
      <c r="C211" s="26"/>
      <c r="D211" s="42"/>
    </row>
    <row r="212" spans="1:3" s="16" customFormat="1" ht="15" customHeight="1">
      <c r="A212" s="44"/>
      <c r="C212" s="9"/>
    </row>
    <row r="213" spans="1:3" s="16" customFormat="1" ht="15" customHeight="1">
      <c r="A213" s="44"/>
      <c r="C213" s="9"/>
    </row>
    <row r="214" spans="1:3" s="16" customFormat="1" ht="15" customHeight="1">
      <c r="A214" s="44"/>
      <c r="C214" s="9"/>
    </row>
    <row r="215" spans="1:3" s="16" customFormat="1" ht="15" customHeight="1">
      <c r="A215" s="44"/>
      <c r="C215" s="9"/>
    </row>
    <row r="216" spans="1:3" s="16" customFormat="1" ht="15" customHeight="1">
      <c r="A216" s="44"/>
      <c r="C216" s="9"/>
    </row>
    <row r="217" spans="1:3" s="16" customFormat="1" ht="15" customHeight="1">
      <c r="A217" s="44"/>
      <c r="C217" s="9"/>
    </row>
    <row r="218" spans="1:3" s="16" customFormat="1" ht="15" customHeight="1">
      <c r="A218" s="44"/>
      <c r="C218" s="9"/>
    </row>
    <row r="219" spans="1:3" s="16" customFormat="1" ht="15" customHeight="1">
      <c r="A219" s="44"/>
      <c r="C219" s="9"/>
    </row>
    <row r="220" spans="1:3" s="16" customFormat="1" ht="15" customHeight="1">
      <c r="A220" s="44"/>
      <c r="C220" s="9"/>
    </row>
    <row r="221" spans="1:3" s="16" customFormat="1" ht="15" customHeight="1">
      <c r="A221" s="44"/>
      <c r="C221" s="9"/>
    </row>
    <row r="222" spans="1:3" s="16" customFormat="1" ht="15" customHeight="1">
      <c r="A222" s="44"/>
      <c r="C222" s="9"/>
    </row>
    <row r="223" spans="1:3" s="16" customFormat="1" ht="15" customHeight="1">
      <c r="A223" s="44"/>
      <c r="C223" s="9"/>
    </row>
    <row r="224" spans="1:3" s="16" customFormat="1" ht="15" customHeight="1">
      <c r="A224" s="44"/>
      <c r="C224" s="9"/>
    </row>
    <row r="225" spans="1:3" s="16" customFormat="1" ht="15" customHeight="1">
      <c r="A225" s="44"/>
      <c r="C225" s="9"/>
    </row>
    <row r="226" spans="1:3" s="16" customFormat="1" ht="15" customHeight="1">
      <c r="A226" s="44"/>
      <c r="C226" s="9"/>
    </row>
    <row r="227" spans="1:3" s="16" customFormat="1" ht="15" customHeight="1">
      <c r="A227" s="44"/>
      <c r="C227" s="9"/>
    </row>
    <row r="228" spans="1:3" s="16" customFormat="1" ht="15" customHeight="1">
      <c r="A228" s="44"/>
      <c r="C228" s="9"/>
    </row>
    <row r="229" spans="1:3" s="16" customFormat="1" ht="15" customHeight="1">
      <c r="A229" s="44"/>
      <c r="C229" s="9"/>
    </row>
    <row r="230" spans="1:3" s="16" customFormat="1" ht="15" customHeight="1">
      <c r="A230" s="44"/>
      <c r="C230" s="9"/>
    </row>
    <row r="231" spans="1:3" s="16" customFormat="1" ht="15" customHeight="1">
      <c r="A231" s="44"/>
      <c r="C231" s="9"/>
    </row>
    <row r="232" spans="1:3" s="16" customFormat="1" ht="15" customHeight="1">
      <c r="A232" s="44"/>
      <c r="C232" s="9"/>
    </row>
    <row r="233" spans="1:3" s="16" customFormat="1" ht="15" customHeight="1">
      <c r="A233" s="44"/>
      <c r="C233" s="9"/>
    </row>
    <row r="234" spans="1:3" s="16" customFormat="1" ht="15" customHeight="1">
      <c r="A234" s="44"/>
      <c r="C234" s="9"/>
    </row>
    <row r="235" spans="1:3" s="16" customFormat="1" ht="15" customHeight="1">
      <c r="A235" s="44"/>
      <c r="C235" s="9"/>
    </row>
    <row r="236" spans="1:3" s="16" customFormat="1" ht="15" customHeight="1">
      <c r="A236" s="44"/>
      <c r="C236" s="9"/>
    </row>
    <row r="237" spans="1:3" s="16" customFormat="1" ht="15" customHeight="1">
      <c r="A237" s="44"/>
      <c r="C237" s="9"/>
    </row>
    <row r="238" spans="1:3" s="16" customFormat="1" ht="15" customHeight="1">
      <c r="A238" s="44"/>
      <c r="C238" s="9"/>
    </row>
    <row r="239" spans="1:3" s="16" customFormat="1" ht="15" customHeight="1">
      <c r="A239" s="44"/>
      <c r="C239" s="9"/>
    </row>
    <row r="240" spans="1:3" s="16" customFormat="1" ht="15" customHeight="1">
      <c r="A240" s="44"/>
      <c r="C240" s="9"/>
    </row>
    <row r="241" s="16" customFormat="1" ht="15" customHeight="1">
      <c r="C241" s="9"/>
    </row>
    <row r="242" s="16" customFormat="1" ht="15" customHeight="1">
      <c r="C242" s="9"/>
    </row>
    <row r="243" s="16" customFormat="1" ht="15" customHeight="1">
      <c r="C243" s="9"/>
    </row>
    <row r="244" s="16" customFormat="1" ht="15" customHeight="1">
      <c r="C244" s="9"/>
    </row>
    <row r="245" s="16" customFormat="1" ht="15" customHeight="1">
      <c r="C245" s="9"/>
    </row>
    <row r="246" s="16" customFormat="1" ht="15" customHeight="1">
      <c r="C246" s="9"/>
    </row>
    <row r="247" s="16" customFormat="1" ht="15" customHeight="1">
      <c r="C247" s="9"/>
    </row>
    <row r="248" s="16" customFormat="1" ht="15" customHeight="1">
      <c r="C248" s="9"/>
    </row>
    <row r="249" s="16" customFormat="1" ht="15" customHeight="1">
      <c r="C249" s="9"/>
    </row>
    <row r="250" s="16" customFormat="1" ht="15" customHeight="1">
      <c r="C250" s="9"/>
    </row>
    <row r="251" s="16" customFormat="1" ht="15" customHeight="1">
      <c r="C251" s="9"/>
    </row>
    <row r="252" s="16" customFormat="1" ht="15" customHeight="1">
      <c r="C252" s="9"/>
    </row>
    <row r="253" s="16" customFormat="1" ht="15" customHeight="1">
      <c r="C253" s="9"/>
    </row>
    <row r="254" s="16" customFormat="1" ht="15" customHeight="1">
      <c r="C254" s="9"/>
    </row>
    <row r="255" s="16" customFormat="1" ht="15" customHeight="1">
      <c r="C255" s="9"/>
    </row>
    <row r="256" s="16" customFormat="1" ht="15" customHeight="1">
      <c r="C256" s="9"/>
    </row>
    <row r="257" s="16" customFormat="1" ht="15" customHeight="1">
      <c r="C257" s="9"/>
    </row>
    <row r="258" s="16" customFormat="1" ht="15" customHeight="1">
      <c r="C258" s="9"/>
    </row>
    <row r="259" s="16" customFormat="1" ht="15" customHeight="1">
      <c r="C259" s="9"/>
    </row>
    <row r="260" s="16" customFormat="1" ht="15" customHeight="1">
      <c r="C260" s="9"/>
    </row>
    <row r="261" s="16" customFormat="1" ht="15" customHeight="1">
      <c r="C261" s="9"/>
    </row>
    <row r="262" s="16" customFormat="1" ht="15" customHeight="1">
      <c r="C262" s="9"/>
    </row>
    <row r="263" s="16" customFormat="1" ht="15" customHeight="1">
      <c r="C263" s="9"/>
    </row>
    <row r="264" s="16" customFormat="1" ht="15" customHeight="1">
      <c r="C264" s="9"/>
    </row>
    <row r="265" s="16" customFormat="1" ht="15" customHeight="1">
      <c r="C265" s="9"/>
    </row>
    <row r="266" s="16" customFormat="1" ht="15" customHeight="1">
      <c r="C266" s="9"/>
    </row>
    <row r="267" s="16" customFormat="1" ht="15" customHeight="1">
      <c r="C267" s="9"/>
    </row>
    <row r="268" s="16" customFormat="1" ht="15" customHeight="1">
      <c r="C268" s="9"/>
    </row>
    <row r="269" s="16" customFormat="1" ht="15" customHeight="1">
      <c r="C269" s="9"/>
    </row>
    <row r="270" s="16" customFormat="1" ht="15" customHeight="1">
      <c r="C270" s="9"/>
    </row>
    <row r="271" s="16" customFormat="1" ht="15" customHeight="1">
      <c r="C271" s="9"/>
    </row>
    <row r="272" s="16" customFormat="1" ht="15" customHeight="1">
      <c r="C272" s="9"/>
    </row>
    <row r="273" s="16" customFormat="1" ht="15" customHeight="1">
      <c r="C273" s="9"/>
    </row>
    <row r="274" s="16" customFormat="1" ht="15" customHeight="1">
      <c r="C274" s="9"/>
    </row>
    <row r="275" s="16" customFormat="1" ht="15" customHeight="1">
      <c r="C275" s="9"/>
    </row>
    <row r="276" s="16" customFormat="1" ht="15" customHeight="1">
      <c r="C276" s="9"/>
    </row>
    <row r="277" s="16" customFormat="1" ht="15" customHeight="1">
      <c r="C277" s="9"/>
    </row>
    <row r="278" s="16" customFormat="1" ht="15" customHeight="1">
      <c r="C278" s="9"/>
    </row>
    <row r="279" s="16" customFormat="1" ht="15" customHeight="1">
      <c r="C279" s="9"/>
    </row>
    <row r="280" s="16" customFormat="1" ht="15" customHeight="1">
      <c r="C280" s="9"/>
    </row>
    <row r="281" s="16" customFormat="1" ht="15" customHeight="1">
      <c r="C281" s="9"/>
    </row>
    <row r="282" s="16" customFormat="1" ht="15" customHeight="1">
      <c r="C282" s="9"/>
    </row>
    <row r="283" s="16" customFormat="1" ht="15" customHeight="1">
      <c r="C283" s="9"/>
    </row>
    <row r="284" s="16" customFormat="1" ht="15" customHeight="1">
      <c r="C284" s="9"/>
    </row>
    <row r="285" s="16" customFormat="1" ht="15" customHeight="1">
      <c r="C285" s="9"/>
    </row>
    <row r="286" s="16" customFormat="1" ht="15" customHeight="1">
      <c r="C286" s="9"/>
    </row>
    <row r="287" s="16" customFormat="1" ht="15" customHeight="1">
      <c r="C287" s="9"/>
    </row>
    <row r="288" s="16" customFormat="1" ht="15" customHeight="1">
      <c r="C288" s="9"/>
    </row>
    <row r="289" s="16" customFormat="1" ht="12.75">
      <c r="C289" s="9"/>
    </row>
    <row r="290" s="16" customFormat="1" ht="12.75">
      <c r="C290" s="9"/>
    </row>
    <row r="291" s="16" customFormat="1" ht="12.75">
      <c r="C291" s="9"/>
    </row>
    <row r="292" s="16" customFormat="1" ht="12.75">
      <c r="C292" s="9"/>
    </row>
    <row r="293" s="16" customFormat="1" ht="12.75">
      <c r="C293" s="9"/>
    </row>
    <row r="294" s="16" customFormat="1" ht="12.75">
      <c r="C294" s="9"/>
    </row>
    <row r="295" s="16" customFormat="1" ht="12.75">
      <c r="C295" s="9"/>
    </row>
    <row r="296" s="16" customFormat="1" ht="12.75">
      <c r="C296" s="9"/>
    </row>
    <row r="297" s="16" customFormat="1" ht="12.75">
      <c r="C297" s="9"/>
    </row>
    <row r="298" s="16" customFormat="1" ht="12.75">
      <c r="C298" s="9"/>
    </row>
    <row r="299" s="16" customFormat="1" ht="12.75">
      <c r="C299" s="9"/>
    </row>
    <row r="300" s="16" customFormat="1" ht="12.75">
      <c r="C300" s="9"/>
    </row>
    <row r="301" s="16" customFormat="1" ht="12.75">
      <c r="C301" s="9"/>
    </row>
    <row r="302" s="16" customFormat="1" ht="12.75">
      <c r="C302" s="9"/>
    </row>
    <row r="303" s="16" customFormat="1" ht="12.75">
      <c r="C303" s="9"/>
    </row>
    <row r="304" s="16" customFormat="1" ht="12.75">
      <c r="C304" s="9"/>
    </row>
    <row r="305" s="16" customFormat="1" ht="12.75">
      <c r="C305" s="9"/>
    </row>
    <row r="306" s="16" customFormat="1" ht="12.75">
      <c r="C306" s="9"/>
    </row>
    <row r="307" s="16" customFormat="1" ht="12.75">
      <c r="C307" s="9"/>
    </row>
    <row r="308" s="16" customFormat="1" ht="12.75">
      <c r="C308" s="9"/>
    </row>
    <row r="309" s="16" customFormat="1" ht="12.75">
      <c r="C309" s="9"/>
    </row>
    <row r="310" s="16" customFormat="1" ht="12.75">
      <c r="C310" s="9"/>
    </row>
    <row r="311" s="16" customFormat="1" ht="12.75">
      <c r="C311" s="9"/>
    </row>
    <row r="312" s="16" customFormat="1" ht="12.75">
      <c r="C312" s="9"/>
    </row>
    <row r="313" s="16" customFormat="1" ht="12.75">
      <c r="C313" s="9"/>
    </row>
    <row r="314" s="16" customFormat="1" ht="12.75">
      <c r="C314" s="9"/>
    </row>
    <row r="315" s="16" customFormat="1" ht="12.75">
      <c r="C315" s="9"/>
    </row>
    <row r="316" s="16" customFormat="1" ht="12.75">
      <c r="C316" s="9"/>
    </row>
    <row r="317" s="16" customFormat="1" ht="12.75">
      <c r="C317" s="9"/>
    </row>
    <row r="318" s="16" customFormat="1" ht="12.75">
      <c r="C318" s="9"/>
    </row>
    <row r="319" s="16" customFormat="1" ht="12.75">
      <c r="C319" s="9"/>
    </row>
    <row r="320" s="16" customFormat="1" ht="12.75">
      <c r="C320" s="9"/>
    </row>
    <row r="321" s="16" customFormat="1" ht="12.75">
      <c r="C321" s="9"/>
    </row>
    <row r="322" s="16" customFormat="1" ht="12.75">
      <c r="C322" s="9"/>
    </row>
    <row r="323" s="16" customFormat="1" ht="12.75">
      <c r="C323" s="9"/>
    </row>
    <row r="324" s="16" customFormat="1" ht="12.75">
      <c r="C324" s="9"/>
    </row>
    <row r="325" s="16" customFormat="1" ht="12.75">
      <c r="C325" s="9"/>
    </row>
    <row r="326" s="16" customFormat="1" ht="12.75">
      <c r="C326" s="9"/>
    </row>
    <row r="327" s="16" customFormat="1" ht="12.75">
      <c r="C327" s="9"/>
    </row>
    <row r="328" s="16" customFormat="1" ht="12.75">
      <c r="C328" s="9"/>
    </row>
    <row r="329" s="16" customFormat="1" ht="12.75">
      <c r="C329" s="9"/>
    </row>
    <row r="330" s="16" customFormat="1" ht="12.75">
      <c r="C330" s="9"/>
    </row>
    <row r="331" s="16" customFormat="1" ht="12.75">
      <c r="C331" s="9"/>
    </row>
    <row r="332" s="16" customFormat="1" ht="12.75">
      <c r="C332" s="9"/>
    </row>
    <row r="333" s="16" customFormat="1" ht="12.75">
      <c r="C333" s="9"/>
    </row>
    <row r="334" s="16" customFormat="1" ht="12.75">
      <c r="C334" s="9"/>
    </row>
    <row r="335" s="16" customFormat="1" ht="12.75">
      <c r="C335" s="9"/>
    </row>
    <row r="336" s="16" customFormat="1" ht="12.75">
      <c r="C336" s="9"/>
    </row>
    <row r="337" s="16" customFormat="1" ht="12.75">
      <c r="C337" s="9"/>
    </row>
    <row r="338" s="16" customFormat="1" ht="12.75">
      <c r="C338" s="9"/>
    </row>
    <row r="339" s="16" customFormat="1" ht="12.75">
      <c r="C339" s="9"/>
    </row>
    <row r="340" s="16" customFormat="1" ht="12.75">
      <c r="C340" s="9"/>
    </row>
    <row r="341" s="16" customFormat="1" ht="12.75">
      <c r="C341" s="9"/>
    </row>
    <row r="342" s="16" customFormat="1" ht="12.75">
      <c r="C342" s="9"/>
    </row>
    <row r="343" s="16" customFormat="1" ht="12.75">
      <c r="C343" s="9"/>
    </row>
    <row r="344" s="16" customFormat="1" ht="12.75">
      <c r="C344" s="9"/>
    </row>
    <row r="345" s="16" customFormat="1" ht="12.75">
      <c r="C345" s="9"/>
    </row>
    <row r="346" s="16" customFormat="1" ht="12.75">
      <c r="C346" s="9"/>
    </row>
    <row r="347" s="16" customFormat="1" ht="12.75">
      <c r="C347" s="9"/>
    </row>
    <row r="348" s="16" customFormat="1" ht="12.75">
      <c r="C348" s="9"/>
    </row>
    <row r="349" s="16" customFormat="1" ht="12.75">
      <c r="C349" s="9"/>
    </row>
    <row r="350" s="16" customFormat="1" ht="12.75">
      <c r="C350" s="9"/>
    </row>
    <row r="351" s="16" customFormat="1" ht="12.75">
      <c r="C351" s="9"/>
    </row>
    <row r="352" s="16" customFormat="1" ht="12.75">
      <c r="C352" s="9"/>
    </row>
    <row r="353" s="16" customFormat="1" ht="12.75">
      <c r="C353" s="9"/>
    </row>
    <row r="354" s="16" customFormat="1" ht="12.75">
      <c r="C354" s="9"/>
    </row>
    <row r="355" s="16" customFormat="1" ht="12.75">
      <c r="C355" s="9"/>
    </row>
    <row r="356" s="16" customFormat="1" ht="12.75">
      <c r="C356" s="9"/>
    </row>
    <row r="357" s="16" customFormat="1" ht="12.75">
      <c r="C357" s="9"/>
    </row>
    <row r="358" s="16" customFormat="1" ht="12.75">
      <c r="C358" s="9"/>
    </row>
    <row r="359" s="16" customFormat="1" ht="12.75">
      <c r="C359" s="9"/>
    </row>
    <row r="360" s="16" customFormat="1" ht="12.75">
      <c r="C360" s="9"/>
    </row>
    <row r="361" s="16" customFormat="1" ht="12.75">
      <c r="C361" s="9"/>
    </row>
    <row r="362" s="16" customFormat="1" ht="12.75">
      <c r="C362" s="9"/>
    </row>
    <row r="363" s="16" customFormat="1" ht="12.75">
      <c r="C363" s="9"/>
    </row>
    <row r="364" s="16" customFormat="1" ht="12.75">
      <c r="C364" s="9"/>
    </row>
    <row r="365" s="16" customFormat="1" ht="12.75">
      <c r="C365" s="9"/>
    </row>
    <row r="366" s="16" customFormat="1" ht="12.75">
      <c r="C366" s="9"/>
    </row>
    <row r="367" s="16" customFormat="1" ht="12.75">
      <c r="C367" s="9"/>
    </row>
    <row r="368" s="16" customFormat="1" ht="12.75">
      <c r="C368" s="9"/>
    </row>
    <row r="369" s="16" customFormat="1" ht="12.75">
      <c r="C369" s="9"/>
    </row>
    <row r="370" s="16" customFormat="1" ht="12.75">
      <c r="C370" s="9"/>
    </row>
    <row r="371" s="16" customFormat="1" ht="12.75">
      <c r="C371" s="9"/>
    </row>
    <row r="372" s="16" customFormat="1" ht="12.75">
      <c r="C372" s="9"/>
    </row>
    <row r="373" s="16" customFormat="1" ht="12.75">
      <c r="C373" s="9"/>
    </row>
    <row r="374" s="16" customFormat="1" ht="12.75">
      <c r="C374" s="9"/>
    </row>
    <row r="375" s="16" customFormat="1" ht="12.75">
      <c r="C375" s="9"/>
    </row>
    <row r="376" s="16" customFormat="1" ht="12.75">
      <c r="C376" s="9"/>
    </row>
    <row r="377" s="16" customFormat="1" ht="12.75">
      <c r="C377" s="9"/>
    </row>
    <row r="378" s="16" customFormat="1" ht="12.75">
      <c r="C378" s="9"/>
    </row>
    <row r="379" s="16" customFormat="1" ht="12.75">
      <c r="C379" s="9"/>
    </row>
    <row r="380" s="16" customFormat="1" ht="12.75">
      <c r="C380" s="9"/>
    </row>
    <row r="381" s="16" customFormat="1" ht="12.75">
      <c r="C381" s="9"/>
    </row>
    <row r="382" s="16" customFormat="1" ht="12.75">
      <c r="C382" s="9"/>
    </row>
    <row r="383" s="16" customFormat="1" ht="12.75">
      <c r="C383" s="9"/>
    </row>
    <row r="384" s="16" customFormat="1" ht="12.75">
      <c r="C384" s="9"/>
    </row>
    <row r="385" s="16" customFormat="1" ht="12.75">
      <c r="C385" s="9"/>
    </row>
    <row r="386" s="16" customFormat="1" ht="12.75">
      <c r="C386" s="9"/>
    </row>
    <row r="387" s="16" customFormat="1" ht="12.75">
      <c r="C387" s="9"/>
    </row>
    <row r="388" s="16" customFormat="1" ht="12.75">
      <c r="C388" s="9"/>
    </row>
    <row r="389" s="16" customFormat="1" ht="12.75">
      <c r="C389" s="9"/>
    </row>
    <row r="390" s="16" customFormat="1" ht="12.75">
      <c r="C390" s="9"/>
    </row>
    <row r="391" s="16" customFormat="1" ht="12.75">
      <c r="C391" s="9"/>
    </row>
    <row r="392" s="16" customFormat="1" ht="12.75">
      <c r="C392" s="9"/>
    </row>
    <row r="393" s="16" customFormat="1" ht="12.75">
      <c r="C393" s="9"/>
    </row>
    <row r="394" s="16" customFormat="1" ht="12.75">
      <c r="C394" s="9"/>
    </row>
    <row r="395" s="16" customFormat="1" ht="12.75">
      <c r="C395" s="9"/>
    </row>
    <row r="396" s="16" customFormat="1" ht="12.75">
      <c r="C396" s="9"/>
    </row>
    <row r="397" s="16" customFormat="1" ht="12.75">
      <c r="C397" s="9"/>
    </row>
    <row r="398" s="16" customFormat="1" ht="12.75">
      <c r="C398" s="9"/>
    </row>
    <row r="399" s="16" customFormat="1" ht="12.75">
      <c r="C399" s="9"/>
    </row>
    <row r="400" s="16" customFormat="1" ht="12.75">
      <c r="C400" s="9"/>
    </row>
    <row r="401" s="16" customFormat="1" ht="12.75">
      <c r="C401" s="9"/>
    </row>
    <row r="402" s="16" customFormat="1" ht="12.75">
      <c r="C402" s="9"/>
    </row>
    <row r="403" s="16" customFormat="1" ht="12.75">
      <c r="C403" s="9"/>
    </row>
    <row r="404" s="16" customFormat="1" ht="12.75">
      <c r="C404" s="9"/>
    </row>
    <row r="405" s="16" customFormat="1" ht="12.75">
      <c r="C405" s="9"/>
    </row>
    <row r="406" s="16" customFormat="1" ht="12.75">
      <c r="C406" s="9"/>
    </row>
    <row r="407" s="16" customFormat="1" ht="12.75">
      <c r="C407" s="9"/>
    </row>
    <row r="408" s="16" customFormat="1" ht="12.75">
      <c r="C408" s="9"/>
    </row>
    <row r="409" s="16" customFormat="1" ht="12.75">
      <c r="C409" s="9"/>
    </row>
    <row r="410" s="16" customFormat="1" ht="12.75">
      <c r="C410" s="9"/>
    </row>
    <row r="411" s="16" customFormat="1" ht="12.75">
      <c r="C411" s="9"/>
    </row>
    <row r="412" s="16" customFormat="1" ht="12.75">
      <c r="C412" s="9"/>
    </row>
    <row r="413" s="16" customFormat="1" ht="12.75">
      <c r="C413" s="9"/>
    </row>
    <row r="414" s="16" customFormat="1" ht="12.75">
      <c r="C414" s="9"/>
    </row>
    <row r="415" s="16" customFormat="1" ht="12.75">
      <c r="C415" s="9"/>
    </row>
    <row r="416" s="16" customFormat="1" ht="12.75">
      <c r="C416" s="9"/>
    </row>
    <row r="417" s="16" customFormat="1" ht="12.75">
      <c r="C417" s="9"/>
    </row>
    <row r="418" s="16" customFormat="1" ht="12.75">
      <c r="C418" s="9"/>
    </row>
    <row r="419" s="16" customFormat="1" ht="12.75">
      <c r="C419" s="9"/>
    </row>
    <row r="420" s="16" customFormat="1" ht="12.75">
      <c r="C420" s="9"/>
    </row>
    <row r="421" s="16" customFormat="1" ht="12.75">
      <c r="C421" s="9"/>
    </row>
    <row r="422" s="16" customFormat="1" ht="12.75">
      <c r="C422" s="9"/>
    </row>
    <row r="423" s="16" customFormat="1" ht="12.75">
      <c r="C423" s="9"/>
    </row>
    <row r="424" s="16" customFormat="1" ht="12.75">
      <c r="C424" s="9"/>
    </row>
    <row r="425" s="16" customFormat="1" ht="12.75">
      <c r="C425" s="9"/>
    </row>
    <row r="426" s="16" customFormat="1" ht="12.75">
      <c r="C426" s="9"/>
    </row>
    <row r="427" s="16" customFormat="1" ht="12.75">
      <c r="C427" s="9"/>
    </row>
    <row r="428" s="16" customFormat="1" ht="12.75">
      <c r="C428" s="9"/>
    </row>
    <row r="429" s="16" customFormat="1" ht="12.75">
      <c r="C429" s="9"/>
    </row>
    <row r="430" s="16" customFormat="1" ht="12.75">
      <c r="C430" s="9"/>
    </row>
    <row r="431" s="16" customFormat="1" ht="12.75">
      <c r="C431" s="9"/>
    </row>
    <row r="432" s="16" customFormat="1" ht="12.75">
      <c r="C432" s="9"/>
    </row>
    <row r="433" s="16" customFormat="1" ht="12.75">
      <c r="C433" s="9"/>
    </row>
    <row r="434" s="16" customFormat="1" ht="12.75">
      <c r="C434" s="9"/>
    </row>
    <row r="435" s="16" customFormat="1" ht="12.75">
      <c r="C435" s="9"/>
    </row>
    <row r="436" s="16" customFormat="1" ht="12.75">
      <c r="C436" s="9"/>
    </row>
    <row r="437" s="16" customFormat="1" ht="12.75">
      <c r="C437" s="9"/>
    </row>
    <row r="438" s="16" customFormat="1" ht="12.75">
      <c r="C438" s="9"/>
    </row>
    <row r="439" s="16" customFormat="1" ht="12.75">
      <c r="C439" s="9"/>
    </row>
    <row r="440" s="16" customFormat="1" ht="12.75">
      <c r="C440" s="9"/>
    </row>
    <row r="441" s="16" customFormat="1" ht="12.75">
      <c r="C441" s="9"/>
    </row>
    <row r="442" s="16" customFormat="1" ht="12.75">
      <c r="C442" s="9"/>
    </row>
    <row r="443" s="16" customFormat="1" ht="12.75">
      <c r="C443" s="9"/>
    </row>
    <row r="444" s="16" customFormat="1" ht="12.75">
      <c r="C444" s="9"/>
    </row>
    <row r="445" s="16" customFormat="1" ht="12.75">
      <c r="C445" s="9"/>
    </row>
    <row r="446" s="16" customFormat="1" ht="12.75">
      <c r="C446" s="9"/>
    </row>
    <row r="447" s="16" customFormat="1" ht="12.75">
      <c r="C447" s="9"/>
    </row>
    <row r="448" s="16" customFormat="1" ht="12.75">
      <c r="C448" s="9"/>
    </row>
    <row r="449" s="16" customFormat="1" ht="12.75">
      <c r="C449" s="9"/>
    </row>
    <row r="450" s="16" customFormat="1" ht="12.75">
      <c r="C450" s="9"/>
    </row>
    <row r="451" s="16" customFormat="1" ht="12.75">
      <c r="C451" s="9"/>
    </row>
    <row r="452" s="16" customFormat="1" ht="12.75">
      <c r="C452" s="9"/>
    </row>
    <row r="453" s="16" customFormat="1" ht="12.75">
      <c r="C453" s="9"/>
    </row>
    <row r="454" s="16" customFormat="1" ht="12.75">
      <c r="C454" s="9"/>
    </row>
    <row r="455" s="16" customFormat="1" ht="12.75">
      <c r="C455" s="9"/>
    </row>
    <row r="456" s="16" customFormat="1" ht="12.75">
      <c r="C456" s="9"/>
    </row>
    <row r="457" s="16" customFormat="1" ht="12.75">
      <c r="C457" s="9"/>
    </row>
    <row r="458" s="16" customFormat="1" ht="12.75">
      <c r="C458" s="9"/>
    </row>
    <row r="459" s="16" customFormat="1" ht="12.75">
      <c r="C459" s="9"/>
    </row>
    <row r="460" s="16" customFormat="1" ht="12.75">
      <c r="C460" s="9"/>
    </row>
    <row r="461" s="16" customFormat="1" ht="12.75">
      <c r="C461" s="9"/>
    </row>
    <row r="462" s="16" customFormat="1" ht="12.75">
      <c r="C462" s="9"/>
    </row>
    <row r="463" s="16" customFormat="1" ht="12.75">
      <c r="C463" s="9"/>
    </row>
    <row r="464" s="16" customFormat="1" ht="12.75">
      <c r="C464" s="9"/>
    </row>
    <row r="465" s="16" customFormat="1" ht="12.75">
      <c r="C465" s="9"/>
    </row>
    <row r="466" s="16" customFormat="1" ht="12.75">
      <c r="C466" s="9"/>
    </row>
    <row r="467" s="16" customFormat="1" ht="12.75">
      <c r="C467" s="9"/>
    </row>
    <row r="468" s="16" customFormat="1" ht="12.75">
      <c r="C468" s="9"/>
    </row>
    <row r="469" s="16" customFormat="1" ht="12.75">
      <c r="C469" s="9"/>
    </row>
    <row r="470" s="16" customFormat="1" ht="12.75">
      <c r="C470" s="9"/>
    </row>
    <row r="471" s="16" customFormat="1" ht="12.75">
      <c r="C471" s="9"/>
    </row>
    <row r="472" s="16" customFormat="1" ht="12.75">
      <c r="C472" s="9"/>
    </row>
    <row r="473" s="16" customFormat="1" ht="12.75">
      <c r="C473" s="9"/>
    </row>
    <row r="474" s="16" customFormat="1" ht="12.75">
      <c r="C474" s="9"/>
    </row>
    <row r="475" s="16" customFormat="1" ht="12.75">
      <c r="C475" s="9"/>
    </row>
    <row r="476" s="16" customFormat="1" ht="12.75">
      <c r="C476" s="9"/>
    </row>
    <row r="477" s="16" customFormat="1" ht="12.75">
      <c r="C477" s="9"/>
    </row>
    <row r="478" s="16" customFormat="1" ht="12.75">
      <c r="C478" s="9"/>
    </row>
    <row r="479" s="16" customFormat="1" ht="12.75">
      <c r="C479" s="9"/>
    </row>
    <row r="480" s="16" customFormat="1" ht="12.75">
      <c r="C480" s="9"/>
    </row>
    <row r="481" s="16" customFormat="1" ht="12.75">
      <c r="C481" s="9"/>
    </row>
    <row r="482" s="16" customFormat="1" ht="12.75">
      <c r="C482" s="9"/>
    </row>
    <row r="483" s="16" customFormat="1" ht="12.75">
      <c r="C483" s="9"/>
    </row>
    <row r="484" s="16" customFormat="1" ht="12.75">
      <c r="C484" s="9"/>
    </row>
    <row r="485" s="16" customFormat="1" ht="12.75">
      <c r="C485" s="9"/>
    </row>
    <row r="486" s="16" customFormat="1" ht="12.75">
      <c r="C486" s="9"/>
    </row>
    <row r="487" s="16" customFormat="1" ht="12.75">
      <c r="C487" s="9"/>
    </row>
    <row r="488" s="16" customFormat="1" ht="12.75">
      <c r="C488" s="9"/>
    </row>
    <row r="489" s="16" customFormat="1" ht="12.75">
      <c r="C489" s="9"/>
    </row>
    <row r="490" s="16" customFormat="1" ht="12.75">
      <c r="C490" s="9"/>
    </row>
    <row r="491" s="16" customFormat="1" ht="12.75">
      <c r="C491" s="9"/>
    </row>
    <row r="492" s="16" customFormat="1" ht="12.75">
      <c r="C492" s="9"/>
    </row>
    <row r="493" s="16" customFormat="1" ht="12.75">
      <c r="C493" s="9"/>
    </row>
    <row r="494" s="16" customFormat="1" ht="12.75">
      <c r="C494" s="9"/>
    </row>
    <row r="495" s="16" customFormat="1" ht="12.75">
      <c r="C495" s="9"/>
    </row>
    <row r="496" s="16" customFormat="1" ht="12.75">
      <c r="C496" s="9"/>
    </row>
    <row r="497" s="16" customFormat="1" ht="12.75">
      <c r="C497" s="9"/>
    </row>
    <row r="498" s="16" customFormat="1" ht="12.75">
      <c r="C498" s="9"/>
    </row>
    <row r="499" s="16" customFormat="1" ht="12.75">
      <c r="C499" s="9"/>
    </row>
    <row r="500" s="16" customFormat="1" ht="12.75">
      <c r="C500" s="9"/>
    </row>
    <row r="501" s="16" customFormat="1" ht="12.75">
      <c r="C501" s="9"/>
    </row>
    <row r="502" s="16" customFormat="1" ht="12.75">
      <c r="C502" s="9"/>
    </row>
    <row r="503" s="16" customFormat="1" ht="12.75">
      <c r="C503" s="9"/>
    </row>
    <row r="504" s="16" customFormat="1" ht="12.75">
      <c r="C504" s="9"/>
    </row>
    <row r="505" s="16" customFormat="1" ht="12.75">
      <c r="C505" s="9"/>
    </row>
    <row r="506" s="16" customFormat="1" ht="12.75">
      <c r="C506" s="9"/>
    </row>
    <row r="507" s="16" customFormat="1" ht="12.75">
      <c r="C507" s="9"/>
    </row>
    <row r="508" s="16" customFormat="1" ht="12.75">
      <c r="C508" s="9"/>
    </row>
    <row r="509" s="16" customFormat="1" ht="12.75">
      <c r="C509" s="9"/>
    </row>
    <row r="510" s="16" customFormat="1" ht="12.75">
      <c r="C510" s="9"/>
    </row>
    <row r="511" s="16" customFormat="1" ht="12.75">
      <c r="C511" s="9"/>
    </row>
    <row r="512" s="16" customFormat="1" ht="12.75">
      <c r="C512" s="9"/>
    </row>
    <row r="513" s="16" customFormat="1" ht="12.75">
      <c r="C513" s="9"/>
    </row>
    <row r="514" s="16" customFormat="1" ht="12.75">
      <c r="C514" s="9"/>
    </row>
    <row r="515" s="16" customFormat="1" ht="12.75">
      <c r="C515" s="9"/>
    </row>
    <row r="516" s="16" customFormat="1" ht="12.75">
      <c r="C516" s="9"/>
    </row>
    <row r="517" s="16" customFormat="1" ht="12.75">
      <c r="C517" s="9"/>
    </row>
    <row r="518" s="16" customFormat="1" ht="12.75">
      <c r="C518" s="9"/>
    </row>
    <row r="519" s="16" customFormat="1" ht="12.75">
      <c r="C519" s="9"/>
    </row>
    <row r="520" s="16" customFormat="1" ht="12.75">
      <c r="C520" s="9"/>
    </row>
    <row r="521" s="16" customFormat="1" ht="12.75">
      <c r="C521" s="9"/>
    </row>
    <row r="522" s="16" customFormat="1" ht="12.75">
      <c r="C522" s="9"/>
    </row>
    <row r="523" s="16" customFormat="1" ht="12.75">
      <c r="C523" s="9"/>
    </row>
    <row r="524" s="16" customFormat="1" ht="12.75">
      <c r="C524" s="9"/>
    </row>
    <row r="525" s="16" customFormat="1" ht="12.75">
      <c r="C525" s="9"/>
    </row>
    <row r="526" s="16" customFormat="1" ht="12.75">
      <c r="C526" s="9"/>
    </row>
    <row r="527" s="16" customFormat="1" ht="12.75">
      <c r="C527" s="9"/>
    </row>
    <row r="528" s="16" customFormat="1" ht="12.75">
      <c r="C528" s="9"/>
    </row>
    <row r="529" s="16" customFormat="1" ht="12.75">
      <c r="C529" s="9"/>
    </row>
    <row r="530" s="16" customFormat="1" ht="12.75">
      <c r="C530" s="9"/>
    </row>
    <row r="531" s="16" customFormat="1" ht="12.75">
      <c r="C531" s="9"/>
    </row>
    <row r="532" s="16" customFormat="1" ht="12.75">
      <c r="C532" s="9"/>
    </row>
    <row r="533" s="16" customFormat="1" ht="12.75">
      <c r="C533" s="9"/>
    </row>
    <row r="534" s="16" customFormat="1" ht="12.75">
      <c r="C534" s="9"/>
    </row>
    <row r="535" s="16" customFormat="1" ht="12.75">
      <c r="C535" s="9"/>
    </row>
    <row r="536" s="16" customFormat="1" ht="12.75">
      <c r="C536" s="9"/>
    </row>
    <row r="537" s="16" customFormat="1" ht="12.75">
      <c r="C537" s="9"/>
    </row>
    <row r="538" s="16" customFormat="1" ht="12.75">
      <c r="C538" s="9"/>
    </row>
    <row r="539" s="16" customFormat="1" ht="12.75">
      <c r="C539" s="9"/>
    </row>
    <row r="540" s="16" customFormat="1" ht="12.75">
      <c r="C540" s="9"/>
    </row>
    <row r="541" s="16" customFormat="1" ht="12.75">
      <c r="C541" s="9"/>
    </row>
    <row r="542" s="16" customFormat="1" ht="12.75">
      <c r="C542" s="9"/>
    </row>
    <row r="543" s="16" customFormat="1" ht="12.75">
      <c r="C543" s="9"/>
    </row>
    <row r="544" s="16" customFormat="1" ht="12.75">
      <c r="C544" s="9"/>
    </row>
    <row r="545" s="16" customFormat="1" ht="12.75">
      <c r="C545" s="9"/>
    </row>
    <row r="546" s="16" customFormat="1" ht="12.75">
      <c r="C546" s="9"/>
    </row>
    <row r="547" s="16" customFormat="1" ht="12.75">
      <c r="C547" s="9"/>
    </row>
    <row r="548" s="16" customFormat="1" ht="12.75">
      <c r="C548" s="9"/>
    </row>
    <row r="549" s="16" customFormat="1" ht="12.75">
      <c r="C549" s="9"/>
    </row>
    <row r="550" s="16" customFormat="1" ht="12.75">
      <c r="C550" s="9"/>
    </row>
    <row r="551" s="16" customFormat="1" ht="12.75">
      <c r="C551" s="9"/>
    </row>
    <row r="552" s="16" customFormat="1" ht="12.75">
      <c r="C552" s="9"/>
    </row>
    <row r="553" s="16" customFormat="1" ht="12.75">
      <c r="C553" s="9"/>
    </row>
    <row r="554" s="16" customFormat="1" ht="12.75">
      <c r="C554" s="9"/>
    </row>
    <row r="555" s="16" customFormat="1" ht="12.75">
      <c r="C555" s="9"/>
    </row>
    <row r="556" s="16" customFormat="1" ht="12.75">
      <c r="C556" s="9"/>
    </row>
    <row r="557" s="16" customFormat="1" ht="12.75">
      <c r="C557" s="9"/>
    </row>
    <row r="558" s="16" customFormat="1" ht="12.75">
      <c r="C558" s="9"/>
    </row>
    <row r="559" s="16" customFormat="1" ht="12.75">
      <c r="C559" s="9"/>
    </row>
    <row r="560" s="16" customFormat="1" ht="12.75">
      <c r="C560" s="9"/>
    </row>
    <row r="561" s="16" customFormat="1" ht="12.75">
      <c r="C561" s="9"/>
    </row>
    <row r="562" s="16" customFormat="1" ht="12.75">
      <c r="C562" s="9"/>
    </row>
    <row r="563" s="16" customFormat="1" ht="12.75">
      <c r="C563" s="9"/>
    </row>
    <row r="564" s="16" customFormat="1" ht="12.75">
      <c r="C564" s="9"/>
    </row>
    <row r="565" s="16" customFormat="1" ht="12.75">
      <c r="C565" s="9"/>
    </row>
    <row r="566" s="16" customFormat="1" ht="12.75">
      <c r="C566" s="9"/>
    </row>
    <row r="567" s="16" customFormat="1" ht="12.75">
      <c r="C567" s="9"/>
    </row>
    <row r="568" s="16" customFormat="1" ht="12.75">
      <c r="C568" s="9"/>
    </row>
    <row r="569" s="16" customFormat="1" ht="12.75">
      <c r="C569" s="9"/>
    </row>
    <row r="570" s="16" customFormat="1" ht="12.75">
      <c r="C570" s="9"/>
    </row>
    <row r="571" s="16" customFormat="1" ht="12.75">
      <c r="C571" s="9"/>
    </row>
    <row r="572" s="16" customFormat="1" ht="12.75">
      <c r="C572" s="9"/>
    </row>
    <row r="573" s="16" customFormat="1" ht="12.75">
      <c r="C573" s="9"/>
    </row>
    <row r="574" s="16" customFormat="1" ht="12.75">
      <c r="C574" s="9"/>
    </row>
    <row r="575" s="16" customFormat="1" ht="12.75">
      <c r="C575" s="9"/>
    </row>
    <row r="576" s="16" customFormat="1" ht="12.75">
      <c r="C576" s="9"/>
    </row>
    <row r="577" s="16" customFormat="1" ht="12.75">
      <c r="C577" s="9"/>
    </row>
    <row r="578" s="16" customFormat="1" ht="12.75">
      <c r="C578" s="9"/>
    </row>
    <row r="579" s="16" customFormat="1" ht="12.75">
      <c r="C579" s="9"/>
    </row>
    <row r="580" s="16" customFormat="1" ht="12.75">
      <c r="C580" s="9"/>
    </row>
    <row r="581" s="16" customFormat="1" ht="12.75">
      <c r="C581" s="9"/>
    </row>
    <row r="582" s="16" customFormat="1" ht="12.75">
      <c r="C582" s="9"/>
    </row>
    <row r="583" s="16" customFormat="1" ht="12.75">
      <c r="C583" s="9"/>
    </row>
    <row r="584" s="16" customFormat="1" ht="12.75">
      <c r="C584" s="9"/>
    </row>
    <row r="585" s="16" customFormat="1" ht="12.75">
      <c r="C585" s="9"/>
    </row>
    <row r="586" s="16" customFormat="1" ht="12.75">
      <c r="C586" s="9"/>
    </row>
    <row r="587" s="16" customFormat="1" ht="12.75">
      <c r="C587" s="9"/>
    </row>
    <row r="588" s="16" customFormat="1" ht="12.75">
      <c r="C588" s="9"/>
    </row>
    <row r="589" s="16" customFormat="1" ht="12.75">
      <c r="C589" s="9"/>
    </row>
    <row r="590" s="16" customFormat="1" ht="12.75">
      <c r="C590" s="9"/>
    </row>
    <row r="591" s="16" customFormat="1" ht="12.75">
      <c r="C591" s="9"/>
    </row>
    <row r="592" s="16" customFormat="1" ht="12.75">
      <c r="C592" s="9"/>
    </row>
    <row r="593" s="16" customFormat="1" ht="12.75">
      <c r="C593" s="9"/>
    </row>
    <row r="594" s="16" customFormat="1" ht="12.75">
      <c r="C594" s="9"/>
    </row>
    <row r="595" s="16" customFormat="1" ht="12.75">
      <c r="C595" s="9"/>
    </row>
    <row r="596" s="16" customFormat="1" ht="12.75">
      <c r="C596" s="9"/>
    </row>
    <row r="597" s="16" customFormat="1" ht="12.75">
      <c r="C597" s="9"/>
    </row>
    <row r="598" s="16" customFormat="1" ht="12.75">
      <c r="C598" s="9"/>
    </row>
    <row r="599" s="16" customFormat="1" ht="12.75">
      <c r="C599" s="9"/>
    </row>
    <row r="600" s="16" customFormat="1" ht="12.75">
      <c r="C600" s="9"/>
    </row>
    <row r="601" s="16" customFormat="1" ht="12.75">
      <c r="C601" s="9"/>
    </row>
    <row r="602" s="16" customFormat="1" ht="12.75">
      <c r="C602" s="9"/>
    </row>
    <row r="603" s="16" customFormat="1" ht="12.75">
      <c r="C603" s="9"/>
    </row>
    <row r="604" s="16" customFormat="1" ht="12.75">
      <c r="C604" s="9"/>
    </row>
    <row r="605" s="16" customFormat="1" ht="12.75">
      <c r="C605" s="9"/>
    </row>
    <row r="606" s="16" customFormat="1" ht="12.75">
      <c r="C606" s="9"/>
    </row>
    <row r="607" s="16" customFormat="1" ht="12.75">
      <c r="C607" s="9"/>
    </row>
    <row r="608" s="16" customFormat="1" ht="12.75">
      <c r="C608" s="9"/>
    </row>
    <row r="609" s="16" customFormat="1" ht="12.75">
      <c r="C609" s="9"/>
    </row>
    <row r="610" s="16" customFormat="1" ht="12.75">
      <c r="C610" s="9"/>
    </row>
    <row r="611" s="16" customFormat="1" ht="12.75">
      <c r="C611" s="9"/>
    </row>
    <row r="612" s="16" customFormat="1" ht="12.75">
      <c r="C612" s="9"/>
    </row>
    <row r="613" s="16" customFormat="1" ht="12.75">
      <c r="C613" s="9"/>
    </row>
    <row r="614" s="16" customFormat="1" ht="12.75">
      <c r="C614" s="9"/>
    </row>
    <row r="615" s="16" customFormat="1" ht="12.75">
      <c r="C615" s="9"/>
    </row>
    <row r="616" s="16" customFormat="1" ht="12.75">
      <c r="C616" s="9"/>
    </row>
    <row r="617" s="16" customFormat="1" ht="12.75">
      <c r="C617" s="9"/>
    </row>
    <row r="618" s="16" customFormat="1" ht="12.75">
      <c r="C618" s="9"/>
    </row>
    <row r="619" s="16" customFormat="1" ht="12.75">
      <c r="C619" s="9"/>
    </row>
    <row r="620" s="16" customFormat="1" ht="12.75">
      <c r="C620" s="9"/>
    </row>
    <row r="621" s="16" customFormat="1" ht="12.75">
      <c r="C621" s="9"/>
    </row>
    <row r="622" s="16" customFormat="1" ht="12.75">
      <c r="C622" s="9"/>
    </row>
    <row r="623" s="16" customFormat="1" ht="12.75">
      <c r="C623" s="9"/>
    </row>
    <row r="624" s="16" customFormat="1" ht="12.75">
      <c r="C624" s="9"/>
    </row>
    <row r="625" s="16" customFormat="1" ht="12.75">
      <c r="C625" s="9"/>
    </row>
    <row r="626" s="16" customFormat="1" ht="12.75">
      <c r="C626" s="9"/>
    </row>
    <row r="627" s="16" customFormat="1" ht="12.75">
      <c r="C627" s="9"/>
    </row>
    <row r="628" s="16" customFormat="1" ht="12.75">
      <c r="C628" s="9"/>
    </row>
    <row r="629" s="16" customFormat="1" ht="12.75">
      <c r="C629" s="9"/>
    </row>
    <row r="630" s="16" customFormat="1" ht="12.75">
      <c r="C630" s="9"/>
    </row>
    <row r="631" s="16" customFormat="1" ht="12.75">
      <c r="C631" s="9"/>
    </row>
    <row r="632" s="16" customFormat="1" ht="12.75">
      <c r="C632" s="9"/>
    </row>
    <row r="633" s="16" customFormat="1" ht="12.75">
      <c r="C633" s="9"/>
    </row>
    <row r="634" s="16" customFormat="1" ht="12.75">
      <c r="C634" s="9"/>
    </row>
    <row r="635" s="16" customFormat="1" ht="12.75">
      <c r="C635" s="9"/>
    </row>
    <row r="636" s="16" customFormat="1" ht="12.75">
      <c r="C636" s="9"/>
    </row>
    <row r="637" s="16" customFormat="1" ht="12.75">
      <c r="C637" s="9"/>
    </row>
    <row r="638" s="16" customFormat="1" ht="12.75">
      <c r="C638" s="9"/>
    </row>
    <row r="639" s="16" customFormat="1" ht="12.75">
      <c r="C639" s="9"/>
    </row>
    <row r="640" s="16" customFormat="1" ht="12.75">
      <c r="C640" s="9"/>
    </row>
    <row r="641" s="16" customFormat="1" ht="12.75">
      <c r="C641" s="9"/>
    </row>
    <row r="642" s="16" customFormat="1" ht="12.75">
      <c r="C642" s="9"/>
    </row>
    <row r="643" s="16" customFormat="1" ht="12.75">
      <c r="C643" s="9"/>
    </row>
    <row r="644" s="16" customFormat="1" ht="12.75">
      <c r="C644" s="9"/>
    </row>
    <row r="645" s="16" customFormat="1" ht="12.75">
      <c r="C645" s="9"/>
    </row>
    <row r="646" s="16" customFormat="1" ht="12.75">
      <c r="C646" s="9"/>
    </row>
    <row r="647" s="16" customFormat="1" ht="12.75">
      <c r="C647" s="9"/>
    </row>
    <row r="648" s="16" customFormat="1" ht="12.75">
      <c r="C648" s="9"/>
    </row>
    <row r="649" s="16" customFormat="1" ht="12.75">
      <c r="C649" s="9"/>
    </row>
    <row r="650" s="16" customFormat="1" ht="12.75">
      <c r="C650" s="9"/>
    </row>
    <row r="651" s="16" customFormat="1" ht="12.75">
      <c r="C651" s="9"/>
    </row>
    <row r="652" s="16" customFormat="1" ht="12.75">
      <c r="C652" s="9"/>
    </row>
    <row r="653" s="16" customFormat="1" ht="12.75">
      <c r="C653" s="9"/>
    </row>
    <row r="654" s="16" customFormat="1" ht="12.75">
      <c r="C654" s="9"/>
    </row>
    <row r="655" s="16" customFormat="1" ht="12.75">
      <c r="C655" s="9"/>
    </row>
    <row r="656" s="16" customFormat="1" ht="12.75">
      <c r="C656" s="9"/>
    </row>
    <row r="657" s="16" customFormat="1" ht="12.75">
      <c r="C657" s="9"/>
    </row>
    <row r="658" s="16" customFormat="1" ht="12.75">
      <c r="C658" s="9"/>
    </row>
    <row r="659" s="16" customFormat="1" ht="12.75">
      <c r="C659" s="9"/>
    </row>
    <row r="660" s="16" customFormat="1" ht="12.75">
      <c r="C660" s="9"/>
    </row>
    <row r="661" s="16" customFormat="1" ht="12.75">
      <c r="C661" s="9"/>
    </row>
    <row r="662" s="16" customFormat="1" ht="12.75">
      <c r="C662" s="9"/>
    </row>
    <row r="663" s="16" customFormat="1" ht="12.75">
      <c r="C663" s="9"/>
    </row>
    <row r="664" s="16" customFormat="1" ht="12.75">
      <c r="C664" s="9"/>
    </row>
    <row r="665" s="16" customFormat="1" ht="12.75">
      <c r="C665" s="9"/>
    </row>
    <row r="666" s="16" customFormat="1" ht="12.75">
      <c r="C666" s="9"/>
    </row>
    <row r="667" s="16" customFormat="1" ht="12.75">
      <c r="C667" s="9"/>
    </row>
    <row r="668" s="16" customFormat="1" ht="12.75">
      <c r="C668" s="9"/>
    </row>
    <row r="669" s="16" customFormat="1" ht="12.75">
      <c r="C669" s="9"/>
    </row>
    <row r="670" s="16" customFormat="1" ht="12.75">
      <c r="C670" s="9"/>
    </row>
    <row r="671" s="16" customFormat="1" ht="12.75">
      <c r="C671" s="9"/>
    </row>
    <row r="672" s="16" customFormat="1" ht="12.75">
      <c r="C672" s="9"/>
    </row>
    <row r="673" s="16" customFormat="1" ht="12.75">
      <c r="C673" s="9"/>
    </row>
    <row r="674" s="16" customFormat="1" ht="12.75">
      <c r="C674" s="9"/>
    </row>
    <row r="675" s="16" customFormat="1" ht="12.75">
      <c r="C675" s="9"/>
    </row>
    <row r="676" s="16" customFormat="1" ht="12.75">
      <c r="C676" s="9"/>
    </row>
    <row r="677" s="16" customFormat="1" ht="12.75">
      <c r="C677" s="9"/>
    </row>
    <row r="678" s="16" customFormat="1" ht="12.75">
      <c r="C678" s="9"/>
    </row>
    <row r="679" s="16" customFormat="1" ht="12.75">
      <c r="C679" s="9"/>
    </row>
    <row r="680" s="16" customFormat="1" ht="12.75">
      <c r="C680" s="9"/>
    </row>
    <row r="681" s="16" customFormat="1" ht="12.75">
      <c r="C681" s="9"/>
    </row>
    <row r="682" s="16" customFormat="1" ht="12.75">
      <c r="C682" s="9"/>
    </row>
    <row r="683" s="16" customFormat="1" ht="12.75">
      <c r="C683" s="9"/>
    </row>
    <row r="684" s="16" customFormat="1" ht="12.75">
      <c r="C684" s="9"/>
    </row>
    <row r="685" s="16" customFormat="1" ht="12.75">
      <c r="C685" s="9"/>
    </row>
    <row r="686" s="16" customFormat="1" ht="12.75">
      <c r="C686" s="9"/>
    </row>
    <row r="687" s="16" customFormat="1" ht="12.75">
      <c r="C687" s="9"/>
    </row>
    <row r="688" s="16" customFormat="1" ht="12.75">
      <c r="C688" s="9"/>
    </row>
    <row r="689" s="16" customFormat="1" ht="12.75">
      <c r="C689" s="9"/>
    </row>
    <row r="690" s="16" customFormat="1" ht="12.75">
      <c r="C690" s="9"/>
    </row>
    <row r="691" s="16" customFormat="1" ht="12.75">
      <c r="C691" s="9"/>
    </row>
    <row r="692" s="16" customFormat="1" ht="12.75">
      <c r="C692" s="9"/>
    </row>
    <row r="693" s="16" customFormat="1" ht="12.75">
      <c r="C693" s="9"/>
    </row>
    <row r="694" s="16" customFormat="1" ht="12.75">
      <c r="C694" s="9"/>
    </row>
    <row r="695" s="16" customFormat="1" ht="12.75">
      <c r="C695" s="9"/>
    </row>
    <row r="696" s="16" customFormat="1" ht="12.75">
      <c r="C696" s="9"/>
    </row>
    <row r="697" s="16" customFormat="1" ht="12.75">
      <c r="C697" s="9"/>
    </row>
    <row r="698" s="16" customFormat="1" ht="12.75">
      <c r="C698" s="9"/>
    </row>
    <row r="699" s="16" customFormat="1" ht="12.75">
      <c r="C699" s="9"/>
    </row>
    <row r="700" s="16" customFormat="1" ht="12.75">
      <c r="C700" s="9"/>
    </row>
    <row r="701" s="16" customFormat="1" ht="12.75">
      <c r="C701" s="9"/>
    </row>
    <row r="702" s="16" customFormat="1" ht="12.75">
      <c r="C702" s="9"/>
    </row>
    <row r="703" s="16" customFormat="1" ht="12.75">
      <c r="C703" s="9"/>
    </row>
    <row r="704" s="16" customFormat="1" ht="12.75">
      <c r="C704" s="9"/>
    </row>
    <row r="705" s="16" customFormat="1" ht="12.75">
      <c r="C705" s="9"/>
    </row>
    <row r="706" s="16" customFormat="1" ht="12.75">
      <c r="C706" s="9"/>
    </row>
    <row r="707" s="16" customFormat="1" ht="12.75">
      <c r="C707" s="9"/>
    </row>
    <row r="708" s="16" customFormat="1" ht="12.75">
      <c r="C708" s="9"/>
    </row>
    <row r="709" s="16" customFormat="1" ht="12.75">
      <c r="C709" s="9"/>
    </row>
    <row r="710" s="16" customFormat="1" ht="12.75">
      <c r="C710" s="9"/>
    </row>
    <row r="711" s="16" customFormat="1" ht="12.75">
      <c r="C711" s="9"/>
    </row>
    <row r="712" s="16" customFormat="1" ht="12.75">
      <c r="C712" s="9"/>
    </row>
    <row r="713" s="16" customFormat="1" ht="12.75">
      <c r="C713" s="9"/>
    </row>
    <row r="714" s="16" customFormat="1" ht="12.75">
      <c r="C714" s="9"/>
    </row>
    <row r="715" s="16" customFormat="1" ht="12.75">
      <c r="C715" s="9"/>
    </row>
    <row r="716" s="16" customFormat="1" ht="12.75">
      <c r="C716" s="9"/>
    </row>
    <row r="717" s="16" customFormat="1" ht="12.75">
      <c r="C717" s="9"/>
    </row>
    <row r="718" s="16" customFormat="1" ht="12.75">
      <c r="C718" s="9"/>
    </row>
    <row r="719" s="16" customFormat="1" ht="12.75">
      <c r="C719" s="9"/>
    </row>
    <row r="720" s="16" customFormat="1" ht="12.75">
      <c r="C720" s="9"/>
    </row>
    <row r="721" s="16" customFormat="1" ht="12.75">
      <c r="C721" s="9"/>
    </row>
    <row r="722" s="16" customFormat="1" ht="12.75">
      <c r="C722" s="9"/>
    </row>
    <row r="723" s="16" customFormat="1" ht="12.75">
      <c r="C723" s="9"/>
    </row>
    <row r="724" s="16" customFormat="1" ht="12.75">
      <c r="C724" s="9"/>
    </row>
    <row r="725" s="16" customFormat="1" ht="12.75">
      <c r="C725" s="9"/>
    </row>
    <row r="726" s="16" customFormat="1" ht="12.75">
      <c r="C726" s="9"/>
    </row>
    <row r="727" s="16" customFormat="1" ht="12.75">
      <c r="C727" s="9"/>
    </row>
    <row r="728" s="16" customFormat="1" ht="12.75">
      <c r="C728" s="9"/>
    </row>
    <row r="729" s="16" customFormat="1" ht="12.75">
      <c r="C729" s="9"/>
    </row>
    <row r="730" s="16" customFormat="1" ht="12.75">
      <c r="C730" s="9"/>
    </row>
    <row r="731" s="16" customFormat="1" ht="12.75">
      <c r="C731" s="9"/>
    </row>
    <row r="732" s="16" customFormat="1" ht="12.75">
      <c r="C732" s="9"/>
    </row>
    <row r="733" s="16" customFormat="1" ht="12.75">
      <c r="C733" s="9"/>
    </row>
    <row r="734" s="16" customFormat="1" ht="12.75">
      <c r="C734" s="9"/>
    </row>
    <row r="735" s="16" customFormat="1" ht="12.75">
      <c r="C735" s="9"/>
    </row>
    <row r="736" s="16" customFormat="1" ht="12.75">
      <c r="C736" s="9"/>
    </row>
    <row r="737" s="16" customFormat="1" ht="12.75">
      <c r="C737" s="9"/>
    </row>
    <row r="738" s="16" customFormat="1" ht="12.75">
      <c r="C738" s="9"/>
    </row>
    <row r="739" s="16" customFormat="1" ht="12.75">
      <c r="C739" s="9"/>
    </row>
    <row r="740" s="16" customFormat="1" ht="12.75">
      <c r="C740" s="9"/>
    </row>
    <row r="741" s="16" customFormat="1" ht="12.75">
      <c r="C741" s="9"/>
    </row>
    <row r="742" s="16" customFormat="1" ht="12.75">
      <c r="C742" s="9"/>
    </row>
    <row r="743" s="16" customFormat="1" ht="12.75">
      <c r="C743" s="9"/>
    </row>
    <row r="744" s="16" customFormat="1" ht="12.75">
      <c r="C744" s="9"/>
    </row>
    <row r="745" s="16" customFormat="1" ht="12.75">
      <c r="C745" s="9"/>
    </row>
    <row r="746" s="16" customFormat="1" ht="12.75">
      <c r="C746" s="9"/>
    </row>
    <row r="747" s="16" customFormat="1" ht="12.75">
      <c r="C747" s="9"/>
    </row>
    <row r="748" s="16" customFormat="1" ht="12.75">
      <c r="C748" s="9"/>
    </row>
    <row r="749" s="16" customFormat="1" ht="12.75">
      <c r="C749" s="9"/>
    </row>
    <row r="750" s="16" customFormat="1" ht="12.75">
      <c r="C750" s="9"/>
    </row>
    <row r="751" s="16" customFormat="1" ht="12.75">
      <c r="C751" s="9"/>
    </row>
    <row r="752" s="16" customFormat="1" ht="12.75">
      <c r="C752" s="9"/>
    </row>
    <row r="753" s="16" customFormat="1" ht="12.75">
      <c r="C753" s="9"/>
    </row>
    <row r="754" s="16" customFormat="1" ht="12.75">
      <c r="C754" s="9"/>
    </row>
    <row r="755" s="16" customFormat="1" ht="12.75">
      <c r="C755" s="9"/>
    </row>
    <row r="756" s="16" customFormat="1" ht="12.75">
      <c r="C756" s="9"/>
    </row>
    <row r="757" s="16" customFormat="1" ht="12.75">
      <c r="C757" s="9"/>
    </row>
    <row r="758" s="16" customFormat="1" ht="12.75">
      <c r="C758" s="9"/>
    </row>
    <row r="759" s="16" customFormat="1" ht="12.75">
      <c r="C759" s="9"/>
    </row>
    <row r="760" s="16" customFormat="1" ht="12.75">
      <c r="C760" s="9"/>
    </row>
    <row r="761" s="16" customFormat="1" ht="12.75">
      <c r="C761" s="9"/>
    </row>
    <row r="762" s="16" customFormat="1" ht="12.75">
      <c r="C762" s="9"/>
    </row>
    <row r="763" s="16" customFormat="1" ht="12.75">
      <c r="C763" s="9"/>
    </row>
    <row r="764" s="16" customFormat="1" ht="12.75">
      <c r="C764" s="9"/>
    </row>
    <row r="765" s="16" customFormat="1" ht="12.75">
      <c r="C765" s="9"/>
    </row>
    <row r="766" s="16" customFormat="1" ht="12.75">
      <c r="C766" s="9"/>
    </row>
    <row r="767" s="16" customFormat="1" ht="12.75">
      <c r="C767" s="9"/>
    </row>
    <row r="768" s="16" customFormat="1" ht="12.75">
      <c r="C768" s="9"/>
    </row>
    <row r="769" s="16" customFormat="1" ht="12.75">
      <c r="C769" s="9"/>
    </row>
    <row r="770" s="16" customFormat="1" ht="12.75">
      <c r="C770" s="9"/>
    </row>
    <row r="771" s="16" customFormat="1" ht="12.75">
      <c r="C771" s="9"/>
    </row>
    <row r="772" s="16" customFormat="1" ht="12.75">
      <c r="C772" s="9"/>
    </row>
    <row r="773" s="16" customFormat="1" ht="12.75">
      <c r="C773" s="9"/>
    </row>
    <row r="774" s="16" customFormat="1" ht="12.75">
      <c r="C774" s="9"/>
    </row>
    <row r="775" s="16" customFormat="1" ht="12.75">
      <c r="C775" s="9"/>
    </row>
    <row r="776" s="16" customFormat="1" ht="12.75">
      <c r="C776" s="9"/>
    </row>
    <row r="777" s="16" customFormat="1" ht="12.75">
      <c r="C777" s="9"/>
    </row>
    <row r="778" s="16" customFormat="1" ht="12.75">
      <c r="C778" s="9"/>
    </row>
    <row r="779" s="16" customFormat="1" ht="12.75">
      <c r="C779" s="9"/>
    </row>
    <row r="780" s="16" customFormat="1" ht="12.75">
      <c r="C780" s="9"/>
    </row>
    <row r="781" s="16" customFormat="1" ht="12.75">
      <c r="C781" s="9"/>
    </row>
    <row r="782" s="16" customFormat="1" ht="12.75">
      <c r="C782" s="9"/>
    </row>
    <row r="783" s="16" customFormat="1" ht="12.75">
      <c r="C783" s="9"/>
    </row>
    <row r="784" s="16" customFormat="1" ht="12.75">
      <c r="C784" s="9"/>
    </row>
    <row r="785" s="16" customFormat="1" ht="12.75">
      <c r="C785" s="9"/>
    </row>
    <row r="786" s="16" customFormat="1" ht="12.75">
      <c r="C786" s="9"/>
    </row>
    <row r="787" s="16" customFormat="1" ht="12.75">
      <c r="C787" s="9"/>
    </row>
    <row r="788" s="16" customFormat="1" ht="12.75">
      <c r="C788" s="9"/>
    </row>
    <row r="789" s="16" customFormat="1" ht="12.75">
      <c r="C789" s="9"/>
    </row>
    <row r="790" s="16" customFormat="1" ht="12.75">
      <c r="C790" s="9"/>
    </row>
    <row r="791" s="16" customFormat="1" ht="12.75">
      <c r="C791" s="9"/>
    </row>
    <row r="792" s="16" customFormat="1" ht="12.75">
      <c r="C792" s="9"/>
    </row>
    <row r="793" s="16" customFormat="1" ht="12.75">
      <c r="C793" s="9"/>
    </row>
    <row r="794" s="16" customFormat="1" ht="12.75">
      <c r="C794" s="9"/>
    </row>
    <row r="795" s="16" customFormat="1" ht="12.75">
      <c r="C795" s="9"/>
    </row>
    <row r="796" s="16" customFormat="1" ht="12.75">
      <c r="C796" s="9"/>
    </row>
    <row r="797" s="16" customFormat="1" ht="12.75">
      <c r="C797" s="9"/>
    </row>
    <row r="798" s="16" customFormat="1" ht="12.75">
      <c r="C798" s="9"/>
    </row>
    <row r="799" s="16" customFormat="1" ht="12.75">
      <c r="C799" s="9"/>
    </row>
    <row r="800" s="16" customFormat="1" ht="12.75">
      <c r="C800" s="9"/>
    </row>
    <row r="801" s="16" customFormat="1" ht="12.75">
      <c r="C801" s="9"/>
    </row>
    <row r="802" s="16" customFormat="1" ht="12.75">
      <c r="C802" s="9"/>
    </row>
    <row r="803" s="16" customFormat="1" ht="12.75">
      <c r="C803" s="9"/>
    </row>
    <row r="804" s="16" customFormat="1" ht="12.75">
      <c r="C804" s="9"/>
    </row>
    <row r="805" s="16" customFormat="1" ht="12.75">
      <c r="C805" s="9"/>
    </row>
    <row r="806" s="16" customFormat="1" ht="12.75">
      <c r="C806" s="9"/>
    </row>
    <row r="807" s="16" customFormat="1" ht="12.75">
      <c r="C807" s="9"/>
    </row>
    <row r="808" s="16" customFormat="1" ht="12.75">
      <c r="C808" s="9"/>
    </row>
    <row r="809" s="16" customFormat="1" ht="12.75">
      <c r="C809" s="9"/>
    </row>
    <row r="810" s="16" customFormat="1" ht="12.75">
      <c r="C810" s="9"/>
    </row>
    <row r="811" s="16" customFormat="1" ht="12.75">
      <c r="C811" s="9"/>
    </row>
    <row r="812" s="16" customFormat="1" ht="12.75">
      <c r="C812" s="9"/>
    </row>
    <row r="813" s="16" customFormat="1" ht="12.75">
      <c r="C813" s="9"/>
    </row>
    <row r="814" s="16" customFormat="1" ht="12.75">
      <c r="C814" s="9"/>
    </row>
    <row r="815" s="16" customFormat="1" ht="12.75">
      <c r="C815" s="9"/>
    </row>
    <row r="816" s="16" customFormat="1" ht="12.75">
      <c r="C816" s="9"/>
    </row>
    <row r="817" s="16" customFormat="1" ht="12.75">
      <c r="C817" s="9"/>
    </row>
    <row r="818" s="16" customFormat="1" ht="12.75">
      <c r="C818" s="9"/>
    </row>
    <row r="819" s="16" customFormat="1" ht="12.75">
      <c r="C819" s="9"/>
    </row>
    <row r="820" s="16" customFormat="1" ht="12.75">
      <c r="C820" s="9"/>
    </row>
    <row r="821" s="16" customFormat="1" ht="12.75">
      <c r="C821" s="9"/>
    </row>
    <row r="822" s="16" customFormat="1" ht="12.75">
      <c r="C822" s="9"/>
    </row>
    <row r="823" s="16" customFormat="1" ht="12.75">
      <c r="C823" s="9"/>
    </row>
    <row r="824" s="16" customFormat="1" ht="12.75">
      <c r="C824" s="9"/>
    </row>
    <row r="825" s="16" customFormat="1" ht="12.75">
      <c r="C825" s="9"/>
    </row>
    <row r="826" s="16" customFormat="1" ht="12.75">
      <c r="C826" s="9"/>
    </row>
    <row r="827" s="16" customFormat="1" ht="12.75">
      <c r="C827" s="9"/>
    </row>
    <row r="828" s="16" customFormat="1" ht="12.75">
      <c r="C828" s="9"/>
    </row>
    <row r="829" s="16" customFormat="1" ht="12.75">
      <c r="C829" s="9"/>
    </row>
    <row r="830" s="16" customFormat="1" ht="12.75">
      <c r="C830" s="9"/>
    </row>
    <row r="831" s="16" customFormat="1" ht="12.75">
      <c r="C831" s="9"/>
    </row>
    <row r="832" s="16" customFormat="1" ht="12.75">
      <c r="C832" s="9"/>
    </row>
    <row r="833" s="16" customFormat="1" ht="12.75">
      <c r="C833" s="9"/>
    </row>
    <row r="834" s="16" customFormat="1" ht="12.75">
      <c r="C834" s="9"/>
    </row>
    <row r="835" s="16" customFormat="1" ht="12.75">
      <c r="C835" s="9"/>
    </row>
    <row r="836" s="16" customFormat="1" ht="12.75">
      <c r="C836" s="9"/>
    </row>
    <row r="837" s="16" customFormat="1" ht="12.75">
      <c r="C837" s="9"/>
    </row>
    <row r="838" s="16" customFormat="1" ht="12.75">
      <c r="C838" s="9"/>
    </row>
    <row r="839" s="16" customFormat="1" ht="12.75">
      <c r="C839" s="9"/>
    </row>
    <row r="840" s="16" customFormat="1" ht="12.75">
      <c r="C840" s="9"/>
    </row>
    <row r="841" s="16" customFormat="1" ht="12.75">
      <c r="C841" s="9"/>
    </row>
    <row r="842" s="16" customFormat="1" ht="12.75">
      <c r="C842" s="9"/>
    </row>
    <row r="843" s="16" customFormat="1" ht="12.75">
      <c r="C843" s="9"/>
    </row>
    <row r="844" s="16" customFormat="1" ht="12.75">
      <c r="C844" s="9"/>
    </row>
    <row r="845" s="16" customFormat="1" ht="12.75">
      <c r="C845" s="9"/>
    </row>
    <row r="846" s="16" customFormat="1" ht="12.75">
      <c r="C846" s="9"/>
    </row>
    <row r="847" s="16" customFormat="1" ht="12.75">
      <c r="C847" s="9"/>
    </row>
    <row r="848" s="16" customFormat="1" ht="12.75">
      <c r="C848" s="9"/>
    </row>
    <row r="849" s="16" customFormat="1" ht="12.75">
      <c r="C849" s="9"/>
    </row>
    <row r="850" s="16" customFormat="1" ht="12.75">
      <c r="C850" s="9"/>
    </row>
    <row r="851" s="16" customFormat="1" ht="12.75">
      <c r="C851" s="9"/>
    </row>
    <row r="852" s="16" customFormat="1" ht="12.75">
      <c r="C852" s="9"/>
    </row>
    <row r="853" s="16" customFormat="1" ht="12.75">
      <c r="C853" s="9"/>
    </row>
    <row r="854" s="16" customFormat="1" ht="12.75">
      <c r="C854" s="9"/>
    </row>
    <row r="855" s="16" customFormat="1" ht="12.75">
      <c r="C855" s="9"/>
    </row>
    <row r="856" s="16" customFormat="1" ht="12.75">
      <c r="C856" s="9"/>
    </row>
    <row r="857" s="16" customFormat="1" ht="12.75">
      <c r="C857" s="9"/>
    </row>
    <row r="858" s="16" customFormat="1" ht="12.75">
      <c r="C858" s="9"/>
    </row>
    <row r="859" s="16" customFormat="1" ht="12.75">
      <c r="C859" s="9"/>
    </row>
    <row r="860" s="16" customFormat="1" ht="12.75">
      <c r="C860" s="9"/>
    </row>
    <row r="861" s="16" customFormat="1" ht="12.75">
      <c r="C861" s="9"/>
    </row>
    <row r="862" s="16" customFormat="1" ht="12.75">
      <c r="C862" s="9"/>
    </row>
    <row r="863" s="16" customFormat="1" ht="12.75">
      <c r="C863" s="9"/>
    </row>
    <row r="864" s="16" customFormat="1" ht="12.75">
      <c r="C864" s="9"/>
    </row>
    <row r="865" s="16" customFormat="1" ht="12.75">
      <c r="C865" s="9"/>
    </row>
    <row r="866" s="16" customFormat="1" ht="12.75">
      <c r="C866" s="9"/>
    </row>
    <row r="867" s="16" customFormat="1" ht="12.75">
      <c r="C867" s="9"/>
    </row>
    <row r="868" s="16" customFormat="1" ht="12.75">
      <c r="C868" s="9"/>
    </row>
    <row r="869" s="16" customFormat="1" ht="12.75">
      <c r="C869" s="9"/>
    </row>
    <row r="870" s="16" customFormat="1" ht="12.75">
      <c r="C870" s="9"/>
    </row>
    <row r="871" s="16" customFormat="1" ht="12.75">
      <c r="C871" s="9"/>
    </row>
    <row r="872" s="16" customFormat="1" ht="12.75">
      <c r="C872" s="9"/>
    </row>
    <row r="873" s="16" customFormat="1" ht="12.75">
      <c r="C873" s="9"/>
    </row>
    <row r="874" s="16" customFormat="1" ht="12.75">
      <c r="C874" s="9"/>
    </row>
    <row r="875" s="16" customFormat="1" ht="12.75">
      <c r="C875" s="9"/>
    </row>
    <row r="876" s="16" customFormat="1" ht="12.75">
      <c r="C876" s="9"/>
    </row>
    <row r="877" s="16" customFormat="1" ht="12.75">
      <c r="C877" s="9"/>
    </row>
    <row r="878" s="16" customFormat="1" ht="12.75">
      <c r="C878" s="9"/>
    </row>
    <row r="879" s="16" customFormat="1" ht="12.75">
      <c r="C879" s="9"/>
    </row>
    <row r="880" s="16" customFormat="1" ht="12.75">
      <c r="C880" s="9"/>
    </row>
    <row r="881" s="16" customFormat="1" ht="12.75">
      <c r="C881" s="9"/>
    </row>
    <row r="882" s="16" customFormat="1" ht="12.75">
      <c r="C882" s="9"/>
    </row>
    <row r="883" s="16" customFormat="1" ht="12.75">
      <c r="C883" s="9"/>
    </row>
    <row r="884" s="16" customFormat="1" ht="12.75">
      <c r="C884" s="9"/>
    </row>
    <row r="885" s="16" customFormat="1" ht="12.75">
      <c r="C885" s="9"/>
    </row>
    <row r="886" s="16" customFormat="1" ht="12.75">
      <c r="C886" s="9"/>
    </row>
    <row r="887" s="16" customFormat="1" ht="12.75">
      <c r="C887" s="9"/>
    </row>
    <row r="888" s="16" customFormat="1" ht="12.75">
      <c r="C888" s="9"/>
    </row>
    <row r="889" s="16" customFormat="1" ht="12.75">
      <c r="C889" s="9"/>
    </row>
    <row r="890" s="16" customFormat="1" ht="12.75">
      <c r="C890" s="9"/>
    </row>
    <row r="891" s="16" customFormat="1" ht="12.75">
      <c r="C891" s="9"/>
    </row>
    <row r="892" s="16" customFormat="1" ht="12.75">
      <c r="C892" s="9"/>
    </row>
    <row r="893" s="16" customFormat="1" ht="12.75">
      <c r="C893" s="9"/>
    </row>
    <row r="894" s="16" customFormat="1" ht="12.75">
      <c r="C894" s="9"/>
    </row>
    <row r="895" s="16" customFormat="1" ht="12.75">
      <c r="C895" s="9"/>
    </row>
    <row r="896" s="16" customFormat="1" ht="12.75">
      <c r="C896" s="9"/>
    </row>
    <row r="897" s="16" customFormat="1" ht="12.75">
      <c r="C897" s="9"/>
    </row>
    <row r="898" s="16" customFormat="1" ht="12.75">
      <c r="C898" s="9"/>
    </row>
    <row r="899" s="16" customFormat="1" ht="12.75">
      <c r="C899" s="9"/>
    </row>
    <row r="900" s="16" customFormat="1" ht="12.75">
      <c r="C900" s="9"/>
    </row>
    <row r="901" s="16" customFormat="1" ht="12.75">
      <c r="C901" s="9"/>
    </row>
    <row r="902" s="16" customFormat="1" ht="12.75">
      <c r="C902" s="9"/>
    </row>
    <row r="903" s="16" customFormat="1" ht="12.75">
      <c r="C903" s="9"/>
    </row>
    <row r="904" s="16" customFormat="1" ht="12.75">
      <c r="C904" s="9"/>
    </row>
    <row r="905" s="16" customFormat="1" ht="12.75">
      <c r="C905" s="9"/>
    </row>
    <row r="906" s="16" customFormat="1" ht="12.75">
      <c r="C906" s="9"/>
    </row>
    <row r="907" s="16" customFormat="1" ht="12.75">
      <c r="C907" s="9"/>
    </row>
    <row r="908" s="16" customFormat="1" ht="12.75">
      <c r="C908" s="9"/>
    </row>
    <row r="909" s="16" customFormat="1" ht="12.75">
      <c r="C909" s="9"/>
    </row>
    <row r="910" s="16" customFormat="1" ht="12.75">
      <c r="C910" s="9"/>
    </row>
    <row r="911" s="16" customFormat="1" ht="12.75">
      <c r="C911" s="9"/>
    </row>
    <row r="912" s="16" customFormat="1" ht="12.75">
      <c r="C912" s="9"/>
    </row>
    <row r="913" s="16" customFormat="1" ht="12.75">
      <c r="C913" s="9"/>
    </row>
    <row r="914" s="16" customFormat="1" ht="12.75">
      <c r="C914" s="9"/>
    </row>
    <row r="915" s="16" customFormat="1" ht="12.75">
      <c r="C915" s="9"/>
    </row>
    <row r="916" s="16" customFormat="1" ht="12.75">
      <c r="C916" s="9"/>
    </row>
    <row r="917" s="16" customFormat="1" ht="12.75">
      <c r="C917" s="9"/>
    </row>
    <row r="918" s="16" customFormat="1" ht="12.75">
      <c r="C918" s="9"/>
    </row>
    <row r="919" s="16" customFormat="1" ht="12.75">
      <c r="C919" s="9"/>
    </row>
    <row r="920" s="16" customFormat="1" ht="12.75">
      <c r="C920" s="9"/>
    </row>
    <row r="921" s="16" customFormat="1" ht="12.75">
      <c r="C921" s="9"/>
    </row>
    <row r="922" s="16" customFormat="1" ht="12.75">
      <c r="C922" s="9"/>
    </row>
    <row r="923" s="16" customFormat="1" ht="12.75">
      <c r="C923" s="9"/>
    </row>
    <row r="924" s="16" customFormat="1" ht="12.75">
      <c r="C924" s="9"/>
    </row>
    <row r="925" s="16" customFormat="1" ht="12.75">
      <c r="C925" s="9"/>
    </row>
    <row r="926" s="16" customFormat="1" ht="12.75">
      <c r="C926" s="9"/>
    </row>
    <row r="927" s="16" customFormat="1" ht="12.75">
      <c r="C927" s="9"/>
    </row>
    <row r="928" s="16" customFormat="1" ht="12.75">
      <c r="C928" s="9"/>
    </row>
    <row r="929" s="16" customFormat="1" ht="12.75">
      <c r="C929" s="9"/>
    </row>
    <row r="930" s="16" customFormat="1" ht="12.75">
      <c r="C930" s="9"/>
    </row>
    <row r="931" s="16" customFormat="1" ht="12.75">
      <c r="C931" s="9"/>
    </row>
    <row r="932" s="16" customFormat="1" ht="12.75">
      <c r="C932" s="9"/>
    </row>
    <row r="933" s="16" customFormat="1" ht="12.75">
      <c r="C933" s="9"/>
    </row>
    <row r="934" s="16" customFormat="1" ht="12.75">
      <c r="C934" s="9"/>
    </row>
    <row r="935" s="16" customFormat="1" ht="12.75">
      <c r="C935" s="9"/>
    </row>
    <row r="936" s="16" customFormat="1" ht="12.75">
      <c r="C936" s="9"/>
    </row>
    <row r="937" s="16" customFormat="1" ht="12.75">
      <c r="C937" s="9"/>
    </row>
    <row r="938" s="16" customFormat="1" ht="12.75">
      <c r="C938" s="9"/>
    </row>
    <row r="939" s="16" customFormat="1" ht="12.75">
      <c r="C939" s="9"/>
    </row>
    <row r="940" s="16" customFormat="1" ht="12.75">
      <c r="C940" s="9"/>
    </row>
    <row r="941" s="16" customFormat="1" ht="12.75">
      <c r="C941" s="9"/>
    </row>
    <row r="942" s="16" customFormat="1" ht="12.75">
      <c r="C942" s="9"/>
    </row>
    <row r="943" s="16" customFormat="1" ht="12.75">
      <c r="C943" s="9"/>
    </row>
    <row r="944" s="16" customFormat="1" ht="12.75">
      <c r="C944" s="9"/>
    </row>
    <row r="945" s="16" customFormat="1" ht="12.75">
      <c r="C945" s="9"/>
    </row>
    <row r="946" s="16" customFormat="1" ht="12.75">
      <c r="C946" s="9"/>
    </row>
    <row r="947" s="16" customFormat="1" ht="12.75">
      <c r="C947" s="9"/>
    </row>
    <row r="948" s="16" customFormat="1" ht="12.75">
      <c r="C948" s="9"/>
    </row>
    <row r="949" s="16" customFormat="1" ht="12.75">
      <c r="C949" s="9"/>
    </row>
    <row r="950" s="16" customFormat="1" ht="12.75">
      <c r="C950" s="9"/>
    </row>
    <row r="951" s="16" customFormat="1" ht="12.75">
      <c r="C951" s="9"/>
    </row>
    <row r="952" s="16" customFormat="1" ht="12.75">
      <c r="C952" s="9"/>
    </row>
    <row r="953" s="16" customFormat="1" ht="12.75">
      <c r="C953" s="9"/>
    </row>
    <row r="954" s="16" customFormat="1" ht="12.75">
      <c r="C954" s="9"/>
    </row>
    <row r="955" s="16" customFormat="1" ht="12.75">
      <c r="C955" s="9"/>
    </row>
    <row r="956" s="16" customFormat="1" ht="12.75">
      <c r="C956" s="9"/>
    </row>
    <row r="957" s="16" customFormat="1" ht="12.75">
      <c r="C957" s="9"/>
    </row>
    <row r="958" s="16" customFormat="1" ht="12.75">
      <c r="C958" s="9"/>
    </row>
    <row r="959" s="16" customFormat="1" ht="12.75">
      <c r="C959" s="9"/>
    </row>
    <row r="960" s="16" customFormat="1" ht="12.75">
      <c r="C960" s="9"/>
    </row>
    <row r="961" s="16" customFormat="1" ht="12.75">
      <c r="C961" s="9"/>
    </row>
    <row r="962" s="16" customFormat="1" ht="12.75">
      <c r="C962" s="9"/>
    </row>
    <row r="963" s="16" customFormat="1" ht="12.75">
      <c r="C963" s="9"/>
    </row>
    <row r="964" s="16" customFormat="1" ht="12.75">
      <c r="C964" s="9"/>
    </row>
    <row r="965" s="16" customFormat="1" ht="12.75">
      <c r="C965" s="9"/>
    </row>
    <row r="966" s="16" customFormat="1" ht="12.75">
      <c r="C966" s="9"/>
    </row>
    <row r="967" s="16" customFormat="1" ht="12.75">
      <c r="C967" s="9"/>
    </row>
    <row r="968" s="16" customFormat="1" ht="12.75">
      <c r="C968" s="9"/>
    </row>
    <row r="969" s="16" customFormat="1" ht="12.75">
      <c r="C969" s="9"/>
    </row>
    <row r="970" s="16" customFormat="1" ht="12.75">
      <c r="C970" s="9"/>
    </row>
    <row r="971" s="16" customFormat="1" ht="12.75">
      <c r="C971" s="9"/>
    </row>
    <row r="972" s="16" customFormat="1" ht="12.75">
      <c r="C972" s="9"/>
    </row>
    <row r="973" s="16" customFormat="1" ht="12.75">
      <c r="C973" s="9"/>
    </row>
    <row r="974" s="16" customFormat="1" ht="12.75">
      <c r="C974" s="9"/>
    </row>
    <row r="975" s="16" customFormat="1" ht="12.75">
      <c r="C975" s="9"/>
    </row>
    <row r="976" s="16" customFormat="1" ht="12.75">
      <c r="C976" s="9"/>
    </row>
    <row r="977" s="16" customFormat="1" ht="12.75">
      <c r="C977" s="9"/>
    </row>
    <row r="978" s="16" customFormat="1" ht="12.75">
      <c r="C978" s="9"/>
    </row>
    <row r="979" s="16" customFormat="1" ht="12.75">
      <c r="C979" s="9"/>
    </row>
    <row r="980" s="16" customFormat="1" ht="12.75">
      <c r="C980" s="9"/>
    </row>
    <row r="981" s="16" customFormat="1" ht="12.75">
      <c r="C981" s="9"/>
    </row>
    <row r="982" s="16" customFormat="1" ht="12.75">
      <c r="C982" s="9"/>
    </row>
    <row r="983" s="16" customFormat="1" ht="12.75">
      <c r="C983" s="9"/>
    </row>
    <row r="984" s="16" customFormat="1" ht="12.75">
      <c r="C984" s="9"/>
    </row>
    <row r="985" s="16" customFormat="1" ht="12.75">
      <c r="C985" s="9"/>
    </row>
    <row r="986" s="16" customFormat="1" ht="12.75">
      <c r="C986" s="9"/>
    </row>
    <row r="987" s="16" customFormat="1" ht="12.75">
      <c r="C987" s="9"/>
    </row>
    <row r="988" s="16" customFormat="1" ht="12.75">
      <c r="C988" s="9"/>
    </row>
    <row r="989" s="16" customFormat="1" ht="12.75">
      <c r="C989" s="9"/>
    </row>
    <row r="990" s="16" customFormat="1" ht="12.75">
      <c r="C990" s="9"/>
    </row>
    <row r="991" s="16" customFormat="1" ht="12.75">
      <c r="C991" s="9"/>
    </row>
    <row r="992" s="16" customFormat="1" ht="12.75">
      <c r="C992" s="9"/>
    </row>
    <row r="993" s="16" customFormat="1" ht="12.75">
      <c r="C993" s="9"/>
    </row>
    <row r="994" s="16" customFormat="1" ht="12.75">
      <c r="C994" s="9"/>
    </row>
    <row r="995" s="16" customFormat="1" ht="12.75">
      <c r="C995" s="9"/>
    </row>
    <row r="996" s="16" customFormat="1" ht="12.75">
      <c r="C996" s="9"/>
    </row>
    <row r="997" s="16" customFormat="1" ht="12.75">
      <c r="C997" s="9"/>
    </row>
    <row r="998" s="16" customFormat="1" ht="12.75">
      <c r="C998" s="9"/>
    </row>
    <row r="999" s="16" customFormat="1" ht="12.75">
      <c r="C999" s="9"/>
    </row>
    <row r="1000" s="16" customFormat="1" ht="12.75">
      <c r="C1000" s="9"/>
    </row>
    <row r="1001" s="16" customFormat="1" ht="12.75">
      <c r="C1001" s="9"/>
    </row>
    <row r="1002" s="16" customFormat="1" ht="12.75">
      <c r="C1002" s="9"/>
    </row>
    <row r="1003" s="16" customFormat="1" ht="12.75">
      <c r="C1003" s="9"/>
    </row>
    <row r="1004" s="16" customFormat="1" ht="12.75">
      <c r="C1004" s="9"/>
    </row>
    <row r="1005" s="16" customFormat="1" ht="12.75">
      <c r="C1005" s="9"/>
    </row>
    <row r="1006" s="16" customFormat="1" ht="12.75">
      <c r="C1006" s="9"/>
    </row>
    <row r="1007" s="16" customFormat="1" ht="12.75">
      <c r="C1007" s="9"/>
    </row>
    <row r="1008" s="16" customFormat="1" ht="12.75">
      <c r="C1008" s="9"/>
    </row>
    <row r="1009" s="16" customFormat="1" ht="12.75">
      <c r="C1009" s="9"/>
    </row>
    <row r="1010" s="16" customFormat="1" ht="12.75">
      <c r="C1010" s="9"/>
    </row>
    <row r="1011" s="16" customFormat="1" ht="12.75">
      <c r="C1011" s="9"/>
    </row>
    <row r="1012" s="16" customFormat="1" ht="12.75">
      <c r="C1012" s="9"/>
    </row>
    <row r="1013" s="16" customFormat="1" ht="12.75">
      <c r="C1013" s="9"/>
    </row>
    <row r="1014" s="16" customFormat="1" ht="12.75">
      <c r="C1014" s="9"/>
    </row>
    <row r="1015" s="16" customFormat="1" ht="12.75">
      <c r="C1015" s="9"/>
    </row>
    <row r="1016" s="16" customFormat="1" ht="12.75">
      <c r="C1016" s="9"/>
    </row>
    <row r="1017" s="16" customFormat="1" ht="12.75">
      <c r="C1017" s="9"/>
    </row>
    <row r="1018" s="16" customFormat="1" ht="12.75">
      <c r="C1018" s="9"/>
    </row>
    <row r="1019" s="16" customFormat="1" ht="12.75">
      <c r="C1019" s="9"/>
    </row>
    <row r="1020" s="16" customFormat="1" ht="12.75">
      <c r="C1020" s="9"/>
    </row>
    <row r="1021" s="16" customFormat="1" ht="12.75">
      <c r="C1021" s="9"/>
    </row>
    <row r="1022" s="16" customFormat="1" ht="12.75">
      <c r="C1022" s="9"/>
    </row>
    <row r="1023" s="16" customFormat="1" ht="12.75">
      <c r="C1023" s="9"/>
    </row>
    <row r="1024" s="16" customFormat="1" ht="12.75">
      <c r="C1024" s="9"/>
    </row>
    <row r="1025" s="16" customFormat="1" ht="12.75">
      <c r="C1025" s="9"/>
    </row>
    <row r="1026" s="16" customFormat="1" ht="12.75">
      <c r="C1026" s="9"/>
    </row>
    <row r="1027" s="16" customFormat="1" ht="12.75">
      <c r="C1027" s="9"/>
    </row>
    <row r="1028" s="16" customFormat="1" ht="12.75">
      <c r="C1028" s="9"/>
    </row>
    <row r="1029" s="16" customFormat="1" ht="12.75">
      <c r="C1029" s="9"/>
    </row>
    <row r="1030" s="16" customFormat="1" ht="12.75">
      <c r="C1030" s="9"/>
    </row>
    <row r="1031" s="16" customFormat="1" ht="12.75">
      <c r="C1031" s="9"/>
    </row>
    <row r="1032" s="16" customFormat="1" ht="12.75">
      <c r="C1032" s="9"/>
    </row>
    <row r="1033" s="16" customFormat="1" ht="12.75">
      <c r="C1033" s="9"/>
    </row>
    <row r="1034" s="16" customFormat="1" ht="12.75">
      <c r="C1034" s="9"/>
    </row>
    <row r="1035" s="16" customFormat="1" ht="12.75">
      <c r="C1035" s="9"/>
    </row>
    <row r="1036" s="16" customFormat="1" ht="12.75">
      <c r="C1036" s="9"/>
    </row>
    <row r="1037" s="16" customFormat="1" ht="12.75">
      <c r="C1037" s="9"/>
    </row>
    <row r="1038" s="16" customFormat="1" ht="12.75">
      <c r="C1038" s="9"/>
    </row>
    <row r="1039" s="16" customFormat="1" ht="12.75">
      <c r="C1039" s="9"/>
    </row>
    <row r="1040" s="16" customFormat="1" ht="12.75">
      <c r="C1040" s="9"/>
    </row>
    <row r="1041" s="16" customFormat="1" ht="12.75">
      <c r="C1041" s="9"/>
    </row>
    <row r="1042" s="16" customFormat="1" ht="12.75">
      <c r="C1042" s="9"/>
    </row>
    <row r="1043" s="16" customFormat="1" ht="12.75">
      <c r="C1043" s="9"/>
    </row>
    <row r="1044" s="16" customFormat="1" ht="12.75">
      <c r="C1044" s="9"/>
    </row>
    <row r="1045" s="16" customFormat="1" ht="12.75">
      <c r="C1045" s="9"/>
    </row>
    <row r="1046" s="16" customFormat="1" ht="12.75">
      <c r="C1046" s="9"/>
    </row>
    <row r="1047" s="16" customFormat="1" ht="12.75">
      <c r="C1047" s="9"/>
    </row>
    <row r="1048" s="16" customFormat="1" ht="12.75">
      <c r="C1048" s="9"/>
    </row>
    <row r="1049" s="16" customFormat="1" ht="12.75">
      <c r="C1049" s="9"/>
    </row>
    <row r="1050" s="16" customFormat="1" ht="12.75">
      <c r="C1050" s="9"/>
    </row>
    <row r="1051" s="16" customFormat="1" ht="12.75">
      <c r="C1051" s="9"/>
    </row>
    <row r="1052" s="16" customFormat="1" ht="12.75">
      <c r="C1052" s="9"/>
    </row>
    <row r="1053" s="16" customFormat="1" ht="12.75">
      <c r="C1053" s="9"/>
    </row>
    <row r="1054" s="16" customFormat="1" ht="12.75">
      <c r="C1054" s="9"/>
    </row>
    <row r="1055" s="16" customFormat="1" ht="12.75">
      <c r="C1055" s="9"/>
    </row>
    <row r="1056" s="16" customFormat="1" ht="12.75">
      <c r="C1056" s="9"/>
    </row>
    <row r="1057" s="16" customFormat="1" ht="12.75">
      <c r="C1057" s="9"/>
    </row>
    <row r="1058" s="16" customFormat="1" ht="12.75">
      <c r="C1058" s="9"/>
    </row>
    <row r="1059" s="16" customFormat="1" ht="12.75">
      <c r="C1059" s="9"/>
    </row>
    <row r="1060" s="16" customFormat="1" ht="12.75">
      <c r="C1060" s="9"/>
    </row>
    <row r="1061" s="16" customFormat="1" ht="12.75">
      <c r="C1061" s="9"/>
    </row>
    <row r="1062" s="16" customFormat="1" ht="12.75">
      <c r="C1062" s="9"/>
    </row>
    <row r="1063" s="16" customFormat="1" ht="12.75">
      <c r="C1063" s="9"/>
    </row>
    <row r="1064" s="16" customFormat="1" ht="12.75">
      <c r="C1064" s="9"/>
    </row>
    <row r="1065" s="16" customFormat="1" ht="12.75">
      <c r="C1065" s="9"/>
    </row>
    <row r="1066" s="16" customFormat="1" ht="12.75">
      <c r="C1066" s="9"/>
    </row>
    <row r="1067" s="16" customFormat="1" ht="12.75">
      <c r="C1067" s="9"/>
    </row>
    <row r="1068" s="16" customFormat="1" ht="12.75">
      <c r="C1068" s="9"/>
    </row>
    <row r="1069" s="16" customFormat="1" ht="12.75">
      <c r="C1069" s="9"/>
    </row>
    <row r="1070" s="16" customFormat="1" ht="12.75">
      <c r="C1070" s="9"/>
    </row>
    <row r="1071" s="16" customFormat="1" ht="12.75">
      <c r="C1071" s="9"/>
    </row>
    <row r="1072" s="16" customFormat="1" ht="12.75">
      <c r="C1072" s="9"/>
    </row>
    <row r="1073" s="16" customFormat="1" ht="12.75">
      <c r="C1073" s="9"/>
    </row>
    <row r="1074" s="16" customFormat="1" ht="12.75">
      <c r="C1074" s="9"/>
    </row>
    <row r="1075" s="16" customFormat="1" ht="12.75">
      <c r="C1075" s="9"/>
    </row>
    <row r="1076" s="16" customFormat="1" ht="12.75">
      <c r="C1076" s="9"/>
    </row>
    <row r="1077" s="16" customFormat="1" ht="12.75">
      <c r="C1077" s="9"/>
    </row>
    <row r="1078" s="16" customFormat="1" ht="12.75">
      <c r="C1078" s="9"/>
    </row>
    <row r="1079" s="16" customFormat="1" ht="12.75">
      <c r="C1079" s="9"/>
    </row>
    <row r="1080" s="16" customFormat="1" ht="12.75">
      <c r="C1080" s="9"/>
    </row>
    <row r="1081" s="16" customFormat="1" ht="12.75">
      <c r="C1081" s="9"/>
    </row>
    <row r="1082" s="16" customFormat="1" ht="12.75">
      <c r="C1082" s="9"/>
    </row>
    <row r="1083" s="16" customFormat="1" ht="12.75">
      <c r="C1083" s="9"/>
    </row>
    <row r="1084" s="16" customFormat="1" ht="12.75">
      <c r="C1084" s="9"/>
    </row>
    <row r="1085" s="16" customFormat="1" ht="12.75">
      <c r="C1085" s="9"/>
    </row>
    <row r="1086" s="16" customFormat="1" ht="12.75">
      <c r="C1086" s="9"/>
    </row>
    <row r="1087" s="16" customFormat="1" ht="12.75">
      <c r="C1087" s="9"/>
    </row>
    <row r="1088" s="16" customFormat="1" ht="12.75">
      <c r="C1088" s="9"/>
    </row>
    <row r="1089" s="16" customFormat="1" ht="12.75">
      <c r="C1089" s="9"/>
    </row>
    <row r="1090" s="16" customFormat="1" ht="12.75">
      <c r="C1090" s="9"/>
    </row>
    <row r="1091" s="16" customFormat="1" ht="12.75">
      <c r="C1091" s="9"/>
    </row>
    <row r="1092" s="16" customFormat="1" ht="12.75">
      <c r="C1092" s="9"/>
    </row>
    <row r="1093" s="16" customFormat="1" ht="12.75">
      <c r="C1093" s="9"/>
    </row>
    <row r="1094" s="16" customFormat="1" ht="12.75">
      <c r="C1094" s="9"/>
    </row>
    <row r="1095" s="16" customFormat="1" ht="12.75">
      <c r="C1095" s="9"/>
    </row>
    <row r="1096" s="16" customFormat="1" ht="12.75">
      <c r="C1096" s="9"/>
    </row>
    <row r="1097" s="16" customFormat="1" ht="12.75">
      <c r="C1097" s="9"/>
    </row>
    <row r="1098" s="16" customFormat="1" ht="12.75">
      <c r="C1098" s="9"/>
    </row>
    <row r="1099" s="16" customFormat="1" ht="12.75">
      <c r="C1099" s="9"/>
    </row>
    <row r="1100" s="16" customFormat="1" ht="12.75">
      <c r="C1100" s="9"/>
    </row>
    <row r="1101" s="16" customFormat="1" ht="12.75">
      <c r="C1101" s="9"/>
    </row>
    <row r="1102" s="16" customFormat="1" ht="12.75">
      <c r="C1102" s="9"/>
    </row>
    <row r="1103" s="16" customFormat="1" ht="12.75">
      <c r="C1103" s="9"/>
    </row>
    <row r="1104" s="16" customFormat="1" ht="12.75">
      <c r="C1104" s="9"/>
    </row>
    <row r="1105" s="16" customFormat="1" ht="12.75">
      <c r="C1105" s="9"/>
    </row>
    <row r="1106" s="16" customFormat="1" ht="12.75">
      <c r="C1106" s="9"/>
    </row>
    <row r="1107" s="16" customFormat="1" ht="12.75">
      <c r="C1107" s="9"/>
    </row>
    <row r="1108" s="16" customFormat="1" ht="12.75">
      <c r="C1108" s="9"/>
    </row>
    <row r="1109" s="16" customFormat="1" ht="12.75">
      <c r="C1109" s="9"/>
    </row>
    <row r="1110" s="16" customFormat="1" ht="12.75">
      <c r="C1110" s="9"/>
    </row>
    <row r="1111" s="16" customFormat="1" ht="12.75">
      <c r="C1111" s="9"/>
    </row>
    <row r="1112" s="16" customFormat="1" ht="12.75">
      <c r="C1112" s="9"/>
    </row>
    <row r="1113" s="16" customFormat="1" ht="12.75">
      <c r="C1113" s="9"/>
    </row>
    <row r="1114" s="16" customFormat="1" ht="12.75">
      <c r="C1114" s="9"/>
    </row>
    <row r="1115" s="16" customFormat="1" ht="12.75">
      <c r="C1115" s="9"/>
    </row>
    <row r="1116" s="16" customFormat="1" ht="12.75">
      <c r="C1116" s="9"/>
    </row>
    <row r="1117" s="16" customFormat="1" ht="12.75">
      <c r="C1117" s="9"/>
    </row>
    <row r="1118" s="16" customFormat="1" ht="12.75">
      <c r="C1118" s="9"/>
    </row>
    <row r="1119" s="16" customFormat="1" ht="12.75">
      <c r="C1119" s="9"/>
    </row>
    <row r="1120" s="16" customFormat="1" ht="12.75">
      <c r="C1120" s="9"/>
    </row>
    <row r="1121" s="16" customFormat="1" ht="12.75">
      <c r="C1121" s="9"/>
    </row>
    <row r="1122" s="16" customFormat="1" ht="12.75">
      <c r="C1122" s="9"/>
    </row>
    <row r="1123" s="16" customFormat="1" ht="12.75">
      <c r="C1123" s="9"/>
    </row>
    <row r="1124" s="16" customFormat="1" ht="12.75">
      <c r="C1124" s="9"/>
    </row>
    <row r="1125" s="16" customFormat="1" ht="12.75">
      <c r="C1125" s="9"/>
    </row>
    <row r="1126" s="16" customFormat="1" ht="12.75">
      <c r="C1126" s="9"/>
    </row>
    <row r="1127" s="16" customFormat="1" ht="12.75">
      <c r="C1127" s="9"/>
    </row>
    <row r="1128" s="16" customFormat="1" ht="12.75">
      <c r="C1128" s="9"/>
    </row>
    <row r="1129" s="16" customFormat="1" ht="12.75">
      <c r="C1129" s="9"/>
    </row>
    <row r="1130" s="16" customFormat="1" ht="12.75">
      <c r="C1130" s="9"/>
    </row>
    <row r="1131" s="16" customFormat="1" ht="12.75">
      <c r="C1131" s="9"/>
    </row>
    <row r="1132" s="16" customFormat="1" ht="12.75">
      <c r="C1132" s="9"/>
    </row>
    <row r="1133" s="16" customFormat="1" ht="12.75">
      <c r="C1133" s="9"/>
    </row>
    <row r="1134" s="16" customFormat="1" ht="12.75">
      <c r="C1134" s="9"/>
    </row>
    <row r="1135" s="16" customFormat="1" ht="12.75">
      <c r="C1135" s="9"/>
    </row>
    <row r="1136" s="16" customFormat="1" ht="12.75">
      <c r="C1136" s="9"/>
    </row>
    <row r="1137" s="16" customFormat="1" ht="12.75">
      <c r="C1137" s="9"/>
    </row>
    <row r="1138" s="16" customFormat="1" ht="12.75">
      <c r="C1138" s="9"/>
    </row>
    <row r="1139" s="16" customFormat="1" ht="12.75">
      <c r="C1139" s="9"/>
    </row>
    <row r="1140" s="16" customFormat="1" ht="12.75">
      <c r="C1140" s="9"/>
    </row>
    <row r="1141" s="16" customFormat="1" ht="12.75">
      <c r="C1141" s="9"/>
    </row>
    <row r="1142" s="16" customFormat="1" ht="12.75">
      <c r="C1142" s="9"/>
    </row>
    <row r="1143" s="16" customFormat="1" ht="12.75">
      <c r="C1143" s="9"/>
    </row>
    <row r="1144" s="16" customFormat="1" ht="12.75">
      <c r="C1144" s="9"/>
    </row>
    <row r="1145" s="16" customFormat="1" ht="12.75">
      <c r="C1145" s="9"/>
    </row>
    <row r="1146" s="16" customFormat="1" ht="12.75">
      <c r="C1146" s="9"/>
    </row>
    <row r="1147" s="16" customFormat="1" ht="12.75">
      <c r="C1147" s="9"/>
    </row>
    <row r="1148" s="16" customFormat="1" ht="12.75">
      <c r="C1148" s="9"/>
    </row>
    <row r="1149" s="16" customFormat="1" ht="12.75">
      <c r="C1149" s="9"/>
    </row>
    <row r="1150" s="16" customFormat="1" ht="12.75">
      <c r="C1150" s="9"/>
    </row>
    <row r="1151" s="16" customFormat="1" ht="12.75">
      <c r="C1151" s="9"/>
    </row>
    <row r="1152" s="16" customFormat="1" ht="12.75">
      <c r="C1152" s="9"/>
    </row>
    <row r="1153" s="16" customFormat="1" ht="12.75">
      <c r="C1153" s="9"/>
    </row>
    <row r="1154" s="16" customFormat="1" ht="12.75">
      <c r="C1154" s="9"/>
    </row>
    <row r="1155" s="16" customFormat="1" ht="12.75">
      <c r="C1155" s="9"/>
    </row>
    <row r="1156" s="16" customFormat="1" ht="12.75">
      <c r="C1156" s="9"/>
    </row>
    <row r="1157" s="16" customFormat="1" ht="12.75">
      <c r="C1157" s="9"/>
    </row>
    <row r="1158" s="16" customFormat="1" ht="12.75">
      <c r="C1158" s="9"/>
    </row>
    <row r="1159" s="16" customFormat="1" ht="12.75">
      <c r="C1159" s="9"/>
    </row>
    <row r="1160" s="16" customFormat="1" ht="12.75">
      <c r="C1160" s="9"/>
    </row>
    <row r="1161" s="16" customFormat="1" ht="12.75">
      <c r="C1161" s="9"/>
    </row>
    <row r="1162" s="16" customFormat="1" ht="12.75">
      <c r="C1162" s="9"/>
    </row>
    <row r="1163" s="16" customFormat="1" ht="12.75">
      <c r="C1163" s="9"/>
    </row>
    <row r="1164" s="16" customFormat="1" ht="12.75">
      <c r="C1164" s="9"/>
    </row>
    <row r="1165" s="16" customFormat="1" ht="12.75">
      <c r="C1165" s="9"/>
    </row>
    <row r="1166" s="16" customFormat="1" ht="12.75">
      <c r="C1166" s="9"/>
    </row>
    <row r="1167" s="16" customFormat="1" ht="12.75">
      <c r="C1167" s="9"/>
    </row>
    <row r="1168" s="16" customFormat="1" ht="12.75">
      <c r="C1168" s="9"/>
    </row>
    <row r="1169" s="16" customFormat="1" ht="12.75">
      <c r="C1169" s="9"/>
    </row>
    <row r="1170" s="16" customFormat="1" ht="12.75">
      <c r="C1170" s="9"/>
    </row>
    <row r="1171" s="16" customFormat="1" ht="12.75">
      <c r="C1171" s="9"/>
    </row>
    <row r="1172" s="16" customFormat="1" ht="12.75">
      <c r="C1172" s="9"/>
    </row>
    <row r="1173" s="16" customFormat="1" ht="12.75">
      <c r="C1173" s="9"/>
    </row>
    <row r="1174" s="16" customFormat="1" ht="12.75">
      <c r="C1174" s="9"/>
    </row>
    <row r="1175" s="16" customFormat="1" ht="12.75">
      <c r="C1175" s="9"/>
    </row>
    <row r="1176" s="16" customFormat="1" ht="12.75">
      <c r="C1176" s="9"/>
    </row>
    <row r="1177" s="16" customFormat="1" ht="12.75">
      <c r="C1177" s="9"/>
    </row>
    <row r="1178" s="16" customFormat="1" ht="12.75">
      <c r="C1178" s="9"/>
    </row>
    <row r="1179" s="16" customFormat="1" ht="12.75">
      <c r="C1179" s="9"/>
    </row>
    <row r="1180" s="16" customFormat="1" ht="12.75">
      <c r="C1180" s="9"/>
    </row>
    <row r="1181" s="16" customFormat="1" ht="12.75">
      <c r="C1181" s="9"/>
    </row>
    <row r="1182" s="16" customFormat="1" ht="12.75">
      <c r="C1182" s="9"/>
    </row>
    <row r="1183" s="16" customFormat="1" ht="12.75">
      <c r="C1183" s="9"/>
    </row>
    <row r="1184" s="16" customFormat="1" ht="12.75">
      <c r="C1184" s="9"/>
    </row>
    <row r="1185" s="16" customFormat="1" ht="12.75">
      <c r="C1185" s="9"/>
    </row>
    <row r="1186" s="16" customFormat="1" ht="12.75">
      <c r="C1186" s="9"/>
    </row>
    <row r="1187" s="16" customFormat="1" ht="12.75">
      <c r="C1187" s="9"/>
    </row>
    <row r="1188" s="16" customFormat="1" ht="12.75">
      <c r="C1188" s="9"/>
    </row>
    <row r="1189" s="16" customFormat="1" ht="12.75">
      <c r="C1189" s="9"/>
    </row>
    <row r="1190" s="16" customFormat="1" ht="12.75">
      <c r="C1190" s="9"/>
    </row>
    <row r="1191" s="16" customFormat="1" ht="12.75">
      <c r="C1191" s="9"/>
    </row>
    <row r="1192" s="16" customFormat="1" ht="12.75">
      <c r="C1192" s="9"/>
    </row>
    <row r="1193" s="16" customFormat="1" ht="12.75">
      <c r="C1193" s="9"/>
    </row>
    <row r="1194" s="16" customFormat="1" ht="12.75">
      <c r="C1194" s="9"/>
    </row>
    <row r="1195" s="16" customFormat="1" ht="12.75">
      <c r="C1195" s="9"/>
    </row>
    <row r="1196" s="16" customFormat="1" ht="12.75">
      <c r="C1196" s="9"/>
    </row>
    <row r="1197" s="16" customFormat="1" ht="12.75">
      <c r="C1197" s="9"/>
    </row>
    <row r="1198" s="16" customFormat="1" ht="12.75">
      <c r="C1198" s="9"/>
    </row>
    <row r="1199" s="16" customFormat="1" ht="12.75">
      <c r="C1199" s="9"/>
    </row>
    <row r="1200" s="16" customFormat="1" ht="12.75">
      <c r="C1200" s="9"/>
    </row>
    <row r="1201" s="16" customFormat="1" ht="12.75">
      <c r="C1201" s="9"/>
    </row>
    <row r="1202" s="16" customFormat="1" ht="12.75">
      <c r="C1202" s="9"/>
    </row>
    <row r="1203" s="16" customFormat="1" ht="12.75">
      <c r="C1203" s="9"/>
    </row>
    <row r="1204" s="16" customFormat="1" ht="12.75">
      <c r="C1204" s="9"/>
    </row>
    <row r="1205" s="16" customFormat="1" ht="12.75">
      <c r="C1205" s="9"/>
    </row>
    <row r="1206" s="16" customFormat="1" ht="12.75">
      <c r="C1206" s="9"/>
    </row>
    <row r="1207" s="16" customFormat="1" ht="12.75">
      <c r="C1207" s="9"/>
    </row>
    <row r="1208" s="16" customFormat="1" ht="12.75">
      <c r="C1208" s="9"/>
    </row>
    <row r="1209" s="16" customFormat="1" ht="12.75">
      <c r="C1209" s="9"/>
    </row>
    <row r="1210" s="16" customFormat="1" ht="12.75">
      <c r="C1210" s="9"/>
    </row>
    <row r="1211" s="16" customFormat="1" ht="12.75">
      <c r="C1211" s="9"/>
    </row>
    <row r="1212" s="16" customFormat="1" ht="12.75">
      <c r="C1212" s="9"/>
    </row>
    <row r="1213" s="16" customFormat="1" ht="12.75">
      <c r="C1213" s="9"/>
    </row>
    <row r="1214" s="16" customFormat="1" ht="12.75">
      <c r="C1214" s="9"/>
    </row>
    <row r="1215" s="16" customFormat="1" ht="12.75">
      <c r="C1215" s="9"/>
    </row>
    <row r="1216" s="16" customFormat="1" ht="12.75">
      <c r="C1216" s="9"/>
    </row>
    <row r="1217" s="16" customFormat="1" ht="12.75">
      <c r="C1217" s="9"/>
    </row>
    <row r="1218" s="16" customFormat="1" ht="12.75">
      <c r="C1218" s="9"/>
    </row>
    <row r="1219" s="16" customFormat="1" ht="12.75">
      <c r="C1219" s="9"/>
    </row>
    <row r="1220" s="16" customFormat="1" ht="12.75">
      <c r="C1220" s="9"/>
    </row>
    <row r="1221" s="16" customFormat="1" ht="12.75">
      <c r="C1221" s="9"/>
    </row>
    <row r="1222" s="16" customFormat="1" ht="12.75">
      <c r="C1222" s="9"/>
    </row>
    <row r="1223" s="16" customFormat="1" ht="12.75">
      <c r="C1223" s="9"/>
    </row>
    <row r="1224" s="16" customFormat="1" ht="12.75">
      <c r="C1224" s="9"/>
    </row>
    <row r="1225" s="16" customFormat="1" ht="12.75">
      <c r="C1225" s="9"/>
    </row>
    <row r="1226" s="16" customFormat="1" ht="12.75">
      <c r="C1226" s="9"/>
    </row>
    <row r="1227" s="16" customFormat="1" ht="12.75">
      <c r="C1227" s="9"/>
    </row>
    <row r="1228" s="16" customFormat="1" ht="12.75">
      <c r="C1228" s="9"/>
    </row>
    <row r="1229" s="16" customFormat="1" ht="12.75">
      <c r="C1229" s="9"/>
    </row>
    <row r="1230" s="16" customFormat="1" ht="12.75">
      <c r="C1230" s="9"/>
    </row>
    <row r="1231" s="16" customFormat="1" ht="12.75">
      <c r="C1231" s="9"/>
    </row>
    <row r="1232" s="16" customFormat="1" ht="12.75">
      <c r="C1232" s="9"/>
    </row>
    <row r="1233" s="16" customFormat="1" ht="12.75">
      <c r="C1233" s="9"/>
    </row>
    <row r="1234" s="16" customFormat="1" ht="12.75">
      <c r="C1234" s="9"/>
    </row>
    <row r="1235" s="16" customFormat="1" ht="12.75">
      <c r="C1235" s="9"/>
    </row>
    <row r="1236" s="16" customFormat="1" ht="12.75">
      <c r="C1236" s="9"/>
    </row>
    <row r="1237" s="16" customFormat="1" ht="12.75">
      <c r="C1237" s="9"/>
    </row>
    <row r="1238" s="16" customFormat="1" ht="12.75">
      <c r="C1238" s="9"/>
    </row>
    <row r="1239" s="16" customFormat="1" ht="12.75">
      <c r="C1239" s="9"/>
    </row>
    <row r="1240" s="16" customFormat="1" ht="12.75">
      <c r="C1240" s="9"/>
    </row>
    <row r="1241" s="16" customFormat="1" ht="12.75">
      <c r="C1241" s="9"/>
    </row>
    <row r="1242" s="16" customFormat="1" ht="12.75">
      <c r="C1242" s="9"/>
    </row>
    <row r="1243" s="16" customFormat="1" ht="12.75">
      <c r="C1243" s="9"/>
    </row>
    <row r="1244" s="16" customFormat="1" ht="12.75">
      <c r="C1244" s="9"/>
    </row>
    <row r="1245" s="16" customFormat="1" ht="12.75">
      <c r="C1245" s="9"/>
    </row>
    <row r="1246" s="16" customFormat="1" ht="12.75">
      <c r="C1246" s="9"/>
    </row>
    <row r="1247" s="16" customFormat="1" ht="12.75">
      <c r="C1247" s="9"/>
    </row>
    <row r="1248" s="16" customFormat="1" ht="12.75">
      <c r="C1248" s="9"/>
    </row>
    <row r="1249" s="16" customFormat="1" ht="12.75">
      <c r="C1249" s="9"/>
    </row>
    <row r="1250" s="16" customFormat="1" ht="12.75">
      <c r="C1250" s="9"/>
    </row>
    <row r="1251" s="16" customFormat="1" ht="12.75">
      <c r="C1251" s="9"/>
    </row>
    <row r="1252" s="16" customFormat="1" ht="12.75">
      <c r="C1252" s="9"/>
    </row>
    <row r="1253" s="16" customFormat="1" ht="12.75">
      <c r="C1253" s="9"/>
    </row>
    <row r="1254" s="16" customFormat="1" ht="12.75">
      <c r="C1254" s="9"/>
    </row>
    <row r="1255" s="16" customFormat="1" ht="12.75">
      <c r="C1255" s="9"/>
    </row>
    <row r="1256" s="16" customFormat="1" ht="12.75">
      <c r="C1256" s="9"/>
    </row>
    <row r="1257" s="16" customFormat="1" ht="12.75">
      <c r="C1257" s="9"/>
    </row>
    <row r="1258" s="16" customFormat="1" ht="12.75">
      <c r="C1258" s="9"/>
    </row>
    <row r="1259" s="16" customFormat="1" ht="12.75">
      <c r="C1259" s="9"/>
    </row>
    <row r="1260" s="16" customFormat="1" ht="12.75">
      <c r="C1260" s="9"/>
    </row>
    <row r="1261" s="16" customFormat="1" ht="12.75">
      <c r="C1261" s="9"/>
    </row>
    <row r="1262" s="16" customFormat="1" ht="12.75">
      <c r="C1262" s="9"/>
    </row>
    <row r="1263" s="16" customFormat="1" ht="12.75">
      <c r="C1263" s="9"/>
    </row>
    <row r="1264" s="16" customFormat="1" ht="12.75">
      <c r="C1264" s="9"/>
    </row>
    <row r="1265" s="16" customFormat="1" ht="12.75">
      <c r="C1265" s="9"/>
    </row>
    <row r="1266" s="16" customFormat="1" ht="12.75">
      <c r="C1266" s="9"/>
    </row>
    <row r="1267" s="16" customFormat="1" ht="12.75">
      <c r="C1267" s="9"/>
    </row>
    <row r="1268" s="16" customFormat="1" ht="12.75">
      <c r="C1268" s="9"/>
    </row>
    <row r="1269" s="16" customFormat="1" ht="12.75">
      <c r="C1269" s="9"/>
    </row>
    <row r="1270" s="16" customFormat="1" ht="12.75">
      <c r="C1270" s="9"/>
    </row>
    <row r="1271" s="16" customFormat="1" ht="12.75">
      <c r="C1271" s="9"/>
    </row>
    <row r="1272" s="16" customFormat="1" ht="12.75">
      <c r="C1272" s="9"/>
    </row>
    <row r="1273" s="16" customFormat="1" ht="12.75">
      <c r="C1273" s="9"/>
    </row>
    <row r="1274" s="16" customFormat="1" ht="12.75">
      <c r="C1274" s="9"/>
    </row>
    <row r="1275" s="16" customFormat="1" ht="12.75">
      <c r="C1275" s="9"/>
    </row>
    <row r="1276" s="16" customFormat="1" ht="12.75">
      <c r="C1276" s="9"/>
    </row>
    <row r="1277" s="16" customFormat="1" ht="12.75">
      <c r="C1277" s="9"/>
    </row>
    <row r="1278" s="16" customFormat="1" ht="12.75">
      <c r="C1278" s="9"/>
    </row>
    <row r="1279" s="16" customFormat="1" ht="12.75">
      <c r="C1279" s="9"/>
    </row>
    <row r="1280" s="16" customFormat="1" ht="12.75">
      <c r="C1280" s="9"/>
    </row>
    <row r="1281" s="16" customFormat="1" ht="12.75">
      <c r="C1281" s="9"/>
    </row>
    <row r="1282" s="16" customFormat="1" ht="12.75">
      <c r="C1282" s="9"/>
    </row>
    <row r="1283" s="16" customFormat="1" ht="12.75">
      <c r="C1283" s="9"/>
    </row>
    <row r="1284" s="16" customFormat="1" ht="12.75">
      <c r="C1284" s="9"/>
    </row>
    <row r="1285" s="16" customFormat="1" ht="12.75">
      <c r="C1285" s="9"/>
    </row>
    <row r="1286" s="16" customFormat="1" ht="12.75">
      <c r="C1286" s="9"/>
    </row>
    <row r="1287" s="16" customFormat="1" ht="12.75">
      <c r="C1287" s="9"/>
    </row>
    <row r="1288" s="16" customFormat="1" ht="12.75">
      <c r="C1288" s="9"/>
    </row>
    <row r="1289" s="16" customFormat="1" ht="12.75">
      <c r="C1289" s="9"/>
    </row>
    <row r="1290" s="16" customFormat="1" ht="12.75">
      <c r="C1290" s="9"/>
    </row>
    <row r="1291" s="16" customFormat="1" ht="12.75">
      <c r="C1291" s="9"/>
    </row>
    <row r="1292" s="16" customFormat="1" ht="12.75">
      <c r="C1292" s="9"/>
    </row>
    <row r="1293" s="16" customFormat="1" ht="12.75">
      <c r="C1293" s="9"/>
    </row>
    <row r="1294" s="16" customFormat="1" ht="12.75">
      <c r="C1294" s="9"/>
    </row>
    <row r="1295" s="16" customFormat="1" ht="12.75">
      <c r="C1295" s="9"/>
    </row>
    <row r="1296" s="16" customFormat="1" ht="12.75">
      <c r="C1296" s="9"/>
    </row>
    <row r="1297" s="16" customFormat="1" ht="12.75">
      <c r="C1297" s="9"/>
    </row>
    <row r="1298" s="16" customFormat="1" ht="12.75">
      <c r="C1298" s="9"/>
    </row>
    <row r="1299" s="16" customFormat="1" ht="12.75">
      <c r="C1299" s="9"/>
    </row>
    <row r="1300" s="16" customFormat="1" ht="12.75">
      <c r="C1300" s="9"/>
    </row>
    <row r="1301" s="16" customFormat="1" ht="12.75">
      <c r="C1301" s="9"/>
    </row>
    <row r="1302" s="16" customFormat="1" ht="12.75">
      <c r="C1302" s="9"/>
    </row>
    <row r="1303" s="16" customFormat="1" ht="12.75">
      <c r="C1303" s="9"/>
    </row>
    <row r="1304" s="16" customFormat="1" ht="12.75">
      <c r="C1304" s="9"/>
    </row>
    <row r="1305" s="16" customFormat="1" ht="12.75">
      <c r="C1305" s="9"/>
    </row>
    <row r="1306" s="16" customFormat="1" ht="12.75">
      <c r="C1306" s="9"/>
    </row>
    <row r="1307" s="16" customFormat="1" ht="12.75">
      <c r="C1307" s="9"/>
    </row>
    <row r="1308" s="16" customFormat="1" ht="12.75">
      <c r="C1308" s="9"/>
    </row>
    <row r="1309" s="16" customFormat="1" ht="12.75">
      <c r="C1309" s="9"/>
    </row>
    <row r="1310" s="16" customFormat="1" ht="12.75">
      <c r="C1310" s="9"/>
    </row>
    <row r="1311" s="16" customFormat="1" ht="12.75">
      <c r="C1311" s="9"/>
    </row>
    <row r="1312" s="16" customFormat="1" ht="12.75">
      <c r="C1312" s="9"/>
    </row>
    <row r="1313" s="16" customFormat="1" ht="12.75">
      <c r="C1313" s="9"/>
    </row>
    <row r="1314" s="16" customFormat="1" ht="12.75">
      <c r="C1314" s="9"/>
    </row>
    <row r="1315" s="16" customFormat="1" ht="12.75">
      <c r="C1315" s="9"/>
    </row>
    <row r="1316" s="16" customFormat="1" ht="12.75">
      <c r="C1316" s="9"/>
    </row>
    <row r="1317" s="16" customFormat="1" ht="12.75">
      <c r="C1317" s="9"/>
    </row>
    <row r="1318" s="16" customFormat="1" ht="12.75">
      <c r="C1318" s="9"/>
    </row>
    <row r="1319" s="16" customFormat="1" ht="12.75">
      <c r="C1319" s="9"/>
    </row>
    <row r="1320" s="16" customFormat="1" ht="12.75">
      <c r="C1320" s="9"/>
    </row>
    <row r="1321" s="16" customFormat="1" ht="12.75">
      <c r="C1321" s="9"/>
    </row>
    <row r="1322" s="16" customFormat="1" ht="12.75">
      <c r="C1322" s="9"/>
    </row>
    <row r="1323" s="16" customFormat="1" ht="12.75">
      <c r="C1323" s="9"/>
    </row>
    <row r="1324" s="16" customFormat="1" ht="12.75">
      <c r="C1324" s="9"/>
    </row>
    <row r="1325" s="16" customFormat="1" ht="12.75">
      <c r="C1325" s="9"/>
    </row>
    <row r="1326" s="16" customFormat="1" ht="12.75">
      <c r="C1326" s="9"/>
    </row>
    <row r="1327" s="16" customFormat="1" ht="12.75">
      <c r="C1327" s="9"/>
    </row>
    <row r="1328" s="16" customFormat="1" ht="12.75">
      <c r="C1328" s="9"/>
    </row>
    <row r="1329" s="16" customFormat="1" ht="12.75">
      <c r="C1329" s="9"/>
    </row>
    <row r="1330" s="16" customFormat="1" ht="12.75">
      <c r="C1330" s="9"/>
    </row>
    <row r="1331" s="16" customFormat="1" ht="12.75">
      <c r="C1331" s="9"/>
    </row>
    <row r="1332" s="16" customFormat="1" ht="12.75">
      <c r="C1332" s="9"/>
    </row>
    <row r="1333" s="16" customFormat="1" ht="12.75">
      <c r="C1333" s="9"/>
    </row>
    <row r="1334" s="16" customFormat="1" ht="12.75">
      <c r="C1334" s="9"/>
    </row>
    <row r="1335" s="16" customFormat="1" ht="12.75">
      <c r="C1335" s="9"/>
    </row>
    <row r="1336" s="16" customFormat="1" ht="12.75">
      <c r="C1336" s="9"/>
    </row>
    <row r="1337" s="16" customFormat="1" ht="12.75">
      <c r="C1337" s="9"/>
    </row>
    <row r="1338" s="16" customFormat="1" ht="12.75">
      <c r="C1338" s="9"/>
    </row>
    <row r="1339" s="16" customFormat="1" ht="12.75">
      <c r="C1339" s="9"/>
    </row>
    <row r="1340" s="16" customFormat="1" ht="12.75">
      <c r="C1340" s="9"/>
    </row>
    <row r="1341" s="16" customFormat="1" ht="12.75">
      <c r="C1341" s="9"/>
    </row>
    <row r="1342" s="16" customFormat="1" ht="12.75">
      <c r="C1342" s="9"/>
    </row>
    <row r="1343" s="16" customFormat="1" ht="12.75">
      <c r="C1343" s="9"/>
    </row>
    <row r="1344" s="16" customFormat="1" ht="12.75">
      <c r="C1344" s="9"/>
    </row>
    <row r="1345" s="16" customFormat="1" ht="12.75">
      <c r="C1345" s="9"/>
    </row>
    <row r="1346" s="16" customFormat="1" ht="12.75">
      <c r="C1346" s="9"/>
    </row>
    <row r="1347" s="16" customFormat="1" ht="12.75">
      <c r="C1347" s="9"/>
    </row>
    <row r="1348" s="16" customFormat="1" ht="12.75">
      <c r="C1348" s="9"/>
    </row>
    <row r="1349" s="16" customFormat="1" ht="12.75">
      <c r="C1349" s="9"/>
    </row>
    <row r="1350" s="16" customFormat="1" ht="12.75">
      <c r="C1350" s="9"/>
    </row>
    <row r="1351" s="16" customFormat="1" ht="12.75">
      <c r="C1351" s="9"/>
    </row>
    <row r="1352" s="16" customFormat="1" ht="12.75">
      <c r="C1352" s="9"/>
    </row>
    <row r="1353" s="16" customFormat="1" ht="12.75">
      <c r="C1353" s="9"/>
    </row>
    <row r="1354" s="16" customFormat="1" ht="12.75">
      <c r="C1354" s="9"/>
    </row>
    <row r="1355" s="16" customFormat="1" ht="12.75">
      <c r="C1355" s="9"/>
    </row>
    <row r="1356" s="16" customFormat="1" ht="12.75">
      <c r="C1356" s="9"/>
    </row>
    <row r="1357" s="16" customFormat="1" ht="12.75">
      <c r="C1357" s="9"/>
    </row>
    <row r="1358" s="16" customFormat="1" ht="12.75">
      <c r="C1358" s="9"/>
    </row>
    <row r="1359" s="16" customFormat="1" ht="12.75">
      <c r="C1359" s="9"/>
    </row>
    <row r="1360" s="16" customFormat="1" ht="12.75">
      <c r="C1360" s="9"/>
    </row>
    <row r="1361" s="16" customFormat="1" ht="12.75">
      <c r="C1361" s="9"/>
    </row>
    <row r="1362" s="16" customFormat="1" ht="12.75">
      <c r="C1362" s="9"/>
    </row>
    <row r="1363" s="16" customFormat="1" ht="12.75">
      <c r="C1363" s="9"/>
    </row>
    <row r="1364" s="16" customFormat="1" ht="12.75">
      <c r="C1364" s="9"/>
    </row>
    <row r="1365" s="16" customFormat="1" ht="12.75">
      <c r="C1365" s="9"/>
    </row>
    <row r="1366" s="16" customFormat="1" ht="12.75">
      <c r="C1366" s="9"/>
    </row>
    <row r="1367" s="16" customFormat="1" ht="12.75">
      <c r="C1367" s="9"/>
    </row>
    <row r="1368" s="16" customFormat="1" ht="12.75">
      <c r="C1368" s="9"/>
    </row>
    <row r="1369" s="16" customFormat="1" ht="12.75">
      <c r="C1369" s="9"/>
    </row>
    <row r="1370" s="16" customFormat="1" ht="12.75">
      <c r="C1370" s="9"/>
    </row>
    <row r="1371" s="16" customFormat="1" ht="12.75">
      <c r="C1371" s="9"/>
    </row>
    <row r="1372" s="16" customFormat="1" ht="12.75">
      <c r="C1372" s="9"/>
    </row>
    <row r="1373" s="16" customFormat="1" ht="12.75">
      <c r="C1373" s="9"/>
    </row>
    <row r="1374" s="16" customFormat="1" ht="12.75">
      <c r="C1374" s="9"/>
    </row>
    <row r="1375" s="16" customFormat="1" ht="12.75">
      <c r="C1375" s="9"/>
    </row>
    <row r="1376" s="16" customFormat="1" ht="12.75">
      <c r="C1376" s="9"/>
    </row>
    <row r="1377" s="16" customFormat="1" ht="12.75">
      <c r="C1377" s="9"/>
    </row>
    <row r="1378" s="16" customFormat="1" ht="12.75">
      <c r="C1378" s="9"/>
    </row>
    <row r="1379" s="16" customFormat="1" ht="12.75">
      <c r="C1379" s="9"/>
    </row>
    <row r="1380" s="16" customFormat="1" ht="12.75">
      <c r="C1380" s="9"/>
    </row>
    <row r="1381" s="16" customFormat="1" ht="12.75">
      <c r="C1381" s="9"/>
    </row>
    <row r="1382" s="16" customFormat="1" ht="12.75">
      <c r="C1382" s="9"/>
    </row>
    <row r="1383" s="16" customFormat="1" ht="12.75">
      <c r="C1383" s="9"/>
    </row>
    <row r="1384" s="16" customFormat="1" ht="12.75">
      <c r="C1384" s="9"/>
    </row>
    <row r="1385" s="16" customFormat="1" ht="12.75">
      <c r="C1385" s="9"/>
    </row>
    <row r="1386" s="16" customFormat="1" ht="12.75">
      <c r="C1386" s="9"/>
    </row>
    <row r="1387" s="16" customFormat="1" ht="12.75">
      <c r="C1387" s="9"/>
    </row>
    <row r="1388" s="16" customFormat="1" ht="12.75">
      <c r="C1388" s="9"/>
    </row>
    <row r="1389" s="16" customFormat="1" ht="12.75">
      <c r="C1389" s="9"/>
    </row>
    <row r="1390" s="16" customFormat="1" ht="12.75">
      <c r="C1390" s="9"/>
    </row>
    <row r="1391" s="16" customFormat="1" ht="12.75">
      <c r="C1391" s="9"/>
    </row>
    <row r="1392" s="16" customFormat="1" ht="12.75">
      <c r="C1392" s="9"/>
    </row>
    <row r="1393" s="16" customFormat="1" ht="12.75">
      <c r="C1393" s="9"/>
    </row>
    <row r="1394" s="16" customFormat="1" ht="12.75">
      <c r="C1394" s="9"/>
    </row>
    <row r="1395" s="16" customFormat="1" ht="12.75">
      <c r="C1395" s="9"/>
    </row>
    <row r="1396" s="16" customFormat="1" ht="12.75">
      <c r="C1396" s="9"/>
    </row>
    <row r="1397" s="16" customFormat="1" ht="12.75">
      <c r="C1397" s="9"/>
    </row>
    <row r="1398" s="16" customFormat="1" ht="12.75">
      <c r="C1398" s="9"/>
    </row>
    <row r="1399" s="16" customFormat="1" ht="12.75">
      <c r="C1399" s="9"/>
    </row>
    <row r="1400" s="16" customFormat="1" ht="12.75">
      <c r="C1400" s="9"/>
    </row>
    <row r="1401" s="16" customFormat="1" ht="12.75">
      <c r="C1401" s="9"/>
    </row>
    <row r="1402" s="16" customFormat="1" ht="12.75">
      <c r="C1402" s="9"/>
    </row>
    <row r="1403" s="16" customFormat="1" ht="12.75">
      <c r="C1403" s="9"/>
    </row>
    <row r="1404" s="16" customFormat="1" ht="12.75">
      <c r="C1404" s="9"/>
    </row>
    <row r="1405" s="16" customFormat="1" ht="12.75">
      <c r="C1405" s="9"/>
    </row>
    <row r="1406" s="16" customFormat="1" ht="12.75">
      <c r="C1406" s="9"/>
    </row>
    <row r="1407" s="16" customFormat="1" ht="12.75">
      <c r="C1407" s="9"/>
    </row>
    <row r="1408" s="16" customFormat="1" ht="12.75">
      <c r="C1408" s="9"/>
    </row>
    <row r="1409" s="16" customFormat="1" ht="12.75">
      <c r="C1409" s="9"/>
    </row>
    <row r="1410" s="16" customFormat="1" ht="12.75">
      <c r="C1410" s="9"/>
    </row>
    <row r="1411" s="16" customFormat="1" ht="12.75">
      <c r="C1411" s="9"/>
    </row>
    <row r="1412" s="16" customFormat="1" ht="12.75">
      <c r="C1412" s="9"/>
    </row>
    <row r="1413" s="16" customFormat="1" ht="12.75">
      <c r="C1413" s="9"/>
    </row>
    <row r="1414" s="16" customFormat="1" ht="12.75">
      <c r="C1414" s="9"/>
    </row>
    <row r="1415" s="16" customFormat="1" ht="12.75">
      <c r="C1415" s="9"/>
    </row>
    <row r="1416" s="16" customFormat="1" ht="12.75">
      <c r="C1416" s="9"/>
    </row>
    <row r="1417" s="16" customFormat="1" ht="12.75">
      <c r="C1417" s="9"/>
    </row>
    <row r="1418" s="16" customFormat="1" ht="12.75">
      <c r="C1418" s="9"/>
    </row>
    <row r="1419" s="16" customFormat="1" ht="12.75">
      <c r="C1419" s="9"/>
    </row>
    <row r="1420" s="16" customFormat="1" ht="12.75">
      <c r="C1420" s="9"/>
    </row>
    <row r="1421" s="16" customFormat="1" ht="12.75">
      <c r="C1421" s="9"/>
    </row>
    <row r="1422" s="16" customFormat="1" ht="12.75">
      <c r="C1422" s="9"/>
    </row>
    <row r="1423" s="16" customFormat="1" ht="12.75">
      <c r="C1423" s="9"/>
    </row>
    <row r="1424" s="16" customFormat="1" ht="12.75">
      <c r="C1424" s="9"/>
    </row>
    <row r="1425" s="16" customFormat="1" ht="12.75">
      <c r="C1425" s="9"/>
    </row>
    <row r="1426" s="16" customFormat="1" ht="12.75">
      <c r="C1426" s="9"/>
    </row>
    <row r="1427" s="16" customFormat="1" ht="12.75">
      <c r="C1427" s="9"/>
    </row>
    <row r="1428" s="16" customFormat="1" ht="12.75">
      <c r="C1428" s="9"/>
    </row>
    <row r="1429" s="16" customFormat="1" ht="12.75">
      <c r="C1429" s="9"/>
    </row>
    <row r="1430" s="16" customFormat="1" ht="12.75">
      <c r="C1430" s="9"/>
    </row>
    <row r="1431" s="16" customFormat="1" ht="12.75">
      <c r="C1431" s="9"/>
    </row>
    <row r="1432" s="16" customFormat="1" ht="12.75">
      <c r="C1432" s="9"/>
    </row>
    <row r="1433" s="16" customFormat="1" ht="12.75">
      <c r="C1433" s="9"/>
    </row>
    <row r="1434" s="16" customFormat="1" ht="12.75">
      <c r="C1434" s="9"/>
    </row>
    <row r="1435" s="16" customFormat="1" ht="12.75">
      <c r="C1435" s="9"/>
    </row>
    <row r="1436" s="16" customFormat="1" ht="12.75">
      <c r="C1436" s="9"/>
    </row>
    <row r="1437" s="16" customFormat="1" ht="12.75">
      <c r="C1437" s="9"/>
    </row>
    <row r="1438" s="16" customFormat="1" ht="12.75">
      <c r="C1438" s="9"/>
    </row>
    <row r="1439" s="16" customFormat="1" ht="12.75">
      <c r="C1439" s="9"/>
    </row>
    <row r="1440" s="16" customFormat="1" ht="12.75">
      <c r="C1440" s="9"/>
    </row>
    <row r="1441" s="16" customFormat="1" ht="12.75">
      <c r="C1441" s="9"/>
    </row>
    <row r="1442" s="16" customFormat="1" ht="12.75">
      <c r="C1442" s="9"/>
    </row>
    <row r="1443" s="16" customFormat="1" ht="12.75">
      <c r="C1443" s="9"/>
    </row>
    <row r="1444" s="16" customFormat="1" ht="12.75">
      <c r="C1444" s="9"/>
    </row>
    <row r="1445" s="16" customFormat="1" ht="12.75">
      <c r="C1445" s="9"/>
    </row>
    <row r="1446" s="16" customFormat="1" ht="12.75">
      <c r="C1446" s="9"/>
    </row>
    <row r="1447" s="16" customFormat="1" ht="12.75">
      <c r="C1447" s="9"/>
    </row>
    <row r="1448" s="16" customFormat="1" ht="12.75">
      <c r="C1448" s="9"/>
    </row>
    <row r="1449" s="16" customFormat="1" ht="12.75">
      <c r="C1449" s="9"/>
    </row>
    <row r="1450" s="16" customFormat="1" ht="12.75">
      <c r="C1450" s="9"/>
    </row>
    <row r="1451" s="16" customFormat="1" ht="12.75">
      <c r="C1451" s="9"/>
    </row>
    <row r="1452" s="16" customFormat="1" ht="12.75">
      <c r="C1452" s="9"/>
    </row>
    <row r="1453" s="16" customFormat="1" ht="12.75">
      <c r="C1453" s="9"/>
    </row>
    <row r="1454" s="16" customFormat="1" ht="12.75">
      <c r="C1454" s="9"/>
    </row>
    <row r="1455" s="16" customFormat="1" ht="12.75">
      <c r="C1455" s="9"/>
    </row>
    <row r="1456" s="16" customFormat="1" ht="12.75">
      <c r="C1456" s="9"/>
    </row>
    <row r="1457" s="16" customFormat="1" ht="12.75">
      <c r="C1457" s="9"/>
    </row>
    <row r="1458" s="16" customFormat="1" ht="12.75">
      <c r="C1458" s="9"/>
    </row>
    <row r="1459" s="16" customFormat="1" ht="12.75">
      <c r="C1459" s="9"/>
    </row>
    <row r="1460" s="16" customFormat="1" ht="12.75">
      <c r="C1460" s="9"/>
    </row>
    <row r="1461" s="16" customFormat="1" ht="12.75">
      <c r="C1461" s="9"/>
    </row>
    <row r="1462" s="16" customFormat="1" ht="12.75">
      <c r="C1462" s="9"/>
    </row>
    <row r="1463" s="16" customFormat="1" ht="12.75">
      <c r="C1463" s="9"/>
    </row>
    <row r="1464" s="16" customFormat="1" ht="12.75">
      <c r="C1464" s="9"/>
    </row>
    <row r="1465" s="16" customFormat="1" ht="12.75">
      <c r="C1465" s="9"/>
    </row>
    <row r="1466" s="16" customFormat="1" ht="12.75">
      <c r="C1466" s="9"/>
    </row>
    <row r="1467" s="16" customFormat="1" ht="12.75">
      <c r="C1467" s="9"/>
    </row>
    <row r="1468" s="16" customFormat="1" ht="12.75">
      <c r="C1468" s="9"/>
    </row>
    <row r="1469" s="16" customFormat="1" ht="12.75">
      <c r="C1469" s="9"/>
    </row>
    <row r="1470" s="16" customFormat="1" ht="12.75">
      <c r="C1470" s="9"/>
    </row>
    <row r="1471" s="16" customFormat="1" ht="12.75">
      <c r="C1471" s="9"/>
    </row>
    <row r="1472" s="16" customFormat="1" ht="12.75">
      <c r="C1472" s="9"/>
    </row>
    <row r="1473" s="16" customFormat="1" ht="12.75">
      <c r="C1473" s="9"/>
    </row>
    <row r="1474" s="16" customFormat="1" ht="12.75">
      <c r="C1474" s="9"/>
    </row>
    <row r="1475" s="16" customFormat="1" ht="12.75">
      <c r="C1475" s="9"/>
    </row>
    <row r="1476" s="16" customFormat="1" ht="12.75">
      <c r="C1476" s="9"/>
    </row>
    <row r="1477" s="16" customFormat="1" ht="12.75">
      <c r="C1477" s="9"/>
    </row>
    <row r="1478" s="16" customFormat="1" ht="12.75">
      <c r="C1478" s="9"/>
    </row>
    <row r="1479" s="16" customFormat="1" ht="12.75">
      <c r="C1479" s="9"/>
    </row>
    <row r="1480" s="16" customFormat="1" ht="12.75">
      <c r="C1480" s="9"/>
    </row>
    <row r="1481" s="16" customFormat="1" ht="12.75">
      <c r="C1481" s="9"/>
    </row>
    <row r="1482" s="16" customFormat="1" ht="12.75">
      <c r="C1482" s="9"/>
    </row>
    <row r="1483" s="16" customFormat="1" ht="12.75">
      <c r="C1483" s="9"/>
    </row>
    <row r="1484" s="16" customFormat="1" ht="12.75">
      <c r="C1484" s="9"/>
    </row>
    <row r="1485" s="16" customFormat="1" ht="12.75">
      <c r="C1485" s="9"/>
    </row>
    <row r="1486" s="16" customFormat="1" ht="12.75">
      <c r="C1486" s="9"/>
    </row>
    <row r="1487" s="16" customFormat="1" ht="12.75">
      <c r="C1487" s="9"/>
    </row>
    <row r="1488" s="16" customFormat="1" ht="12.75">
      <c r="C1488" s="9"/>
    </row>
    <row r="1489" s="16" customFormat="1" ht="12.75">
      <c r="C1489" s="9"/>
    </row>
    <row r="1490" s="16" customFormat="1" ht="12.75">
      <c r="C1490" s="9"/>
    </row>
    <row r="1491" s="16" customFormat="1" ht="12.75">
      <c r="C1491" s="9"/>
    </row>
    <row r="1492" s="16" customFormat="1" ht="12.75">
      <c r="C1492" s="9"/>
    </row>
    <row r="1493" s="16" customFormat="1" ht="12.75">
      <c r="C1493" s="9"/>
    </row>
    <row r="1494" s="16" customFormat="1" ht="12.75">
      <c r="C1494" s="9"/>
    </row>
    <row r="1495" s="16" customFormat="1" ht="12.75">
      <c r="C1495" s="9"/>
    </row>
    <row r="1496" s="16" customFormat="1" ht="12.75">
      <c r="C1496" s="9"/>
    </row>
    <row r="1497" s="16" customFormat="1" ht="12.75">
      <c r="C1497" s="9"/>
    </row>
    <row r="1498" s="16" customFormat="1" ht="12.75">
      <c r="C1498" s="9"/>
    </row>
    <row r="1499" s="16" customFormat="1" ht="12.75">
      <c r="C1499" s="9"/>
    </row>
    <row r="1500" s="16" customFormat="1" ht="12.75">
      <c r="C1500" s="9"/>
    </row>
    <row r="1501" s="16" customFormat="1" ht="12.75">
      <c r="C1501" s="9"/>
    </row>
    <row r="1502" s="16" customFormat="1" ht="12.75">
      <c r="C1502" s="9"/>
    </row>
    <row r="1503" s="16" customFormat="1" ht="12.75">
      <c r="C1503" s="9"/>
    </row>
    <row r="1504" s="16" customFormat="1" ht="12.75">
      <c r="C1504" s="9"/>
    </row>
    <row r="1505" s="16" customFormat="1" ht="12.75">
      <c r="C1505" s="9"/>
    </row>
    <row r="1506" s="16" customFormat="1" ht="12.75">
      <c r="C1506" s="9"/>
    </row>
    <row r="1507" s="16" customFormat="1" ht="12.75">
      <c r="C1507" s="9"/>
    </row>
    <row r="1508" s="16" customFormat="1" ht="12.75">
      <c r="C1508" s="9"/>
    </row>
    <row r="1509" s="16" customFormat="1" ht="12.75">
      <c r="C1509" s="9"/>
    </row>
    <row r="1510" s="16" customFormat="1" ht="12.75">
      <c r="C1510" s="9"/>
    </row>
    <row r="1511" s="16" customFormat="1" ht="12.75">
      <c r="C1511" s="9"/>
    </row>
    <row r="1512" s="16" customFormat="1" ht="12.75">
      <c r="C1512" s="9"/>
    </row>
    <row r="1513" s="16" customFormat="1" ht="12.75">
      <c r="C1513" s="9"/>
    </row>
    <row r="1514" s="16" customFormat="1" ht="12.75">
      <c r="C1514" s="9"/>
    </row>
    <row r="1515" s="16" customFormat="1" ht="12.75">
      <c r="C1515" s="9"/>
    </row>
    <row r="1516" s="16" customFormat="1" ht="12.75">
      <c r="C1516" s="9"/>
    </row>
    <row r="1517" s="16" customFormat="1" ht="12.75">
      <c r="C1517" s="9"/>
    </row>
    <row r="1518" s="16" customFormat="1" ht="12.75">
      <c r="C1518" s="9"/>
    </row>
    <row r="1519" s="16" customFormat="1" ht="12.75">
      <c r="C1519" s="9"/>
    </row>
    <row r="1520" s="16" customFormat="1" ht="12.75">
      <c r="C1520" s="9"/>
    </row>
    <row r="1521" s="16" customFormat="1" ht="12.75">
      <c r="C1521" s="9"/>
    </row>
    <row r="1522" s="16" customFormat="1" ht="12.75">
      <c r="C1522" s="9"/>
    </row>
    <row r="1523" s="16" customFormat="1" ht="12.75">
      <c r="C1523" s="9"/>
    </row>
    <row r="1524" s="16" customFormat="1" ht="12.75">
      <c r="C1524" s="9"/>
    </row>
    <row r="1525" s="16" customFormat="1" ht="12.75">
      <c r="C1525" s="9"/>
    </row>
    <row r="1526" s="16" customFormat="1" ht="12.75">
      <c r="C1526" s="9"/>
    </row>
    <row r="1527" s="16" customFormat="1" ht="12.75">
      <c r="C1527" s="9"/>
    </row>
    <row r="1528" s="16" customFormat="1" ht="12.75">
      <c r="C1528" s="9"/>
    </row>
    <row r="1529" s="16" customFormat="1" ht="12.75">
      <c r="C1529" s="9"/>
    </row>
    <row r="1530" s="16" customFormat="1" ht="12.75">
      <c r="C1530" s="9"/>
    </row>
    <row r="1531" s="16" customFormat="1" ht="12.75">
      <c r="C1531" s="9"/>
    </row>
    <row r="1532" s="16" customFormat="1" ht="12.75">
      <c r="C1532" s="9"/>
    </row>
    <row r="1533" s="16" customFormat="1" ht="12.75">
      <c r="C1533" s="9"/>
    </row>
    <row r="1534" s="16" customFormat="1" ht="12.75">
      <c r="C1534" s="9"/>
    </row>
    <row r="1535" s="16" customFormat="1" ht="12.75">
      <c r="C1535" s="9"/>
    </row>
    <row r="1536" s="16" customFormat="1" ht="12.75">
      <c r="C1536" s="9"/>
    </row>
    <row r="1537" s="16" customFormat="1" ht="12.75">
      <c r="C1537" s="9"/>
    </row>
    <row r="1538" s="16" customFormat="1" ht="12.75">
      <c r="C1538" s="9"/>
    </row>
    <row r="1539" s="16" customFormat="1" ht="12.75">
      <c r="C1539" s="9"/>
    </row>
    <row r="1540" s="16" customFormat="1" ht="12.75">
      <c r="C1540" s="9"/>
    </row>
    <row r="1541" s="16" customFormat="1" ht="12.75">
      <c r="C1541" s="9"/>
    </row>
    <row r="1542" s="16" customFormat="1" ht="12.75">
      <c r="C1542" s="9"/>
    </row>
    <row r="1543" s="16" customFormat="1" ht="12.75">
      <c r="C1543" s="9"/>
    </row>
    <row r="1544" s="16" customFormat="1" ht="12.75">
      <c r="C1544" s="9"/>
    </row>
    <row r="1545" s="16" customFormat="1" ht="12.75">
      <c r="C1545" s="9"/>
    </row>
    <row r="1546" s="16" customFormat="1" ht="12.75">
      <c r="C1546" s="9"/>
    </row>
    <row r="1547" s="16" customFormat="1" ht="12.75">
      <c r="C1547" s="9"/>
    </row>
    <row r="1548" s="16" customFormat="1" ht="12.75">
      <c r="C1548" s="9"/>
    </row>
    <row r="1549" s="16" customFormat="1" ht="12.75">
      <c r="C1549" s="9"/>
    </row>
    <row r="1550" s="16" customFormat="1" ht="12.75">
      <c r="C1550" s="9"/>
    </row>
    <row r="1551" s="16" customFormat="1" ht="12.75">
      <c r="C1551" s="9"/>
    </row>
    <row r="1552" s="16" customFormat="1" ht="12.75">
      <c r="C1552" s="9"/>
    </row>
    <row r="1553" s="16" customFormat="1" ht="12.75">
      <c r="C1553" s="9"/>
    </row>
    <row r="1554" s="16" customFormat="1" ht="12.75">
      <c r="C1554" s="9"/>
    </row>
    <row r="1555" s="16" customFormat="1" ht="12.75">
      <c r="C1555" s="9"/>
    </row>
    <row r="1556" s="16" customFormat="1" ht="12.75">
      <c r="C1556" s="9"/>
    </row>
    <row r="1557" s="16" customFormat="1" ht="12.75">
      <c r="C1557" s="9"/>
    </row>
    <row r="1558" s="16" customFormat="1" ht="12.75">
      <c r="C1558" s="9"/>
    </row>
    <row r="1559" s="16" customFormat="1" ht="12.75">
      <c r="C1559" s="9"/>
    </row>
    <row r="1560" s="16" customFormat="1" ht="12.75">
      <c r="C1560" s="9"/>
    </row>
    <row r="1561" s="16" customFormat="1" ht="12.75">
      <c r="C1561" s="9"/>
    </row>
    <row r="1562" s="16" customFormat="1" ht="12.75">
      <c r="C1562" s="9"/>
    </row>
    <row r="1563" s="16" customFormat="1" ht="12.75">
      <c r="C1563" s="9"/>
    </row>
    <row r="1564" s="16" customFormat="1" ht="12.75">
      <c r="C1564" s="9"/>
    </row>
    <row r="1565" s="16" customFormat="1" ht="12.75">
      <c r="C1565" s="9"/>
    </row>
    <row r="1566" s="16" customFormat="1" ht="12.75">
      <c r="C1566" s="9"/>
    </row>
    <row r="1567" s="16" customFormat="1" ht="12.75">
      <c r="C1567" s="9"/>
    </row>
    <row r="1568" s="16" customFormat="1" ht="12.75">
      <c r="C1568" s="9"/>
    </row>
    <row r="1569" s="16" customFormat="1" ht="12.75">
      <c r="C1569" s="9"/>
    </row>
    <row r="1570" s="16" customFormat="1" ht="12.75">
      <c r="C1570" s="9"/>
    </row>
    <row r="1571" s="16" customFormat="1" ht="12.75">
      <c r="C1571" s="9"/>
    </row>
    <row r="1572" s="16" customFormat="1" ht="12.75">
      <c r="C1572" s="9"/>
    </row>
    <row r="1573" s="16" customFormat="1" ht="12.75">
      <c r="C1573" s="9"/>
    </row>
    <row r="1574" s="16" customFormat="1" ht="12.75">
      <c r="C1574" s="9"/>
    </row>
    <row r="1575" s="16" customFormat="1" ht="12.75">
      <c r="C1575" s="9"/>
    </row>
    <row r="1576" s="16" customFormat="1" ht="12.75">
      <c r="C1576" s="9"/>
    </row>
    <row r="1577" s="16" customFormat="1" ht="12.75">
      <c r="C1577" s="9"/>
    </row>
    <row r="1578" s="16" customFormat="1" ht="12.75">
      <c r="C1578" s="9"/>
    </row>
    <row r="1579" s="16" customFormat="1" ht="12.75">
      <c r="C1579" s="9"/>
    </row>
    <row r="1580" s="16" customFormat="1" ht="12.75">
      <c r="C1580" s="9"/>
    </row>
    <row r="1581" s="16" customFormat="1" ht="12.75">
      <c r="C1581" s="9"/>
    </row>
    <row r="1582" s="16" customFormat="1" ht="12.75">
      <c r="C1582" s="9"/>
    </row>
    <row r="1583" s="16" customFormat="1" ht="12.75">
      <c r="C1583" s="9"/>
    </row>
    <row r="1584" s="16" customFormat="1" ht="12.75">
      <c r="C1584" s="9"/>
    </row>
    <row r="1585" s="16" customFormat="1" ht="12.75">
      <c r="C1585" s="9"/>
    </row>
    <row r="1586" s="16" customFormat="1" ht="12.75">
      <c r="C1586" s="9"/>
    </row>
    <row r="1587" s="16" customFormat="1" ht="12.75">
      <c r="C1587" s="9"/>
    </row>
    <row r="1588" s="16" customFormat="1" ht="12.75">
      <c r="C1588" s="9"/>
    </row>
    <row r="1589" s="16" customFormat="1" ht="12.75">
      <c r="C158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8" sqref="B8"/>
    </sheetView>
  </sheetViews>
  <sheetFormatPr defaultColWidth="11.00390625" defaultRowHeight="24.75" customHeight="1"/>
  <cols>
    <col min="1" max="1" width="6.375" style="12" customWidth="1"/>
    <col min="2" max="2" width="47.125" style="13" bestFit="1" customWidth="1"/>
    <col min="3" max="3" width="13.75390625" style="12" bestFit="1" customWidth="1"/>
    <col min="4" max="4" width="56.875" style="53" bestFit="1" customWidth="1"/>
    <col min="5" max="5" width="9.875" style="54" customWidth="1"/>
    <col min="6" max="6" width="10.125" style="54" customWidth="1"/>
    <col min="7" max="8" width="9.875" style="13" customWidth="1"/>
    <col min="9" max="9" width="9.375" style="13" customWidth="1"/>
    <col min="10" max="10" width="9.875" style="13" customWidth="1"/>
    <col min="11" max="16384" width="11.00390625" style="13" customWidth="1"/>
  </cols>
  <sheetData>
    <row r="1" spans="1:9" s="17" customFormat="1" ht="29.25" customHeight="1">
      <c r="A1" s="17" t="s">
        <v>321</v>
      </c>
      <c r="B1" s="27" t="s">
        <v>398</v>
      </c>
      <c r="C1" s="28"/>
      <c r="D1" s="29"/>
      <c r="E1" s="30"/>
      <c r="F1" s="30"/>
      <c r="G1" s="31"/>
      <c r="H1" s="31"/>
      <c r="I1" s="31"/>
    </row>
    <row r="2" spans="1:10" s="32" customFormat="1" ht="24" customHeight="1">
      <c r="A2" s="32" t="s">
        <v>322</v>
      </c>
      <c r="B2" s="25">
        <v>40221</v>
      </c>
      <c r="C2" s="33"/>
      <c r="D2" s="34"/>
      <c r="E2" s="33"/>
      <c r="F2" s="33"/>
      <c r="G2" s="33"/>
      <c r="H2" s="33"/>
      <c r="I2" s="33"/>
      <c r="J2" s="33"/>
    </row>
    <row r="3" spans="1:8" s="32" customFormat="1" ht="6.75" customHeight="1">
      <c r="A3" s="32" t="s">
        <v>314</v>
      </c>
      <c r="B3" s="32" t="s">
        <v>314</v>
      </c>
      <c r="C3" s="32" t="s">
        <v>314</v>
      </c>
      <c r="D3" s="29" t="s">
        <v>314</v>
      </c>
      <c r="E3" s="30" t="s">
        <v>314</v>
      </c>
      <c r="F3" s="30" t="s">
        <v>314</v>
      </c>
      <c r="G3" s="32" t="s">
        <v>314</v>
      </c>
      <c r="H3" s="32" t="s">
        <v>314</v>
      </c>
    </row>
    <row r="4" spans="1:6" s="7" customFormat="1" ht="24.75" customHeight="1">
      <c r="A4" s="46">
        <v>1</v>
      </c>
      <c r="B4" s="20" t="s">
        <v>482</v>
      </c>
      <c r="C4" s="42" t="s">
        <v>490</v>
      </c>
      <c r="D4" s="22" t="s">
        <v>1114</v>
      </c>
      <c r="E4" s="23"/>
      <c r="F4" s="23"/>
    </row>
    <row r="5" spans="1:6" s="7" customFormat="1" ht="24.75" customHeight="1">
      <c r="A5" s="46">
        <f>A4+1</f>
        <v>2</v>
      </c>
      <c r="B5" s="5" t="s">
        <v>353</v>
      </c>
      <c r="C5" s="40" t="s">
        <v>367</v>
      </c>
      <c r="D5" s="22" t="s">
        <v>1114</v>
      </c>
      <c r="E5" s="23"/>
      <c r="F5" s="23"/>
    </row>
    <row r="6" spans="1:6" s="18" customFormat="1" ht="24.75" customHeight="1">
      <c r="A6" s="21">
        <f>A5+1</f>
        <v>3</v>
      </c>
      <c r="B6" s="5" t="s">
        <v>746</v>
      </c>
      <c r="C6" s="4" t="s">
        <v>747</v>
      </c>
      <c r="D6" s="22" t="s">
        <v>335</v>
      </c>
      <c r="E6" s="19"/>
      <c r="F6" s="19"/>
    </row>
    <row r="7" spans="1:6" s="18" customFormat="1" ht="24.75" customHeight="1">
      <c r="A7" s="21">
        <f>A6+1</f>
        <v>4</v>
      </c>
      <c r="B7" s="6"/>
      <c r="C7" s="107"/>
      <c r="D7" s="24"/>
      <c r="E7" s="19"/>
      <c r="F7" s="19"/>
    </row>
    <row r="8" spans="1:6" s="7" customFormat="1" ht="24.75" customHeight="1">
      <c r="A8" s="46">
        <f>A7+1</f>
        <v>5</v>
      </c>
      <c r="B8" s="45"/>
      <c r="C8" s="10"/>
      <c r="D8" s="24"/>
      <c r="E8" s="23"/>
      <c r="F8" s="23"/>
    </row>
    <row r="9" spans="1:6" s="18" customFormat="1" ht="24.75" customHeight="1">
      <c r="A9" s="21">
        <f>A8+1</f>
        <v>6</v>
      </c>
      <c r="B9" s="6"/>
      <c r="C9" s="107"/>
      <c r="D9" s="24"/>
      <c r="E9" s="19"/>
      <c r="F9" s="19"/>
    </row>
    <row r="10" spans="1:6" s="18" customFormat="1" ht="24.75" customHeight="1">
      <c r="A10" s="21">
        <f>A8+1</f>
        <v>6</v>
      </c>
      <c r="B10" s="6"/>
      <c r="C10" s="107"/>
      <c r="D10" s="24"/>
      <c r="E10" s="19"/>
      <c r="F10" s="19"/>
    </row>
    <row r="11" spans="1:6" s="18" customFormat="1" ht="24.75" customHeight="1">
      <c r="A11" s="21">
        <f>A9+1</f>
        <v>7</v>
      </c>
      <c r="B11" s="6"/>
      <c r="C11" s="107"/>
      <c r="D11" s="24"/>
      <c r="E11" s="19"/>
      <c r="F11" s="19"/>
    </row>
    <row r="12" spans="1:6" s="18" customFormat="1" ht="24.75" customHeight="1">
      <c r="A12" s="21">
        <v>8</v>
      </c>
      <c r="B12" s="127"/>
      <c r="C12" s="111"/>
      <c r="D12" s="128"/>
      <c r="E12" s="19"/>
      <c r="F12" s="19"/>
    </row>
    <row r="13" spans="1:6" s="7" customFormat="1" ht="24.75" customHeight="1">
      <c r="A13" s="21">
        <v>9</v>
      </c>
      <c r="B13" s="127"/>
      <c r="C13" s="111"/>
      <c r="D13" s="128"/>
      <c r="E13" s="23"/>
      <c r="F13" s="23"/>
    </row>
    <row r="14" spans="1:6" s="7" customFormat="1" ht="24.75" customHeight="1">
      <c r="A14" s="21">
        <v>10</v>
      </c>
      <c r="B14" s="6"/>
      <c r="C14" s="16"/>
      <c r="D14" s="129"/>
      <c r="E14" s="23"/>
      <c r="F14" s="23"/>
    </row>
    <row r="15" spans="1:6" s="7" customFormat="1" ht="24.75" customHeight="1">
      <c r="A15" s="21">
        <v>11</v>
      </c>
      <c r="B15" s="45"/>
      <c r="C15" s="15"/>
      <c r="D15" s="129"/>
      <c r="E15" s="23"/>
      <c r="F15" s="23"/>
    </row>
    <row r="16" spans="1:6" s="7" customFormat="1" ht="24.75" customHeight="1">
      <c r="A16" s="46">
        <v>12</v>
      </c>
      <c r="B16" s="6"/>
      <c r="C16" s="10"/>
      <c r="D16" s="24"/>
      <c r="E16" s="23"/>
      <c r="F16" s="23"/>
    </row>
    <row r="17" spans="2:6" ht="24.75" customHeight="1">
      <c r="B17" s="45"/>
      <c r="C17" s="9"/>
      <c r="D17" s="24"/>
      <c r="E17" s="56"/>
      <c r="F17" s="56"/>
    </row>
    <row r="18" spans="2:6" ht="24.75" customHeight="1">
      <c r="B18" s="6"/>
      <c r="C18" s="15"/>
      <c r="D18" s="24"/>
      <c r="E18" s="56"/>
      <c r="F18" s="56"/>
    </row>
    <row r="19" spans="4:6" ht="24.75" customHeight="1">
      <c r="D19" s="55"/>
      <c r="E19" s="56"/>
      <c r="F19" s="56"/>
    </row>
    <row r="20" spans="4:6" ht="24.75" customHeight="1">
      <c r="D20" s="55"/>
      <c r="E20" s="56"/>
      <c r="F20" s="56"/>
    </row>
    <row r="21" spans="4:6" ht="24.75" customHeight="1">
      <c r="D21" s="55"/>
      <c r="E21" s="56"/>
      <c r="F21" s="56"/>
    </row>
    <row r="22" spans="4:6" ht="24.75" customHeight="1">
      <c r="D22" s="55"/>
      <c r="E22" s="56"/>
      <c r="F22" s="56"/>
    </row>
    <row r="23" spans="4:6" ht="24.75" customHeight="1">
      <c r="D23" s="55"/>
      <c r="E23" s="56"/>
      <c r="F23" s="56"/>
    </row>
    <row r="24" spans="1:6" s="47" customFormat="1" ht="24.75" customHeight="1">
      <c r="A24" s="11"/>
      <c r="C24" s="11"/>
      <c r="D24" s="53"/>
      <c r="E24" s="54"/>
      <c r="F24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2010-02-03T09:35:16Z</cp:lastPrinted>
  <dcterms:created xsi:type="dcterms:W3CDTF">2008-02-13T15:49:05Z</dcterms:created>
  <dcterms:modified xsi:type="dcterms:W3CDTF">2010-02-11T06:03:52Z</dcterms:modified>
  <cp:category/>
  <cp:version/>
  <cp:contentType/>
  <cp:contentStatus/>
</cp:coreProperties>
</file>