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10" windowWidth="20400" windowHeight="6270"/>
  </bookViews>
  <sheets>
    <sheet name="2021_31_30.07-05.08" sheetId="242" r:id="rId1"/>
    <sheet name="2021_30_23-29.07" sheetId="241" r:id="rId2"/>
    <sheet name="2021_29_16-22.07" sheetId="240" r:id="rId3"/>
    <sheet name="2021_28_09-15.07" sheetId="239" r:id="rId4"/>
    <sheet name="2021_27_02-08.07" sheetId="238" r:id="rId5"/>
  </sheets>
  <calcPr calcId="145621"/>
</workbook>
</file>

<file path=xl/calcChain.xml><?xml version="1.0" encoding="utf-8"?>
<calcChain xmlns="http://schemas.openxmlformats.org/spreadsheetml/2006/main">
  <c r="B7" i="242" l="1"/>
  <c r="B8" i="242" s="1"/>
  <c r="B9" i="242" s="1"/>
  <c r="B10" i="242" s="1"/>
  <c r="B11" i="242" s="1"/>
  <c r="B12" i="242" s="1"/>
  <c r="B13" i="242" s="1"/>
  <c r="B6" i="242"/>
  <c r="O7" i="242"/>
  <c r="N7" i="242"/>
  <c r="O6" i="242"/>
  <c r="N6" i="242"/>
  <c r="O8" i="242"/>
  <c r="N8" i="242"/>
  <c r="O11" i="242"/>
  <c r="N11" i="242"/>
  <c r="O13" i="242"/>
  <c r="N13" i="242"/>
  <c r="M13" i="242"/>
  <c r="L13" i="242"/>
  <c r="P13" i="242" l="1"/>
  <c r="O9" i="242"/>
  <c r="N9" i="242"/>
  <c r="O12" i="242"/>
  <c r="N12" i="242"/>
  <c r="O10" i="242"/>
  <c r="N10" i="242"/>
  <c r="M9" i="242"/>
  <c r="L9" i="242"/>
  <c r="P9" i="242" l="1"/>
  <c r="L7" i="242"/>
  <c r="M7" i="242"/>
  <c r="P7" i="242"/>
  <c r="M6" i="242"/>
  <c r="L6" i="242"/>
  <c r="P10" i="242"/>
  <c r="M10" i="242"/>
  <c r="L10" i="242"/>
  <c r="P11" i="242"/>
  <c r="M11" i="242"/>
  <c r="L11" i="242"/>
  <c r="P12" i="242"/>
  <c r="M12" i="242"/>
  <c r="L12" i="242"/>
  <c r="P8" i="242"/>
  <c r="M8" i="242"/>
  <c r="L8" i="242"/>
  <c r="P6" i="242" l="1"/>
  <c r="B7" i="241"/>
  <c r="B8" i="241" s="1"/>
  <c r="B9" i="241" s="1"/>
  <c r="B10" i="241" s="1"/>
  <c r="O6" i="241"/>
  <c r="N6" i="241"/>
  <c r="O9" i="241"/>
  <c r="N9" i="241"/>
  <c r="O10" i="241"/>
  <c r="N10" i="241"/>
  <c r="O7" i="241"/>
  <c r="N7" i="241"/>
  <c r="O8" i="241"/>
  <c r="N8" i="241"/>
  <c r="M8" i="241"/>
  <c r="L8" i="241"/>
  <c r="P8" i="241" l="1"/>
  <c r="P9" i="241"/>
  <c r="M9" i="241"/>
  <c r="L9" i="241"/>
  <c r="P10" i="241"/>
  <c r="M10" i="241"/>
  <c r="L10" i="241"/>
  <c r="P7" i="241"/>
  <c r="M7" i="241"/>
  <c r="L7" i="241"/>
  <c r="P6" i="241"/>
  <c r="M6" i="241"/>
  <c r="L6" i="241"/>
  <c r="B6" i="241"/>
  <c r="B8" i="240" l="1"/>
  <c r="B9" i="240" s="1"/>
  <c r="B10" i="240" s="1"/>
  <c r="B11" i="240" s="1"/>
  <c r="O7" i="240"/>
  <c r="N7" i="240"/>
  <c r="O10" i="240"/>
  <c r="N10" i="240"/>
  <c r="O6" i="240"/>
  <c r="N6" i="240"/>
  <c r="O11" i="240"/>
  <c r="N11" i="240"/>
  <c r="O9" i="240"/>
  <c r="N9" i="240"/>
  <c r="O8" i="240"/>
  <c r="N8" i="240"/>
  <c r="M8" i="240"/>
  <c r="L8" i="240"/>
  <c r="P8" i="240" l="1"/>
  <c r="P9" i="240"/>
  <c r="M9" i="240"/>
  <c r="L9" i="240"/>
  <c r="P11" i="240"/>
  <c r="M11" i="240"/>
  <c r="L11" i="240"/>
  <c r="M10" i="240"/>
  <c r="L10" i="240"/>
  <c r="M7" i="240"/>
  <c r="L7" i="240"/>
  <c r="P6" i="240"/>
  <c r="M6" i="240"/>
  <c r="L6" i="240"/>
  <c r="B6" i="240"/>
  <c r="B7" i="240" s="1"/>
  <c r="P7" i="240" l="1"/>
  <c r="P10" i="240"/>
  <c r="B6" i="239"/>
  <c r="B7" i="239" s="1"/>
  <c r="B8" i="239" s="1"/>
  <c r="B9" i="239" s="1"/>
  <c r="O7" i="239"/>
  <c r="N7" i="239"/>
  <c r="O8" i="239"/>
  <c r="N8" i="239"/>
  <c r="O6" i="239"/>
  <c r="N6" i="239"/>
  <c r="O10" i="239"/>
  <c r="N10" i="239"/>
  <c r="O9" i="239"/>
  <c r="N9" i="239"/>
  <c r="M10" i="239" l="1"/>
  <c r="L10" i="239"/>
  <c r="M9" i="239"/>
  <c r="L9" i="239"/>
  <c r="P7" i="239"/>
  <c r="M7" i="239"/>
  <c r="L7" i="239"/>
  <c r="P8" i="239"/>
  <c r="M8" i="239"/>
  <c r="L8" i="239"/>
  <c r="P6" i="239"/>
  <c r="M6" i="239"/>
  <c r="L6" i="239"/>
  <c r="B10" i="239"/>
  <c r="P9" i="239" l="1"/>
  <c r="P10" i="239"/>
  <c r="O7" i="238" l="1"/>
  <c r="N7" i="238"/>
  <c r="O6" i="238"/>
  <c r="N6" i="238"/>
  <c r="B7" i="238" l="1"/>
  <c r="B8" i="238" s="1"/>
  <c r="B9" i="238" s="1"/>
  <c r="B10" i="238" s="1"/>
  <c r="B11" i="238" s="1"/>
  <c r="B12" i="238" s="1"/>
  <c r="B6" i="238"/>
  <c r="O9" i="238"/>
  <c r="N9" i="238"/>
  <c r="O8" i="238"/>
  <c r="N8" i="238"/>
  <c r="O12" i="238"/>
  <c r="N12" i="238"/>
  <c r="N11" i="238"/>
  <c r="O11" i="238"/>
  <c r="O10" i="238"/>
  <c r="N10" i="238"/>
  <c r="L9" i="238" l="1"/>
  <c r="M9" i="238"/>
  <c r="P9" i="238"/>
  <c r="P7" i="238"/>
  <c r="M7" i="238"/>
  <c r="L7" i="238"/>
  <c r="P6" i="238"/>
  <c r="M6" i="238"/>
  <c r="L6" i="238"/>
  <c r="P10" i="238"/>
  <c r="M10" i="238"/>
  <c r="L10" i="238"/>
  <c r="M11" i="238"/>
  <c r="L11" i="238"/>
  <c r="P12" i="238"/>
  <c r="M12" i="238"/>
  <c r="L12" i="238"/>
  <c r="P11" i="238" l="1"/>
  <c r="M8" i="238" l="1"/>
  <c r="L8" i="238"/>
  <c r="P8" i="238" l="1"/>
</calcChain>
</file>

<file path=xl/sharedStrings.xml><?xml version="1.0" encoding="utf-8"?>
<sst xmlns="http://schemas.openxmlformats.org/spreadsheetml/2006/main" count="198" uniqueCount="44">
  <si>
    <t>BİR FİLM HAFTALIK SEYİRCİ VE HASILAT RAPORU</t>
  </si>
  <si>
    <t>Hafta:</t>
  </si>
  <si>
    <t>Tarih:</t>
  </si>
  <si>
    <t>Filmin Adı</t>
  </si>
  <si>
    <t>Vizyon Tarihi</t>
  </si>
  <si>
    <t>Dağıtımcı</t>
  </si>
  <si>
    <t>Şirket</t>
  </si>
  <si>
    <t>Salon Adedi</t>
  </si>
  <si>
    <t>Haf</t>
  </si>
  <si>
    <t>Haftalık Toplam</t>
  </si>
  <si>
    <t>Genel Toplam</t>
  </si>
  <si>
    <t>Hasılat</t>
  </si>
  <si>
    <t>Seyirci</t>
  </si>
  <si>
    <t>Salon Ort.</t>
  </si>
  <si>
    <t>Bilet F. Ort.</t>
  </si>
  <si>
    <t>BİR FİLM</t>
  </si>
  <si>
    <t>FABULA FILMS</t>
  </si>
  <si>
    <t>Lokasyon</t>
  </si>
  <si>
    <t>DİLSİZ</t>
  </si>
  <si>
    <t>RASATHANE FİLM</t>
  </si>
  <si>
    <t>FIXIES VS. CRABOTS</t>
  </si>
  <si>
    <t>NASİPSE ADAYIZ</t>
  </si>
  <si>
    <t>AY YAPIM &amp; POYRAZ FİLM</t>
  </si>
  <si>
    <t>PINOCCHIO</t>
  </si>
  <si>
    <t>2021 / 27</t>
  </si>
  <si>
    <t>02 - 08 Temmuz 2021</t>
  </si>
  <si>
    <t>RELIC</t>
  </si>
  <si>
    <t>MY SALINGER YEAR</t>
  </si>
  <si>
    <t>SUPERNOVA</t>
  </si>
  <si>
    <t>2021 / 28</t>
  </si>
  <si>
    <t>09 - 15 Temmuz 2021</t>
  </si>
  <si>
    <t>2021 / 29</t>
  </si>
  <si>
    <t>16 - 22 Temmuz 2021</t>
  </si>
  <si>
    <t>TEREDDÜT</t>
  </si>
  <si>
    <t>USTAOĞLU FİLM</t>
  </si>
  <si>
    <t>2021 / 30</t>
  </si>
  <si>
    <t>23 - 29 Temmuz 2021</t>
  </si>
  <si>
    <t>PARASITE</t>
  </si>
  <si>
    <t>2021 / 31</t>
  </si>
  <si>
    <t>30 Temmuz - 05 Ağustos 2021</t>
  </si>
  <si>
    <t>LONG STORY SHORT</t>
  </si>
  <si>
    <t>MOONLIGHT</t>
  </si>
  <si>
    <t>KIZIM GİBİ KOKUYORSUN</t>
  </si>
  <si>
    <t>SARGONA FİLM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</si>
</sst>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dd/mm/yy"/>
    <numFmt numFmtId="166" formatCode="0.00\ "/>
    <numFmt numFmtId="167" formatCode="#,##0\ "/>
    <numFmt numFmtId="168" formatCode="#,##0.00\ \ "/>
    <numFmt numFmtId="169" formatCode="[$-F400]h:mm:ss\ AM/PM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right" vertical="center"/>
    </xf>
    <xf numFmtId="168" fontId="6" fillId="0" borderId="16" xfId="2" applyNumberFormat="1" applyFont="1" applyFill="1" applyBorder="1" applyAlignment="1" applyProtection="1">
      <alignment horizontal="right" vertical="center" shrinkToFit="1"/>
    </xf>
    <xf numFmtId="3" fontId="6" fillId="0" borderId="15" xfId="2" applyNumberFormat="1" applyFont="1" applyFill="1" applyBorder="1" applyAlignment="1" applyProtection="1">
      <alignment horizontal="right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3" fontId="7" fillId="0" borderId="22" xfId="0" applyNumberFormat="1" applyFont="1" applyFill="1" applyBorder="1" applyAlignment="1" applyProtection="1">
      <alignment horizontal="center" vertical="center" wrapText="1"/>
    </xf>
    <xf numFmtId="167" fontId="7" fillId="0" borderId="22" xfId="0" applyNumberFormat="1" applyFont="1" applyFill="1" applyBorder="1" applyAlignment="1" applyProtection="1">
      <alignment horizontal="center" vertical="center" wrapText="1"/>
    </xf>
    <xf numFmtId="166" fontId="7" fillId="0" borderId="23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9" fontId="9" fillId="3" borderId="24" xfId="0" applyNumberFormat="1" applyFont="1" applyFill="1" applyBorder="1" applyAlignment="1">
      <alignment horizontal="left" vertical="center" shrinkToFit="1"/>
    </xf>
    <xf numFmtId="165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167" fontId="9" fillId="3" borderId="25" xfId="2" applyNumberFormat="1" applyFont="1" applyFill="1" applyBorder="1" applyAlignment="1">
      <alignment horizontal="right" vertical="center" shrinkToFit="1"/>
    </xf>
    <xf numFmtId="166" fontId="9" fillId="3" borderId="28" xfId="2" applyNumberFormat="1" applyFont="1" applyFill="1" applyBorder="1" applyAlignment="1">
      <alignment vertical="center" shrinkToFit="1"/>
    </xf>
    <xf numFmtId="168" fontId="9" fillId="0" borderId="27" xfId="0" applyNumberFormat="1" applyFont="1" applyFill="1" applyBorder="1" applyAlignment="1">
      <alignment vertical="center" shrinkToFit="1"/>
    </xf>
    <xf numFmtId="167" fontId="9" fillId="0" borderId="25" xfId="2" applyNumberFormat="1" applyFont="1" applyFill="1" applyBorder="1" applyAlignment="1" applyProtection="1">
      <alignment vertical="center" shrinkToFit="1"/>
      <protection locked="0"/>
    </xf>
    <xf numFmtId="168" fontId="9" fillId="3" borderId="28" xfId="0" applyNumberFormat="1" applyFont="1" applyFill="1" applyBorder="1" applyAlignment="1">
      <alignment vertical="center" shrinkToFit="1"/>
    </xf>
    <xf numFmtId="0" fontId="3" fillId="0" borderId="29" xfId="0" applyFont="1" applyFill="1" applyBorder="1" applyAlignment="1" applyProtection="1">
      <alignment horizontal="right" vertical="center"/>
    </xf>
    <xf numFmtId="169" fontId="9" fillId="3" borderId="30" xfId="0" applyNumberFormat="1" applyFont="1" applyFill="1" applyBorder="1" applyAlignment="1">
      <alignment horizontal="left" vertical="center" shrinkToFit="1"/>
    </xf>
    <xf numFmtId="165" fontId="9" fillId="3" borderId="31" xfId="0" applyNumberFormat="1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7" fontId="9" fillId="3" borderId="31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8" fontId="9" fillId="3" borderId="34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 applyProtection="1">
      <alignment horizontal="right" vertical="center"/>
    </xf>
    <xf numFmtId="169" fontId="9" fillId="3" borderId="35" xfId="0" applyNumberFormat="1" applyFont="1" applyFill="1" applyBorder="1" applyAlignment="1">
      <alignment horizontal="left" vertical="center" shrinkToFit="1"/>
    </xf>
    <xf numFmtId="165" fontId="9" fillId="3" borderId="36" xfId="0" applyNumberFormat="1" applyFont="1" applyFill="1" applyBorder="1" applyAlignment="1">
      <alignment horizontal="center" vertical="center" shrinkToFit="1"/>
    </xf>
    <xf numFmtId="0" fontId="9" fillId="3" borderId="36" xfId="0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168" fontId="6" fillId="0" borderId="38" xfId="2" applyNumberFormat="1" applyFont="1" applyFill="1" applyBorder="1" applyAlignment="1" applyProtection="1">
      <alignment horizontal="right" vertical="center" shrinkToFit="1"/>
    </xf>
    <xf numFmtId="3" fontId="6" fillId="0" borderId="39" xfId="2" applyNumberFormat="1" applyFont="1" applyFill="1" applyBorder="1" applyAlignment="1" applyProtection="1">
      <alignment horizontal="right" vertical="center" shrinkToFit="1"/>
    </xf>
    <xf numFmtId="167" fontId="9" fillId="3" borderId="36" xfId="2" applyNumberFormat="1" applyFont="1" applyFill="1" applyBorder="1" applyAlignment="1">
      <alignment horizontal="right" vertical="center" shrinkToFit="1"/>
    </xf>
    <xf numFmtId="166" fontId="9" fillId="3" borderId="40" xfId="2" applyNumberFormat="1" applyFont="1" applyFill="1" applyBorder="1" applyAlignment="1">
      <alignment vertical="center" shrinkToFit="1"/>
    </xf>
    <xf numFmtId="168" fontId="9" fillId="0" borderId="41" xfId="0" applyNumberFormat="1" applyFont="1" applyFill="1" applyBorder="1" applyAlignment="1">
      <alignment vertical="center" shrinkToFit="1"/>
    </xf>
    <xf numFmtId="167" fontId="9" fillId="0" borderId="36" xfId="2" applyNumberFormat="1" applyFont="1" applyFill="1" applyBorder="1" applyAlignment="1" applyProtection="1">
      <alignment vertical="center" shrinkToFit="1"/>
      <protection locked="0"/>
    </xf>
    <xf numFmtId="168" fontId="9" fillId="3" borderId="40" xfId="0" applyNumberFormat="1" applyFont="1" applyFill="1" applyBorder="1" applyAlignment="1">
      <alignment vertical="center" shrinkToFit="1"/>
    </xf>
    <xf numFmtId="168" fontId="6" fillId="4" borderId="33" xfId="2" applyNumberFormat="1" applyFont="1" applyFill="1" applyBorder="1" applyAlignment="1" applyProtection="1">
      <alignment horizontal="right" vertical="center" shrinkToFit="1"/>
    </xf>
    <xf numFmtId="3" fontId="6" fillId="4" borderId="31" xfId="2" applyNumberFormat="1" applyFont="1" applyFill="1" applyBorder="1" applyAlignment="1" applyProtection="1">
      <alignment horizontal="right" vertical="center" shrinkToFit="1"/>
    </xf>
    <xf numFmtId="168" fontId="9" fillId="4" borderId="33" xfId="0" applyNumberFormat="1" applyFont="1" applyFill="1" applyBorder="1" applyAlignment="1">
      <alignment vertical="center" shrinkToFit="1"/>
    </xf>
    <xf numFmtId="167" fontId="9" fillId="4" borderId="31" xfId="2" applyNumberFormat="1" applyFont="1" applyFill="1" applyBorder="1" applyAlignment="1" applyProtection="1">
      <alignment vertical="center" shrinkToFit="1"/>
      <protection locked="0"/>
    </xf>
    <xf numFmtId="168" fontId="9" fillId="4" borderId="27" xfId="0" applyNumberFormat="1" applyFont="1" applyFill="1" applyBorder="1" applyAlignment="1">
      <alignment vertical="center" shrinkToFit="1"/>
    </xf>
    <xf numFmtId="167" fontId="9" fillId="4" borderId="25" xfId="2" applyNumberFormat="1" applyFont="1" applyFill="1" applyBorder="1" applyAlignment="1" applyProtection="1">
      <alignment vertical="center" shrinkToFit="1"/>
      <protection locked="0"/>
    </xf>
    <xf numFmtId="168" fontId="6" fillId="4" borderId="16" xfId="2" applyNumberFormat="1" applyFont="1" applyFill="1" applyBorder="1" applyAlignment="1" applyProtection="1">
      <alignment horizontal="right" vertical="center" shrinkToFit="1"/>
    </xf>
    <xf numFmtId="3" fontId="6" fillId="4" borderId="15" xfId="2" applyNumberFormat="1" applyFont="1" applyFill="1" applyBorder="1" applyAlignment="1" applyProtection="1">
      <alignment horizontal="right" vertical="center" shrinkToFit="1"/>
    </xf>
    <xf numFmtId="168" fontId="6" fillId="0" borderId="33" xfId="2" applyNumberFormat="1" applyFont="1" applyFill="1" applyBorder="1" applyAlignment="1" applyProtection="1">
      <alignment horizontal="right" vertical="center" shrinkToFit="1"/>
    </xf>
    <xf numFmtId="3" fontId="6" fillId="0" borderId="31" xfId="2" applyNumberFormat="1" applyFont="1" applyFill="1" applyBorder="1" applyAlignment="1" applyProtection="1">
      <alignment horizontal="right" vertical="center" shrinkToFit="1"/>
    </xf>
    <xf numFmtId="168" fontId="9" fillId="0" borderId="33" xfId="0" applyNumberFormat="1" applyFont="1" applyFill="1" applyBorder="1" applyAlignment="1">
      <alignment vertical="center" shrinkToFit="1"/>
    </xf>
    <xf numFmtId="167" fontId="9" fillId="0" borderId="31" xfId="2" applyNumberFormat="1" applyFont="1" applyFill="1" applyBorder="1" applyAlignment="1" applyProtection="1">
      <alignment vertical="center" shrinkToFit="1"/>
      <protection locked="0"/>
    </xf>
    <xf numFmtId="166" fontId="3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166" fontId="3" fillId="0" borderId="1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2" fontId="5" fillId="0" borderId="2" xfId="0" applyNumberFormat="1" applyFont="1" applyBorder="1" applyAlignment="1">
      <alignment horizontal="center" vertical="center" shrinkToFit="1"/>
    </xf>
    <xf numFmtId="2" fontId="5" fillId="0" borderId="3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64" fontId="3" fillId="0" borderId="8" xfId="1" applyFont="1" applyFill="1" applyBorder="1" applyAlignment="1" applyProtection="1">
      <alignment horizontal="center" vertical="center"/>
    </xf>
    <xf numFmtId="164" fontId="3" fillId="0" borderId="18" xfId="1" applyFont="1" applyFill="1" applyBorder="1" applyAlignment="1" applyProtection="1">
      <alignment horizontal="center" vertical="center"/>
    </xf>
    <xf numFmtId="165" fontId="3" fillId="0" borderId="9" xfId="0" applyNumberFormat="1" applyFont="1" applyFill="1" applyBorder="1" applyAlignment="1" applyProtection="1">
      <alignment horizontal="center" vertical="center" wrapText="1"/>
    </xf>
    <xf numFmtId="165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</cellXfs>
  <cellStyles count="4">
    <cellStyle name="Binlik Ayracı 2 2" xfId="2"/>
    <cellStyle name="Normal" xfId="0" builtinId="0"/>
    <cellStyle name="Normal 2" xfId="3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1.28515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4" t="s">
        <v>1</v>
      </c>
      <c r="O2" s="71" t="s">
        <v>38</v>
      </c>
      <c r="P2" s="72"/>
    </row>
    <row r="3" spans="1:19" ht="24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5" t="s">
        <v>2</v>
      </c>
      <c r="O3" s="73" t="s">
        <v>39</v>
      </c>
      <c r="P3" s="74"/>
    </row>
    <row r="4" spans="1:19" s="8" customFormat="1" ht="16.5" customHeight="1" x14ac:dyDescent="0.25">
      <c r="A4" s="6"/>
      <c r="B4" s="7"/>
      <c r="C4" s="75" t="s">
        <v>3</v>
      </c>
      <c r="D4" s="77" t="s">
        <v>4</v>
      </c>
      <c r="E4" s="79" t="s">
        <v>5</v>
      </c>
      <c r="F4" s="79" t="s">
        <v>6</v>
      </c>
      <c r="G4" s="81" t="s">
        <v>17</v>
      </c>
      <c r="H4" s="81" t="s">
        <v>7</v>
      </c>
      <c r="I4" s="83" t="s">
        <v>8</v>
      </c>
      <c r="J4" s="62" t="s">
        <v>9</v>
      </c>
      <c r="K4" s="63"/>
      <c r="L4" s="63"/>
      <c r="M4" s="64"/>
      <c r="N4" s="62" t="s">
        <v>10</v>
      </c>
      <c r="O4" s="65"/>
      <c r="P4" s="66"/>
      <c r="Q4" s="2"/>
      <c r="R4" s="2"/>
      <c r="S4" s="2"/>
    </row>
    <row r="5" spans="1:19" s="8" customFormat="1" ht="15" customHeight="1" thickBot="1" x14ac:dyDescent="0.3">
      <c r="A5" s="6"/>
      <c r="B5" s="12"/>
      <c r="C5" s="76"/>
      <c r="D5" s="78"/>
      <c r="E5" s="80"/>
      <c r="F5" s="80"/>
      <c r="G5" s="82"/>
      <c r="H5" s="82"/>
      <c r="I5" s="84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27</v>
      </c>
      <c r="D6" s="30">
        <v>44379</v>
      </c>
      <c r="E6" s="31" t="s">
        <v>15</v>
      </c>
      <c r="F6" s="31" t="s">
        <v>15</v>
      </c>
      <c r="G6" s="32">
        <v>1</v>
      </c>
      <c r="H6" s="32">
        <v>1</v>
      </c>
      <c r="I6" s="33">
        <v>4</v>
      </c>
      <c r="J6" s="58">
        <v>6000</v>
      </c>
      <c r="K6" s="59">
        <v>100</v>
      </c>
      <c r="L6" s="34">
        <f t="shared" ref="L6" si="0">K6/H6</f>
        <v>100</v>
      </c>
      <c r="M6" s="35">
        <f t="shared" ref="M6" si="1">+J6/K6</f>
        <v>60</v>
      </c>
      <c r="N6" s="60">
        <f>28632.5+3637+200+6000</f>
        <v>38469.5</v>
      </c>
      <c r="O6" s="61">
        <f>1102+147+8+100</f>
        <v>1357</v>
      </c>
      <c r="P6" s="36">
        <f t="shared" ref="P6" si="2">N6/O6</f>
        <v>28.348931466470155</v>
      </c>
      <c r="Q6" s="2"/>
      <c r="R6" s="2"/>
      <c r="S6" s="2"/>
    </row>
    <row r="7" spans="1:19" s="8" customFormat="1" ht="22.5" customHeight="1" x14ac:dyDescent="0.25">
      <c r="B7" s="9">
        <f t="shared" ref="B7:B13" si="3">B6+1</f>
        <v>2</v>
      </c>
      <c r="C7" s="18" t="s">
        <v>40</v>
      </c>
      <c r="D7" s="19">
        <v>44421</v>
      </c>
      <c r="E7" s="20" t="s">
        <v>15</v>
      </c>
      <c r="F7" s="20" t="s">
        <v>15</v>
      </c>
      <c r="G7" s="21">
        <v>2</v>
      </c>
      <c r="H7" s="21">
        <v>2</v>
      </c>
      <c r="I7" s="22">
        <v>0</v>
      </c>
      <c r="J7" s="10">
        <v>4545</v>
      </c>
      <c r="K7" s="11">
        <v>125</v>
      </c>
      <c r="L7" s="23">
        <f t="shared" ref="L7" si="4">K7/H7</f>
        <v>62.5</v>
      </c>
      <c r="M7" s="24">
        <f t="shared" ref="M7" si="5">+J7/K7</f>
        <v>36.36</v>
      </c>
      <c r="N7" s="25">
        <f>4545</f>
        <v>4545</v>
      </c>
      <c r="O7" s="26">
        <f>125</f>
        <v>125</v>
      </c>
      <c r="P7" s="27">
        <f t="shared" ref="P7" si="6">N7/O7</f>
        <v>36.36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26</v>
      </c>
      <c r="D8" s="19">
        <v>44379</v>
      </c>
      <c r="E8" s="20" t="s">
        <v>15</v>
      </c>
      <c r="F8" s="20" t="s">
        <v>15</v>
      </c>
      <c r="G8" s="21">
        <v>6</v>
      </c>
      <c r="H8" s="21">
        <v>6</v>
      </c>
      <c r="I8" s="22">
        <v>5</v>
      </c>
      <c r="J8" s="10">
        <v>3121.5</v>
      </c>
      <c r="K8" s="11">
        <v>159</v>
      </c>
      <c r="L8" s="23">
        <f>K8/H8</f>
        <v>26.5</v>
      </c>
      <c r="M8" s="24">
        <f>+J8/K8</f>
        <v>19.632075471698112</v>
      </c>
      <c r="N8" s="25">
        <f>228022.5+41836+5011.5+4499.5+3121.5</f>
        <v>282491</v>
      </c>
      <c r="O8" s="26">
        <f>10456+1868+236+233+159</f>
        <v>12952</v>
      </c>
      <c r="P8" s="27">
        <f>N8/O8</f>
        <v>21.810608400247066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41</v>
      </c>
      <c r="D9" s="19">
        <v>42783</v>
      </c>
      <c r="E9" s="20" t="s">
        <v>15</v>
      </c>
      <c r="F9" s="20" t="s">
        <v>16</v>
      </c>
      <c r="G9" s="21">
        <v>1</v>
      </c>
      <c r="H9" s="21">
        <v>1</v>
      </c>
      <c r="I9" s="22">
        <v>21</v>
      </c>
      <c r="J9" s="10">
        <v>680</v>
      </c>
      <c r="K9" s="11">
        <v>32</v>
      </c>
      <c r="L9" s="23">
        <f>K9/H9</f>
        <v>32</v>
      </c>
      <c r="M9" s="24">
        <f>+J9/K9</f>
        <v>21.25</v>
      </c>
      <c r="N9" s="25">
        <f>234782.36+250779.47+172675.15+104597.46+23572.52+9059+3547+6243+500+2376+2679+2376+2376+7128.01+300+2376+2376+1541+2376+312+680</f>
        <v>832651.97</v>
      </c>
      <c r="O9" s="26">
        <f>15060+16517+12206+7566+1387+672+293+1112+55+475+515+475+475+1426+30+475+475+151+475+16+32</f>
        <v>59888</v>
      </c>
      <c r="P9" s="27">
        <f>N9/O9</f>
        <v>13.903486007213465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20</v>
      </c>
      <c r="D10" s="19">
        <v>43896</v>
      </c>
      <c r="E10" s="20" t="s">
        <v>15</v>
      </c>
      <c r="F10" s="20" t="s">
        <v>15</v>
      </c>
      <c r="G10" s="21">
        <v>2</v>
      </c>
      <c r="H10" s="21">
        <v>2</v>
      </c>
      <c r="I10" s="22">
        <v>12</v>
      </c>
      <c r="J10" s="10">
        <v>628</v>
      </c>
      <c r="K10" s="11">
        <v>32</v>
      </c>
      <c r="L10" s="23">
        <f t="shared" ref="L10" si="7">K10/H10</f>
        <v>16</v>
      </c>
      <c r="M10" s="24">
        <f t="shared" ref="M10" si="8">+J10/K10</f>
        <v>19.625</v>
      </c>
      <c r="N10" s="25">
        <f>137757.5+2211+330+75+68+179+70+720+945+160+280+628</f>
        <v>143423.5</v>
      </c>
      <c r="O10" s="26">
        <f>7791+153+22+5+5+13+5+48+63+8+14+32</f>
        <v>8159</v>
      </c>
      <c r="P10" s="27">
        <f t="shared" ref="P10" si="9">N10/O10</f>
        <v>17.578563549454589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21</v>
      </c>
      <c r="D11" s="19">
        <v>44165</v>
      </c>
      <c r="E11" s="20" t="s">
        <v>15</v>
      </c>
      <c r="F11" s="20" t="s">
        <v>22</v>
      </c>
      <c r="G11" s="21">
        <v>1</v>
      </c>
      <c r="H11" s="21">
        <v>1</v>
      </c>
      <c r="I11" s="22">
        <v>7</v>
      </c>
      <c r="J11" s="10">
        <v>324</v>
      </c>
      <c r="K11" s="11">
        <v>15</v>
      </c>
      <c r="L11" s="23">
        <f>K11/H11</f>
        <v>15</v>
      </c>
      <c r="M11" s="24">
        <f>+J11/K11</f>
        <v>21.6</v>
      </c>
      <c r="N11" s="25">
        <f>77613+14274.5+2948+225+620+360+324</f>
        <v>96364.5</v>
      </c>
      <c r="O11" s="26">
        <f>4531+705+144+9+29+18+15</f>
        <v>5451</v>
      </c>
      <c r="P11" s="27">
        <f>N11/O11</f>
        <v>17.678315905338469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33</v>
      </c>
      <c r="D12" s="19">
        <v>42720</v>
      </c>
      <c r="E12" s="20" t="s">
        <v>15</v>
      </c>
      <c r="F12" s="20" t="s">
        <v>34</v>
      </c>
      <c r="G12" s="21">
        <v>1</v>
      </c>
      <c r="H12" s="21">
        <v>1</v>
      </c>
      <c r="I12" s="22">
        <v>27</v>
      </c>
      <c r="J12" s="10">
        <v>300</v>
      </c>
      <c r="K12" s="11">
        <v>15</v>
      </c>
      <c r="L12" s="23">
        <f>K12/H12</f>
        <v>15</v>
      </c>
      <c r="M12" s="24">
        <f>+J12/K12</f>
        <v>20</v>
      </c>
      <c r="N12" s="25">
        <f>92430.8+56100.5+21765.5+12624+4197.8+2428+1078+6308.5+613+2608+204+2496+192+168+14256.02+5227.21+7128.01+4514.4+2019.6+3564+3088.8+1782+540+580+536+699+300</f>
        <v>247449.13999999996</v>
      </c>
      <c r="O12" s="26">
        <f>6806+4299+1553+920+389+250+101+924+45+504+26+490+24+21+2851+1045+1426+903+404+713+618+356+36+29+25+33+15</f>
        <v>24806</v>
      </c>
      <c r="P12" s="27">
        <f>N12/O12</f>
        <v>9.97537450616786</v>
      </c>
      <c r="Q12" s="2"/>
      <c r="R12" s="2"/>
      <c r="S12" s="2"/>
    </row>
    <row r="13" spans="1:19" s="8" customFormat="1" ht="22.5" customHeight="1" thickBot="1" x14ac:dyDescent="0.3">
      <c r="B13" s="37">
        <f t="shared" si="3"/>
        <v>8</v>
      </c>
      <c r="C13" s="38" t="s">
        <v>42</v>
      </c>
      <c r="D13" s="39">
        <v>44022</v>
      </c>
      <c r="E13" s="40" t="s">
        <v>15</v>
      </c>
      <c r="F13" s="40" t="s">
        <v>43</v>
      </c>
      <c r="G13" s="41">
        <v>1</v>
      </c>
      <c r="H13" s="41">
        <v>1</v>
      </c>
      <c r="I13" s="42">
        <v>11</v>
      </c>
      <c r="J13" s="43">
        <v>300</v>
      </c>
      <c r="K13" s="44">
        <v>15</v>
      </c>
      <c r="L13" s="45">
        <f>K13/H13</f>
        <v>15</v>
      </c>
      <c r="M13" s="46">
        <f>+J13/K13</f>
        <v>20</v>
      </c>
      <c r="N13" s="47">
        <f>1613+832+831+693+1767+92+933+1056+276+400+300</f>
        <v>8793</v>
      </c>
      <c r="O13" s="48">
        <f>125+56+45+41+141+5+67+61+18+21+15</f>
        <v>595</v>
      </c>
      <c r="P13" s="49">
        <f>N13/O13</f>
        <v>14.778151260504202</v>
      </c>
      <c r="Q13" s="2"/>
      <c r="R13" s="2"/>
      <c r="S13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1.28515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4" t="s">
        <v>1</v>
      </c>
      <c r="O2" s="71" t="s">
        <v>35</v>
      </c>
      <c r="P2" s="72"/>
    </row>
    <row r="3" spans="1:19" ht="24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5" t="s">
        <v>2</v>
      </c>
      <c r="O3" s="73" t="s">
        <v>36</v>
      </c>
      <c r="P3" s="74"/>
    </row>
    <row r="4" spans="1:19" s="8" customFormat="1" ht="16.5" customHeight="1" x14ac:dyDescent="0.25">
      <c r="A4" s="6"/>
      <c r="B4" s="7"/>
      <c r="C4" s="75" t="s">
        <v>3</v>
      </c>
      <c r="D4" s="77" t="s">
        <v>4</v>
      </c>
      <c r="E4" s="79" t="s">
        <v>5</v>
      </c>
      <c r="F4" s="79" t="s">
        <v>6</v>
      </c>
      <c r="G4" s="81" t="s">
        <v>17</v>
      </c>
      <c r="H4" s="81" t="s">
        <v>7</v>
      </c>
      <c r="I4" s="83" t="s">
        <v>8</v>
      </c>
      <c r="J4" s="62" t="s">
        <v>9</v>
      </c>
      <c r="K4" s="63"/>
      <c r="L4" s="63"/>
      <c r="M4" s="64"/>
      <c r="N4" s="62" t="s">
        <v>10</v>
      </c>
      <c r="O4" s="65"/>
      <c r="P4" s="66"/>
      <c r="Q4" s="2"/>
      <c r="R4" s="2"/>
      <c r="S4" s="2"/>
    </row>
    <row r="5" spans="1:19" s="8" customFormat="1" ht="15" customHeight="1" thickBot="1" x14ac:dyDescent="0.3">
      <c r="A5" s="6"/>
      <c r="B5" s="12"/>
      <c r="C5" s="76"/>
      <c r="D5" s="78"/>
      <c r="E5" s="80"/>
      <c r="F5" s="80"/>
      <c r="G5" s="82"/>
      <c r="H5" s="82"/>
      <c r="I5" s="84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10" si="0">B5+1</f>
        <v>1</v>
      </c>
      <c r="C6" s="29" t="s">
        <v>26</v>
      </c>
      <c r="D6" s="30">
        <v>44379</v>
      </c>
      <c r="E6" s="31" t="s">
        <v>15</v>
      </c>
      <c r="F6" s="31" t="s">
        <v>15</v>
      </c>
      <c r="G6" s="32">
        <v>6</v>
      </c>
      <c r="H6" s="32">
        <v>6</v>
      </c>
      <c r="I6" s="33">
        <v>4</v>
      </c>
      <c r="J6" s="58">
        <v>4499.5</v>
      </c>
      <c r="K6" s="59">
        <v>233</v>
      </c>
      <c r="L6" s="34">
        <f>K6/H6</f>
        <v>38.833333333333336</v>
      </c>
      <c r="M6" s="35">
        <f>+J6/K6</f>
        <v>19.311158798283262</v>
      </c>
      <c r="N6" s="60">
        <f>228022.5+41836+5011.5+4499.5</f>
        <v>279369.5</v>
      </c>
      <c r="O6" s="61">
        <f>10456+1868+236+233</f>
        <v>12793</v>
      </c>
      <c r="P6" s="36">
        <f>N6/O6</f>
        <v>21.837684671304618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33</v>
      </c>
      <c r="D7" s="19">
        <v>42720</v>
      </c>
      <c r="E7" s="20" t="s">
        <v>15</v>
      </c>
      <c r="F7" s="20" t="s">
        <v>34</v>
      </c>
      <c r="G7" s="21">
        <v>1</v>
      </c>
      <c r="H7" s="21">
        <v>1</v>
      </c>
      <c r="I7" s="22">
        <v>26</v>
      </c>
      <c r="J7" s="10">
        <v>699</v>
      </c>
      <c r="K7" s="11">
        <v>33</v>
      </c>
      <c r="L7" s="23">
        <f>K7/H7</f>
        <v>33</v>
      </c>
      <c r="M7" s="24">
        <f>+J7/K7</f>
        <v>21.181818181818183</v>
      </c>
      <c r="N7" s="25">
        <f>92430.8+56100.5+21765.5+12624+4197.8+2428+1078+6308.5+613+2608+204+2496+192+168+14256.02+5227.21+7128.01+4514.4+2019.6+3564+3088.8+1782+540+580+536+699</f>
        <v>247149.13999999996</v>
      </c>
      <c r="O7" s="26">
        <f>6806+4299+1553+920+389+250+101+924+45+504+26+490+24+21+2851+1045+1426+903+404+713+618+356+36+29+25+33</f>
        <v>24791</v>
      </c>
      <c r="P7" s="27">
        <f>N7/O7</f>
        <v>9.9693090234359225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37</v>
      </c>
      <c r="D8" s="19">
        <v>43770</v>
      </c>
      <c r="E8" s="20" t="s">
        <v>15</v>
      </c>
      <c r="F8" s="20" t="s">
        <v>15</v>
      </c>
      <c r="G8" s="21">
        <v>1</v>
      </c>
      <c r="H8" s="21">
        <v>1</v>
      </c>
      <c r="I8" s="22">
        <v>33</v>
      </c>
      <c r="J8" s="10">
        <v>610</v>
      </c>
      <c r="K8" s="11">
        <v>28</v>
      </c>
      <c r="L8" s="23">
        <f>K8/H8</f>
        <v>28</v>
      </c>
      <c r="M8" s="24">
        <f>+J8/K8</f>
        <v>21.785714285714285</v>
      </c>
      <c r="N8" s="25">
        <f>27204+550044+312325+331653+234959.2+204582.5+144904+128591.5+68901.5+76727+73179.5+86760.8+102319.5+89592+64930.5+628549+1455046.5+981957+747644+394027.5+70399+9194+2414+612+665+4070+21994+10756+1480+1146+720+5000+500+610</f>
        <v>6833458</v>
      </c>
      <c r="O8" s="26">
        <f>1873+26223+14137+14500+11472+10085+6575+6015+3308+3477+3326+4437+4671+4097+2926+45580+108273+74395+48685+25493+4405+820+114+47+51+225+2105+1023+148+84+44+100+10+28</f>
        <v>428752</v>
      </c>
      <c r="P8" s="27">
        <f>N8/O8</f>
        <v>15.938020114191888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21</v>
      </c>
      <c r="D9" s="19">
        <v>44165</v>
      </c>
      <c r="E9" s="20" t="s">
        <v>15</v>
      </c>
      <c r="F9" s="20" t="s">
        <v>22</v>
      </c>
      <c r="G9" s="21">
        <v>1</v>
      </c>
      <c r="H9" s="21">
        <v>1</v>
      </c>
      <c r="I9" s="22">
        <v>6</v>
      </c>
      <c r="J9" s="10">
        <v>360</v>
      </c>
      <c r="K9" s="11">
        <v>18</v>
      </c>
      <c r="L9" s="23">
        <f>K9/H9</f>
        <v>18</v>
      </c>
      <c r="M9" s="24">
        <f>+J9/K9</f>
        <v>20</v>
      </c>
      <c r="N9" s="25">
        <f>77613+14274.5+2948+225+620+360</f>
        <v>96040.5</v>
      </c>
      <c r="O9" s="26">
        <f>4531+705+144+9+29+18</f>
        <v>5436</v>
      </c>
      <c r="P9" s="27">
        <f>N9/O9</f>
        <v>17.667494481236204</v>
      </c>
      <c r="Q9" s="2"/>
      <c r="R9" s="2"/>
      <c r="S9" s="2"/>
    </row>
    <row r="10" spans="1:19" s="8" customFormat="1" ht="22.5" customHeight="1" thickBot="1" x14ac:dyDescent="0.3">
      <c r="B10" s="37">
        <f t="shared" si="0"/>
        <v>5</v>
      </c>
      <c r="C10" s="38" t="s">
        <v>20</v>
      </c>
      <c r="D10" s="39">
        <v>43896</v>
      </c>
      <c r="E10" s="40" t="s">
        <v>15</v>
      </c>
      <c r="F10" s="40" t="s">
        <v>15</v>
      </c>
      <c r="G10" s="41">
        <v>1</v>
      </c>
      <c r="H10" s="41">
        <v>1</v>
      </c>
      <c r="I10" s="42">
        <v>11</v>
      </c>
      <c r="J10" s="43">
        <v>280</v>
      </c>
      <c r="K10" s="44">
        <v>14</v>
      </c>
      <c r="L10" s="45">
        <f t="shared" ref="L10" si="1">K10/H10</f>
        <v>14</v>
      </c>
      <c r="M10" s="46">
        <f t="shared" ref="M10" si="2">+J10/K10</f>
        <v>20</v>
      </c>
      <c r="N10" s="47">
        <f>137757.5+2211+330+75+68+179+70+720+945+160+280</f>
        <v>142795.5</v>
      </c>
      <c r="O10" s="48">
        <f>7791+153+22+5+5+13+5+48+63+8+14</f>
        <v>8127</v>
      </c>
      <c r="P10" s="49">
        <f t="shared" ref="P10" si="3">N10/O10</f>
        <v>17.570505721668514</v>
      </c>
      <c r="Q10" s="2"/>
      <c r="R10" s="2"/>
      <c r="S1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4.140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4" t="s">
        <v>1</v>
      </c>
      <c r="O2" s="71" t="s">
        <v>31</v>
      </c>
      <c r="P2" s="72"/>
    </row>
    <row r="3" spans="1:19" ht="24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5" t="s">
        <v>2</v>
      </c>
      <c r="O3" s="73" t="s">
        <v>32</v>
      </c>
      <c r="P3" s="74"/>
    </row>
    <row r="4" spans="1:19" s="8" customFormat="1" ht="16.5" customHeight="1" x14ac:dyDescent="0.25">
      <c r="A4" s="6"/>
      <c r="B4" s="7"/>
      <c r="C4" s="75" t="s">
        <v>3</v>
      </c>
      <c r="D4" s="77" t="s">
        <v>4</v>
      </c>
      <c r="E4" s="79" t="s">
        <v>5</v>
      </c>
      <c r="F4" s="79" t="s">
        <v>6</v>
      </c>
      <c r="G4" s="81" t="s">
        <v>17</v>
      </c>
      <c r="H4" s="81" t="s">
        <v>7</v>
      </c>
      <c r="I4" s="83" t="s">
        <v>8</v>
      </c>
      <c r="J4" s="62" t="s">
        <v>9</v>
      </c>
      <c r="K4" s="63"/>
      <c r="L4" s="63"/>
      <c r="M4" s="64"/>
      <c r="N4" s="62" t="s">
        <v>10</v>
      </c>
      <c r="O4" s="65"/>
      <c r="P4" s="66"/>
      <c r="Q4" s="2"/>
      <c r="R4" s="2"/>
      <c r="S4" s="2"/>
    </row>
    <row r="5" spans="1:19" s="8" customFormat="1" ht="15" customHeight="1" thickBot="1" x14ac:dyDescent="0.3">
      <c r="A5" s="6"/>
      <c r="B5" s="12"/>
      <c r="C5" s="76"/>
      <c r="D5" s="78"/>
      <c r="E5" s="80"/>
      <c r="F5" s="80"/>
      <c r="G5" s="82"/>
      <c r="H5" s="82"/>
      <c r="I5" s="84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11" si="0">B5+1</f>
        <v>1</v>
      </c>
      <c r="C6" s="29" t="s">
        <v>26</v>
      </c>
      <c r="D6" s="30">
        <v>44379</v>
      </c>
      <c r="E6" s="31" t="s">
        <v>15</v>
      </c>
      <c r="F6" s="31" t="s">
        <v>15</v>
      </c>
      <c r="G6" s="32">
        <v>7</v>
      </c>
      <c r="H6" s="32">
        <v>7</v>
      </c>
      <c r="I6" s="33">
        <v>3</v>
      </c>
      <c r="J6" s="58">
        <v>5011.5</v>
      </c>
      <c r="K6" s="59">
        <v>236</v>
      </c>
      <c r="L6" s="34">
        <f>K6/H6</f>
        <v>33.714285714285715</v>
      </c>
      <c r="M6" s="35">
        <f>+J6/K6</f>
        <v>21.235169491525422</v>
      </c>
      <c r="N6" s="60">
        <f>228022.5+41836+5011.5</f>
        <v>274870</v>
      </c>
      <c r="O6" s="61">
        <f>10456+1868+236</f>
        <v>12560</v>
      </c>
      <c r="P6" s="36">
        <f>N6/O6</f>
        <v>21.884554140127388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28</v>
      </c>
      <c r="D7" s="19">
        <v>44386</v>
      </c>
      <c r="E7" s="20" t="s">
        <v>15</v>
      </c>
      <c r="F7" s="20" t="s">
        <v>15</v>
      </c>
      <c r="G7" s="21">
        <v>4</v>
      </c>
      <c r="H7" s="21">
        <v>4</v>
      </c>
      <c r="I7" s="22">
        <v>2</v>
      </c>
      <c r="J7" s="10">
        <v>2232.5</v>
      </c>
      <c r="K7" s="11">
        <v>89</v>
      </c>
      <c r="L7" s="23">
        <f>K7/H7</f>
        <v>22.25</v>
      </c>
      <c r="M7" s="24">
        <f>+J7/K7</f>
        <v>25.084269662921347</v>
      </c>
      <c r="N7" s="25">
        <f>1140+22290.5+2232.5</f>
        <v>25663</v>
      </c>
      <c r="O7" s="26">
        <f>57+860+89</f>
        <v>1006</v>
      </c>
      <c r="P7" s="27">
        <f>N7/O7</f>
        <v>25.509940357852884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33</v>
      </c>
      <c r="D8" s="19">
        <v>42720</v>
      </c>
      <c r="E8" s="20" t="s">
        <v>15</v>
      </c>
      <c r="F8" s="20" t="s">
        <v>34</v>
      </c>
      <c r="G8" s="21">
        <v>1</v>
      </c>
      <c r="H8" s="21">
        <v>1</v>
      </c>
      <c r="I8" s="22">
        <v>25</v>
      </c>
      <c r="J8" s="10">
        <v>536</v>
      </c>
      <c r="K8" s="11">
        <v>25</v>
      </c>
      <c r="L8" s="23">
        <f>K8/H8</f>
        <v>25</v>
      </c>
      <c r="M8" s="24">
        <f>+J8/K8</f>
        <v>21.44</v>
      </c>
      <c r="N8" s="25">
        <f>92430.8+56100.5+21765.5+12624+4197.8+2428+1078+6308.5+613+2608+204+2496+192+168+14256.02+5227.21+7128.01+4514.4+2019.6+3564+3088.8+1782+540+580+536</f>
        <v>246450.13999999996</v>
      </c>
      <c r="O8" s="26">
        <f>6806+4299+1553+920+389+250+101+924+45+504+26+490+24+21+2851+1045+1426+903+404+713+618+356+36+29+25</f>
        <v>24758</v>
      </c>
      <c r="P8" s="27">
        <f>N8/O8</f>
        <v>9.9543638419904656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18</v>
      </c>
      <c r="D9" s="19">
        <v>43798</v>
      </c>
      <c r="E9" s="20" t="s">
        <v>15</v>
      </c>
      <c r="F9" s="20" t="s">
        <v>19</v>
      </c>
      <c r="G9" s="21">
        <v>3</v>
      </c>
      <c r="H9" s="21">
        <v>3</v>
      </c>
      <c r="I9" s="22">
        <v>18</v>
      </c>
      <c r="J9" s="10">
        <v>533</v>
      </c>
      <c r="K9" s="11">
        <v>22</v>
      </c>
      <c r="L9" s="23">
        <f>K9/H9</f>
        <v>7.333333333333333</v>
      </c>
      <c r="M9" s="24">
        <f>+J9/K9</f>
        <v>24.227272727272727</v>
      </c>
      <c r="N9" s="25">
        <f>35291.5+48192+38988+17228+262+15638+12162+3564+2306+3564+4752+2376+194+930+114+675+269+533</f>
        <v>187038.5</v>
      </c>
      <c r="O9" s="26">
        <f>2413+3488+2602+1575+14+1533+1204+356+144+356+475+238+10+62+6+45+13+22</f>
        <v>14556</v>
      </c>
      <c r="P9" s="27">
        <f>N9/O9</f>
        <v>12.849580928826601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27</v>
      </c>
      <c r="D10" s="19">
        <v>44379</v>
      </c>
      <c r="E10" s="20" t="s">
        <v>15</v>
      </c>
      <c r="F10" s="20" t="s">
        <v>15</v>
      </c>
      <c r="G10" s="21">
        <v>1</v>
      </c>
      <c r="H10" s="21">
        <v>1</v>
      </c>
      <c r="I10" s="22">
        <v>3</v>
      </c>
      <c r="J10" s="10">
        <v>200</v>
      </c>
      <c r="K10" s="11">
        <v>8</v>
      </c>
      <c r="L10" s="23">
        <f t="shared" ref="L10:L11" si="1">K10/H10</f>
        <v>8</v>
      </c>
      <c r="M10" s="24">
        <f t="shared" ref="M10:M11" si="2">+J10/K10</f>
        <v>25</v>
      </c>
      <c r="N10" s="25">
        <f>28632.5+3637+200</f>
        <v>32469.5</v>
      </c>
      <c r="O10" s="26">
        <f>1102+147+8</f>
        <v>1257</v>
      </c>
      <c r="P10" s="27">
        <f t="shared" ref="P10:P11" si="3">N10/O10</f>
        <v>25.830946698488464</v>
      </c>
      <c r="Q10" s="2"/>
      <c r="R10" s="2"/>
      <c r="S10" s="2"/>
    </row>
    <row r="11" spans="1:19" s="8" customFormat="1" ht="22.5" customHeight="1" thickBot="1" x14ac:dyDescent="0.3">
      <c r="B11" s="37">
        <f t="shared" si="0"/>
        <v>6</v>
      </c>
      <c r="C11" s="38" t="s">
        <v>20</v>
      </c>
      <c r="D11" s="39">
        <v>43896</v>
      </c>
      <c r="E11" s="40" t="s">
        <v>15</v>
      </c>
      <c r="F11" s="40" t="s">
        <v>15</v>
      </c>
      <c r="G11" s="41">
        <v>1</v>
      </c>
      <c r="H11" s="41">
        <v>1</v>
      </c>
      <c r="I11" s="42">
        <v>10</v>
      </c>
      <c r="J11" s="43">
        <v>160</v>
      </c>
      <c r="K11" s="44">
        <v>8</v>
      </c>
      <c r="L11" s="45">
        <f t="shared" si="1"/>
        <v>8</v>
      </c>
      <c r="M11" s="46">
        <f t="shared" si="2"/>
        <v>20</v>
      </c>
      <c r="N11" s="47">
        <f>137757.5+2211+330+75+68+179+70+720+945+160</f>
        <v>142515.5</v>
      </c>
      <c r="O11" s="48">
        <f>7791+153+22+5+5+13+5+48+63+8</f>
        <v>8113</v>
      </c>
      <c r="P11" s="49">
        <f t="shared" si="3"/>
        <v>17.566313324294342</v>
      </c>
      <c r="Q11" s="2"/>
      <c r="R11" s="2"/>
      <c r="S11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4.140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4" t="s">
        <v>1</v>
      </c>
      <c r="O2" s="71" t="s">
        <v>29</v>
      </c>
      <c r="P2" s="72"/>
    </row>
    <row r="3" spans="1:19" ht="24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5" t="s">
        <v>2</v>
      </c>
      <c r="O3" s="73" t="s">
        <v>30</v>
      </c>
      <c r="P3" s="74"/>
    </row>
    <row r="4" spans="1:19" s="8" customFormat="1" ht="16.5" customHeight="1" x14ac:dyDescent="0.25">
      <c r="A4" s="6"/>
      <c r="B4" s="7"/>
      <c r="C4" s="75" t="s">
        <v>3</v>
      </c>
      <c r="D4" s="77" t="s">
        <v>4</v>
      </c>
      <c r="E4" s="79" t="s">
        <v>5</v>
      </c>
      <c r="F4" s="79" t="s">
        <v>6</v>
      </c>
      <c r="G4" s="81" t="s">
        <v>17</v>
      </c>
      <c r="H4" s="81" t="s">
        <v>7</v>
      </c>
      <c r="I4" s="83" t="s">
        <v>8</v>
      </c>
      <c r="J4" s="62" t="s">
        <v>9</v>
      </c>
      <c r="K4" s="63"/>
      <c r="L4" s="63"/>
      <c r="M4" s="64"/>
      <c r="N4" s="62" t="s">
        <v>10</v>
      </c>
      <c r="O4" s="65"/>
      <c r="P4" s="66"/>
      <c r="Q4" s="2"/>
      <c r="R4" s="2"/>
      <c r="S4" s="2"/>
    </row>
    <row r="5" spans="1:19" s="8" customFormat="1" ht="15" customHeight="1" thickBot="1" x14ac:dyDescent="0.3">
      <c r="A5" s="6"/>
      <c r="B5" s="12"/>
      <c r="C5" s="76"/>
      <c r="D5" s="78"/>
      <c r="E5" s="80"/>
      <c r="F5" s="80"/>
      <c r="G5" s="82"/>
      <c r="H5" s="82"/>
      <c r="I5" s="84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9" si="0">B5+1</f>
        <v>1</v>
      </c>
      <c r="C6" s="29" t="s">
        <v>26</v>
      </c>
      <c r="D6" s="30">
        <v>44379</v>
      </c>
      <c r="E6" s="31" t="s">
        <v>15</v>
      </c>
      <c r="F6" s="31" t="s">
        <v>15</v>
      </c>
      <c r="G6" s="32">
        <v>59</v>
      </c>
      <c r="H6" s="32">
        <v>59</v>
      </c>
      <c r="I6" s="33">
        <v>2</v>
      </c>
      <c r="J6" s="58">
        <v>41836</v>
      </c>
      <c r="K6" s="59">
        <v>1868</v>
      </c>
      <c r="L6" s="34">
        <f>K6/H6</f>
        <v>31.661016949152543</v>
      </c>
      <c r="M6" s="35">
        <f>+J6/K6</f>
        <v>22.396145610278374</v>
      </c>
      <c r="N6" s="60">
        <f>228022.5+41836</f>
        <v>269858.5</v>
      </c>
      <c r="O6" s="61">
        <f>10456+1868</f>
        <v>12324</v>
      </c>
      <c r="P6" s="36">
        <f>N6/O6</f>
        <v>21.896989613761765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28</v>
      </c>
      <c r="D7" s="19">
        <v>44386</v>
      </c>
      <c r="E7" s="20" t="s">
        <v>15</v>
      </c>
      <c r="F7" s="20" t="s">
        <v>15</v>
      </c>
      <c r="G7" s="21">
        <v>28</v>
      </c>
      <c r="H7" s="21">
        <v>28</v>
      </c>
      <c r="I7" s="22">
        <v>1</v>
      </c>
      <c r="J7" s="10">
        <v>22290.5</v>
      </c>
      <c r="K7" s="11">
        <v>860</v>
      </c>
      <c r="L7" s="23">
        <f>K7/H7</f>
        <v>30.714285714285715</v>
      </c>
      <c r="M7" s="24">
        <f>+J7/K7</f>
        <v>25.919186046511626</v>
      </c>
      <c r="N7" s="25">
        <f>1140+22290.5</f>
        <v>23430.5</v>
      </c>
      <c r="O7" s="26">
        <f>57+860</f>
        <v>917</v>
      </c>
      <c r="P7" s="27">
        <f>N7/O7</f>
        <v>25.551254089422027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27</v>
      </c>
      <c r="D8" s="19">
        <v>44379</v>
      </c>
      <c r="E8" s="20" t="s">
        <v>15</v>
      </c>
      <c r="F8" s="20" t="s">
        <v>15</v>
      </c>
      <c r="G8" s="21">
        <v>5</v>
      </c>
      <c r="H8" s="21">
        <v>5</v>
      </c>
      <c r="I8" s="22">
        <v>2</v>
      </c>
      <c r="J8" s="10">
        <v>3637</v>
      </c>
      <c r="K8" s="11">
        <v>147</v>
      </c>
      <c r="L8" s="23">
        <f t="shared" ref="L8" si="1">K8/H8</f>
        <v>29.4</v>
      </c>
      <c r="M8" s="24">
        <f t="shared" ref="M8" si="2">+J8/K8</f>
        <v>24.741496598639454</v>
      </c>
      <c r="N8" s="25">
        <f>28632.5+3637</f>
        <v>32269.5</v>
      </c>
      <c r="O8" s="26">
        <f>1102+147</f>
        <v>1249</v>
      </c>
      <c r="P8" s="27">
        <f t="shared" ref="P8" si="3">N8/O8</f>
        <v>25.836269015212171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20</v>
      </c>
      <c r="D9" s="19">
        <v>43896</v>
      </c>
      <c r="E9" s="20" t="s">
        <v>15</v>
      </c>
      <c r="F9" s="20" t="s">
        <v>15</v>
      </c>
      <c r="G9" s="21">
        <v>1</v>
      </c>
      <c r="H9" s="21">
        <v>1</v>
      </c>
      <c r="I9" s="22">
        <v>9</v>
      </c>
      <c r="J9" s="10">
        <v>945</v>
      </c>
      <c r="K9" s="11">
        <v>63</v>
      </c>
      <c r="L9" s="23">
        <f t="shared" ref="L9" si="4">K9/H9</f>
        <v>63</v>
      </c>
      <c r="M9" s="24">
        <f t="shared" ref="M9" si="5">+J9/K9</f>
        <v>15</v>
      </c>
      <c r="N9" s="25">
        <f>137757.5+2211+330+75+68+179+70+720+945</f>
        <v>142355.5</v>
      </c>
      <c r="O9" s="26">
        <f>7791+153+22+5+5+13+5+48+63</f>
        <v>8105</v>
      </c>
      <c r="P9" s="27">
        <f t="shared" ref="P9" si="6">N9/O9</f>
        <v>17.563911165946948</v>
      </c>
      <c r="Q9" s="2"/>
      <c r="R9" s="2"/>
      <c r="S9" s="2"/>
    </row>
    <row r="10" spans="1:19" s="8" customFormat="1" ht="22.5" customHeight="1" thickBot="1" x14ac:dyDescent="0.3">
      <c r="B10" s="37">
        <f t="shared" ref="B10" si="7">B9+1</f>
        <v>5</v>
      </c>
      <c r="C10" s="38" t="s">
        <v>21</v>
      </c>
      <c r="D10" s="39">
        <v>44165</v>
      </c>
      <c r="E10" s="40" t="s">
        <v>15</v>
      </c>
      <c r="F10" s="40" t="s">
        <v>22</v>
      </c>
      <c r="G10" s="41">
        <v>2</v>
      </c>
      <c r="H10" s="41">
        <v>2</v>
      </c>
      <c r="I10" s="42">
        <v>5</v>
      </c>
      <c r="J10" s="43">
        <v>620</v>
      </c>
      <c r="K10" s="44">
        <v>29</v>
      </c>
      <c r="L10" s="45">
        <f t="shared" ref="L10" si="8">K10/H10</f>
        <v>14.5</v>
      </c>
      <c r="M10" s="46">
        <f t="shared" ref="M10" si="9">+J10/K10</f>
        <v>21.379310344827587</v>
      </c>
      <c r="N10" s="47">
        <f>77613+14274.5+2948+225+620</f>
        <v>95680.5</v>
      </c>
      <c r="O10" s="48">
        <f>4531+705+144+9+29</f>
        <v>5418</v>
      </c>
      <c r="P10" s="49">
        <f t="shared" ref="P10" si="10">N10/O10</f>
        <v>17.659745293466223</v>
      </c>
      <c r="Q10" s="2"/>
      <c r="R10" s="2"/>
      <c r="S1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4.140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4" t="s">
        <v>1</v>
      </c>
      <c r="O2" s="71" t="s">
        <v>24</v>
      </c>
      <c r="P2" s="72"/>
    </row>
    <row r="3" spans="1:19" ht="24" customHeight="1" thickBot="1" x14ac:dyDescent="0.3"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5" t="s">
        <v>2</v>
      </c>
      <c r="O3" s="73" t="s">
        <v>25</v>
      </c>
      <c r="P3" s="74"/>
    </row>
    <row r="4" spans="1:19" s="8" customFormat="1" ht="16.5" customHeight="1" x14ac:dyDescent="0.25">
      <c r="A4" s="6"/>
      <c r="B4" s="7"/>
      <c r="C4" s="75" t="s">
        <v>3</v>
      </c>
      <c r="D4" s="77" t="s">
        <v>4</v>
      </c>
      <c r="E4" s="79" t="s">
        <v>5</v>
      </c>
      <c r="F4" s="79" t="s">
        <v>6</v>
      </c>
      <c r="G4" s="81" t="s">
        <v>17</v>
      </c>
      <c r="H4" s="81" t="s">
        <v>7</v>
      </c>
      <c r="I4" s="83" t="s">
        <v>8</v>
      </c>
      <c r="J4" s="62" t="s">
        <v>9</v>
      </c>
      <c r="K4" s="63"/>
      <c r="L4" s="63"/>
      <c r="M4" s="64"/>
      <c r="N4" s="62" t="s">
        <v>10</v>
      </c>
      <c r="O4" s="65"/>
      <c r="P4" s="66"/>
      <c r="Q4" s="2"/>
      <c r="R4" s="2"/>
      <c r="S4" s="2"/>
    </row>
    <row r="5" spans="1:19" s="8" customFormat="1" ht="15" customHeight="1" thickBot="1" x14ac:dyDescent="0.3">
      <c r="A5" s="6"/>
      <c r="B5" s="12"/>
      <c r="C5" s="76"/>
      <c r="D5" s="78"/>
      <c r="E5" s="80"/>
      <c r="F5" s="80"/>
      <c r="G5" s="82"/>
      <c r="H5" s="82"/>
      <c r="I5" s="84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26</v>
      </c>
      <c r="D6" s="30">
        <v>44379</v>
      </c>
      <c r="E6" s="31" t="s">
        <v>15</v>
      </c>
      <c r="F6" s="31" t="s">
        <v>15</v>
      </c>
      <c r="G6" s="32">
        <v>120</v>
      </c>
      <c r="H6" s="32">
        <v>120</v>
      </c>
      <c r="I6" s="33">
        <v>1</v>
      </c>
      <c r="J6" s="50">
        <v>228022.5</v>
      </c>
      <c r="K6" s="51">
        <v>10456</v>
      </c>
      <c r="L6" s="34">
        <f>K6/H6</f>
        <v>87.13333333333334</v>
      </c>
      <c r="M6" s="35">
        <f>+J6/K6</f>
        <v>21.807813695485844</v>
      </c>
      <c r="N6" s="52">
        <f>228022.5</f>
        <v>228022.5</v>
      </c>
      <c r="O6" s="53">
        <f>10456</f>
        <v>10456</v>
      </c>
      <c r="P6" s="36">
        <f>N6/O6</f>
        <v>21.807813695485844</v>
      </c>
      <c r="Q6" s="2"/>
      <c r="R6" s="2"/>
      <c r="S6" s="2"/>
    </row>
    <row r="7" spans="1:19" s="8" customFormat="1" ht="22.5" customHeight="1" x14ac:dyDescent="0.25">
      <c r="B7" s="9">
        <f t="shared" ref="B7:B12" si="0">B6+1</f>
        <v>2</v>
      </c>
      <c r="C7" s="18" t="s">
        <v>27</v>
      </c>
      <c r="D7" s="19">
        <v>44379</v>
      </c>
      <c r="E7" s="20" t="s">
        <v>15</v>
      </c>
      <c r="F7" s="20" t="s">
        <v>15</v>
      </c>
      <c r="G7" s="21">
        <v>30</v>
      </c>
      <c r="H7" s="21">
        <v>30</v>
      </c>
      <c r="I7" s="22">
        <v>1</v>
      </c>
      <c r="J7" s="56">
        <v>28632.5</v>
      </c>
      <c r="K7" s="57">
        <v>1102</v>
      </c>
      <c r="L7" s="23">
        <f t="shared" ref="L7" si="1">K7/H7</f>
        <v>36.733333333333334</v>
      </c>
      <c r="M7" s="24">
        <f t="shared" ref="M7" si="2">+J7/K7</f>
        <v>25.982304900181489</v>
      </c>
      <c r="N7" s="54">
        <f>28632.5</f>
        <v>28632.5</v>
      </c>
      <c r="O7" s="55">
        <f>1102</f>
        <v>1102</v>
      </c>
      <c r="P7" s="27">
        <f t="shared" ref="P7" si="3">N7/O7</f>
        <v>25.982304900181489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23</v>
      </c>
      <c r="D8" s="19">
        <v>44148</v>
      </c>
      <c r="E8" s="20" t="s">
        <v>15</v>
      </c>
      <c r="F8" s="20" t="s">
        <v>16</v>
      </c>
      <c r="G8" s="21">
        <v>1</v>
      </c>
      <c r="H8" s="21">
        <v>1</v>
      </c>
      <c r="I8" s="22">
        <v>3</v>
      </c>
      <c r="J8" s="10">
        <v>1820</v>
      </c>
      <c r="K8" s="11">
        <v>91</v>
      </c>
      <c r="L8" s="23">
        <f>K8/H8</f>
        <v>91</v>
      </c>
      <c r="M8" s="24">
        <f>+J8/K8</f>
        <v>20</v>
      </c>
      <c r="N8" s="25">
        <f>20563+1139.5+1820</f>
        <v>23522.5</v>
      </c>
      <c r="O8" s="26">
        <f>870+40+91</f>
        <v>1001</v>
      </c>
      <c r="P8" s="27">
        <f>N8/O8</f>
        <v>23.499000999000998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28</v>
      </c>
      <c r="D9" s="19">
        <v>44386</v>
      </c>
      <c r="E9" s="20" t="s">
        <v>15</v>
      </c>
      <c r="F9" s="20" t="s">
        <v>15</v>
      </c>
      <c r="G9" s="21">
        <v>1</v>
      </c>
      <c r="H9" s="21">
        <v>1</v>
      </c>
      <c r="I9" s="22">
        <v>0</v>
      </c>
      <c r="J9" s="10">
        <v>1140</v>
      </c>
      <c r="K9" s="11">
        <v>57</v>
      </c>
      <c r="L9" s="23">
        <f>K9/H9</f>
        <v>57</v>
      </c>
      <c r="M9" s="24">
        <f>+J9/K9</f>
        <v>20</v>
      </c>
      <c r="N9" s="25">
        <f>1140</f>
        <v>1140</v>
      </c>
      <c r="O9" s="26">
        <f>57</f>
        <v>57</v>
      </c>
      <c r="P9" s="27">
        <f>N9/O9</f>
        <v>20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20</v>
      </c>
      <c r="D10" s="19">
        <v>43896</v>
      </c>
      <c r="E10" s="20" t="s">
        <v>15</v>
      </c>
      <c r="F10" s="20" t="s">
        <v>15</v>
      </c>
      <c r="G10" s="21">
        <v>1</v>
      </c>
      <c r="H10" s="21">
        <v>1</v>
      </c>
      <c r="I10" s="22">
        <v>8</v>
      </c>
      <c r="J10" s="10">
        <v>720</v>
      </c>
      <c r="K10" s="11">
        <v>48</v>
      </c>
      <c r="L10" s="23">
        <f t="shared" ref="L10" si="4">K10/H10</f>
        <v>48</v>
      </c>
      <c r="M10" s="24">
        <f t="shared" ref="M10" si="5">+J10/K10</f>
        <v>15</v>
      </c>
      <c r="N10" s="25">
        <f>137757.5+2211+330+75+68+179+70+720</f>
        <v>141410.5</v>
      </c>
      <c r="O10" s="26">
        <f>7791+153+22+5+5+13+5+48</f>
        <v>8042</v>
      </c>
      <c r="P10" s="27">
        <f t="shared" ref="P10" si="6">N10/O10</f>
        <v>17.583996518279037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18</v>
      </c>
      <c r="D11" s="19">
        <v>43798</v>
      </c>
      <c r="E11" s="20" t="s">
        <v>15</v>
      </c>
      <c r="F11" s="20" t="s">
        <v>19</v>
      </c>
      <c r="G11" s="21">
        <v>1</v>
      </c>
      <c r="H11" s="21">
        <v>1</v>
      </c>
      <c r="I11" s="22">
        <v>17</v>
      </c>
      <c r="J11" s="10">
        <v>269</v>
      </c>
      <c r="K11" s="11">
        <v>13</v>
      </c>
      <c r="L11" s="23">
        <f>K11/H11</f>
        <v>13</v>
      </c>
      <c r="M11" s="24">
        <f>+J11/K11</f>
        <v>20.692307692307693</v>
      </c>
      <c r="N11" s="25">
        <f>35291.5+48192+38988+17228+262+15638+12162+3564+2306+3564+4752+2376+194+930+114+675+269</f>
        <v>186505.5</v>
      </c>
      <c r="O11" s="26">
        <f>2413+3488+2602+1575+14+1533+1204+356+144+356+475+238+10+62+6+45+13</f>
        <v>14534</v>
      </c>
      <c r="P11" s="27">
        <f>N11/O11</f>
        <v>12.83235860740333</v>
      </c>
      <c r="Q11" s="2"/>
      <c r="R11" s="2"/>
      <c r="S11" s="2"/>
    </row>
    <row r="12" spans="1:19" s="8" customFormat="1" ht="22.5" customHeight="1" thickBot="1" x14ac:dyDescent="0.3">
      <c r="B12" s="37">
        <f t="shared" si="0"/>
        <v>7</v>
      </c>
      <c r="C12" s="38" t="s">
        <v>21</v>
      </c>
      <c r="D12" s="39">
        <v>44165</v>
      </c>
      <c r="E12" s="40" t="s">
        <v>15</v>
      </c>
      <c r="F12" s="40" t="s">
        <v>22</v>
      </c>
      <c r="G12" s="41">
        <v>1</v>
      </c>
      <c r="H12" s="41">
        <v>1</v>
      </c>
      <c r="I12" s="42">
        <v>4</v>
      </c>
      <c r="J12" s="43">
        <v>225</v>
      </c>
      <c r="K12" s="44">
        <v>9</v>
      </c>
      <c r="L12" s="45">
        <f t="shared" ref="L12" si="7">K12/H12</f>
        <v>9</v>
      </c>
      <c r="M12" s="46">
        <f t="shared" ref="M12" si="8">+J12/K12</f>
        <v>25</v>
      </c>
      <c r="N12" s="47">
        <f>77613+14274.5+2948+225</f>
        <v>95060.5</v>
      </c>
      <c r="O12" s="48">
        <f>4531+705+144+9</f>
        <v>5389</v>
      </c>
      <c r="P12" s="49">
        <f t="shared" ref="P12" si="9">N12/O12</f>
        <v>17.639729077750975</v>
      </c>
      <c r="Q12" s="2"/>
      <c r="R12" s="2"/>
      <c r="S12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2021_31_30.07-05.08</vt:lpstr>
      <vt:lpstr>2021_30_23-29.07</vt:lpstr>
      <vt:lpstr>2021_29_16-22.07</vt:lpstr>
      <vt:lpstr>2021_28_09-15.07</vt:lpstr>
      <vt:lpstr>2021_27_02-08.07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Kemal URAL</cp:lastModifiedBy>
  <cp:lastPrinted>2021-07-16T09:46:53Z</cp:lastPrinted>
  <dcterms:created xsi:type="dcterms:W3CDTF">2016-01-04T11:10:43Z</dcterms:created>
  <dcterms:modified xsi:type="dcterms:W3CDTF">2021-08-06T10:18:06Z</dcterms:modified>
</cp:coreProperties>
</file>