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15" tabRatio="857"/>
  </bookViews>
  <sheets>
    <sheet name="2020_31" sheetId="243" r:id="rId1"/>
    <sheet name="2020_30" sheetId="242" r:id="rId2"/>
    <sheet name="2020_29" sheetId="241" r:id="rId3"/>
    <sheet name="2020_28" sheetId="240" r:id="rId4"/>
    <sheet name="2020_27" sheetId="239" r:id="rId5"/>
  </sheets>
  <externalReferences>
    <externalReference r:id="rId6"/>
  </externalReferences>
  <definedNames>
    <definedName name="_xlnm._FilterDatabase" localSheetId="4" hidden="1">'2020_27'!$A$1:$O$3</definedName>
    <definedName name="_xlnm._FilterDatabase" localSheetId="3" hidden="1">'2020_28'!$A$1:$O$3</definedName>
    <definedName name="_xlnm._FilterDatabase" localSheetId="2" hidden="1">'2020_29'!$A$1:$O$3</definedName>
    <definedName name="_xlnm._FilterDatabase" localSheetId="1" hidden="1">'2020_30'!$A$1:$O$3</definedName>
    <definedName name="_xlnm._FilterDatabase" localSheetId="0" hidden="1">'2020_31'!$A$1:$O$3</definedName>
    <definedName name="öngh">[1]Hafta1!$N$69</definedName>
    <definedName name="öngk">[1]Hafta1!$N$68</definedName>
  </definedNames>
  <calcPr calcId="145621"/>
</workbook>
</file>

<file path=xl/calcChain.xml><?xml version="1.0" encoding="utf-8"?>
<calcChain xmlns="http://schemas.openxmlformats.org/spreadsheetml/2006/main">
  <c r="A6" i="243" l="1"/>
  <c r="A7" i="243"/>
  <c r="A8" i="243"/>
  <c r="A9" i="243"/>
  <c r="A10" i="243"/>
  <c r="A11" i="243"/>
  <c r="A12" i="243"/>
  <c r="A13" i="243"/>
  <c r="A14" i="243" s="1"/>
  <c r="A15" i="243" s="1"/>
  <c r="N7" i="243"/>
  <c r="M7" i="243"/>
  <c r="N4" i="243"/>
  <c r="M4" i="243"/>
  <c r="N9" i="243"/>
  <c r="M9" i="243"/>
  <c r="N6" i="243"/>
  <c r="M6" i="243"/>
  <c r="N11" i="243" l="1"/>
  <c r="M11" i="243"/>
  <c r="N8" i="243"/>
  <c r="M8" i="243"/>
  <c r="N10" i="243"/>
  <c r="M10" i="243"/>
  <c r="N12" i="243"/>
  <c r="M12" i="243"/>
  <c r="N14" i="243"/>
  <c r="M14" i="243"/>
  <c r="N15" i="243"/>
  <c r="M15" i="243"/>
  <c r="N13" i="243"/>
  <c r="M13" i="243"/>
  <c r="N5" i="243"/>
  <c r="M5" i="243"/>
  <c r="O6" i="243" l="1"/>
  <c r="L6" i="243"/>
  <c r="K6" i="243"/>
  <c r="O13" i="243" l="1"/>
  <c r="L13" i="243"/>
  <c r="K13" i="243"/>
  <c r="O7" i="243"/>
  <c r="L7" i="243"/>
  <c r="K7" i="243"/>
  <c r="O15" i="243" l="1"/>
  <c r="L15" i="243"/>
  <c r="K15" i="243"/>
  <c r="O5" i="243"/>
  <c r="L5" i="243"/>
  <c r="K5" i="243"/>
  <c r="O4" i="243"/>
  <c r="L4" i="243"/>
  <c r="K4" i="243"/>
  <c r="A4" i="243"/>
  <c r="A5" i="243" s="1"/>
  <c r="L12" i="243"/>
  <c r="K12" i="243"/>
  <c r="L9" i="243"/>
  <c r="K9" i="243"/>
  <c r="L14" i="243"/>
  <c r="K14" i="243"/>
  <c r="L11" i="243"/>
  <c r="K11" i="243"/>
  <c r="O8" i="243"/>
  <c r="L8" i="243"/>
  <c r="K8" i="243"/>
  <c r="L10" i="243"/>
  <c r="K10" i="243"/>
  <c r="O10" i="243" l="1"/>
  <c r="O11" i="243"/>
  <c r="O9" i="243"/>
  <c r="O12" i="243"/>
  <c r="O14" i="243"/>
  <c r="A6" i="242"/>
  <c r="A7" i="242" s="1"/>
  <c r="A8" i="242" s="1"/>
  <c r="A9" i="242" s="1"/>
  <c r="A10" i="242" s="1"/>
  <c r="A11" i="242" s="1"/>
  <c r="A12" i="242" s="1"/>
  <c r="N9" i="242"/>
  <c r="M9" i="242"/>
  <c r="N5" i="242"/>
  <c r="M5" i="242"/>
  <c r="N4" i="242"/>
  <c r="M4" i="242"/>
  <c r="N12" i="242"/>
  <c r="M12" i="242"/>
  <c r="N7" i="242"/>
  <c r="M7" i="242"/>
  <c r="N8" i="242"/>
  <c r="M8" i="242"/>
  <c r="N11" i="242"/>
  <c r="M11" i="242"/>
  <c r="N10" i="242"/>
  <c r="M10" i="242"/>
  <c r="N6" i="242"/>
  <c r="M6" i="242"/>
  <c r="O10" i="242" l="1"/>
  <c r="L10" i="242"/>
  <c r="K10" i="242"/>
  <c r="O11" i="242" l="1"/>
  <c r="L11" i="242"/>
  <c r="K11" i="242"/>
  <c r="O6" i="242" l="1"/>
  <c r="L6" i="242"/>
  <c r="K6" i="242"/>
  <c r="O9" i="242"/>
  <c r="L9" i="242"/>
  <c r="K9" i="242"/>
  <c r="A5" i="242"/>
  <c r="O12" i="242" l="1"/>
  <c r="L12" i="242"/>
  <c r="K12" i="242"/>
  <c r="O8" i="242"/>
  <c r="L8" i="242"/>
  <c r="K8" i="242"/>
  <c r="O7" i="242"/>
  <c r="L7" i="242"/>
  <c r="K7" i="242"/>
  <c r="O5" i="242"/>
  <c r="L5" i="242"/>
  <c r="K5" i="242"/>
  <c r="O4" i="242"/>
  <c r="L4" i="242"/>
  <c r="K4" i="242"/>
  <c r="A6" i="241" l="1"/>
  <c r="A7" i="241" s="1"/>
  <c r="A8" i="241" s="1"/>
  <c r="A5" i="241"/>
  <c r="N4" i="241"/>
  <c r="M4" i="241"/>
  <c r="N8" i="241"/>
  <c r="M8" i="241"/>
  <c r="N6" i="241"/>
  <c r="M6" i="241"/>
  <c r="N7" i="241"/>
  <c r="M7" i="241"/>
  <c r="N5" i="241"/>
  <c r="M5" i="241"/>
  <c r="O8" i="241" l="1"/>
  <c r="L8" i="241"/>
  <c r="K8" i="241"/>
  <c r="L4" i="241"/>
  <c r="K4" i="241"/>
  <c r="O5" i="241"/>
  <c r="L5" i="241"/>
  <c r="K5" i="241"/>
  <c r="L7" i="241"/>
  <c r="K7" i="241"/>
  <c r="O6" i="241"/>
  <c r="L6" i="241"/>
  <c r="K6" i="241"/>
  <c r="O7" i="241" l="1"/>
  <c r="O4" i="241"/>
  <c r="N7" i="240"/>
  <c r="M7" i="240"/>
  <c r="N5" i="240"/>
  <c r="M5" i="240"/>
  <c r="N10" i="240" l="1"/>
  <c r="M10" i="240"/>
  <c r="N6" i="240"/>
  <c r="M6" i="240"/>
  <c r="N4" i="240"/>
  <c r="M4" i="240"/>
  <c r="N8" i="240"/>
  <c r="M8" i="240"/>
  <c r="N9" i="240"/>
  <c r="M9" i="240"/>
  <c r="L8" i="240"/>
  <c r="K8" i="240"/>
  <c r="O7" i="240"/>
  <c r="L7" i="240"/>
  <c r="K7" i="240"/>
  <c r="O8" i="240" l="1"/>
  <c r="O10" i="240"/>
  <c r="L10" i="240"/>
  <c r="K10" i="240"/>
  <c r="O9" i="240" l="1"/>
  <c r="L9" i="240"/>
  <c r="K9" i="240"/>
  <c r="O6" i="240"/>
  <c r="L6" i="240"/>
  <c r="K6" i="240"/>
  <c r="A5" i="240"/>
  <c r="A6" i="240" s="1"/>
  <c r="A7" i="240" s="1"/>
  <c r="A8" i="240" s="1"/>
  <c r="A9" i="240" s="1"/>
  <c r="A10" i="240" s="1"/>
  <c r="L5" i="240"/>
  <c r="K5" i="240"/>
  <c r="L4" i="240"/>
  <c r="K4" i="240"/>
  <c r="O4" i="240" l="1"/>
  <c r="O5" i="240"/>
  <c r="A5" i="239"/>
  <c r="A6" i="239" s="1"/>
  <c r="A7" i="239" s="1"/>
  <c r="M7" i="239"/>
  <c r="N7" i="239"/>
  <c r="N6" i="239"/>
  <c r="M6" i="239"/>
  <c r="N5" i="239"/>
  <c r="M5" i="239"/>
  <c r="N4" i="239"/>
  <c r="M4" i="239"/>
  <c r="O5" i="239" l="1"/>
  <c r="O4" i="239"/>
  <c r="L5" i="239"/>
  <c r="L4" i="239"/>
  <c r="K5" i="239"/>
  <c r="K4" i="239"/>
  <c r="O6" i="239"/>
  <c r="L6" i="239"/>
  <c r="K6" i="239"/>
  <c r="O7" i="239"/>
  <c r="L7" i="239"/>
  <c r="K7" i="239"/>
</calcChain>
</file>

<file path=xl/sharedStrings.xml><?xml version="1.0" encoding="utf-8"?>
<sst xmlns="http://schemas.openxmlformats.org/spreadsheetml/2006/main" count="201" uniqueCount="47">
  <si>
    <t>Film Adı</t>
  </si>
  <si>
    <t>Viz. Tarihi</t>
  </si>
  <si>
    <t>Dağıtım</t>
  </si>
  <si>
    <t>Şirket</t>
  </si>
  <si>
    <t>HAFTA TOPLAM</t>
  </si>
  <si>
    <t>GENEL TOPLAM</t>
  </si>
  <si>
    <t>Hasılat</t>
  </si>
  <si>
    <t>Seyirci</t>
  </si>
  <si>
    <t>Salon Ort.</t>
  </si>
  <si>
    <t>Bilet Ort.</t>
  </si>
  <si>
    <t>Başka Sinema Dağıtım Haftalık Rakamlar</t>
  </si>
  <si>
    <t>BS Dağıtım</t>
  </si>
  <si>
    <t>Lok.</t>
  </si>
  <si>
    <t>Salon</t>
  </si>
  <si>
    <t>Hafta</t>
  </si>
  <si>
    <t>Bir Film</t>
  </si>
  <si>
    <t>GÜVERCİN HIRSIZLARI</t>
  </si>
  <si>
    <t>Fanus-u Hayal Film</t>
  </si>
  <si>
    <t>CLİMAX</t>
  </si>
  <si>
    <t>Hafta: 2021/27
 02 - 08 Temmuz 2021</t>
  </si>
  <si>
    <t>UNDINE</t>
  </si>
  <si>
    <t>LUX AETERNA</t>
  </si>
  <si>
    <t>Hafta: 2021/28
 09 - 15 Temmuz 2021</t>
  </si>
  <si>
    <t>LA HAINE</t>
  </si>
  <si>
    <t>Mars Prod.</t>
  </si>
  <si>
    <t>SPRING BLOSSOM</t>
  </si>
  <si>
    <t>KAPAN</t>
  </si>
  <si>
    <t>Zürafa Film</t>
  </si>
  <si>
    <t>SUMMER OF 85</t>
  </si>
  <si>
    <t>UZUN ZAMAN ÖNCE</t>
  </si>
  <si>
    <t>CSC Film, Kuzen Film, Filmada</t>
  </si>
  <si>
    <t>Hafta: 2021/29
 16 - 22 Temmuz 2021</t>
  </si>
  <si>
    <t>Hafta: 2021/30
 23 - 29 Temmuz 2021</t>
  </si>
  <si>
    <t>NEVER GONNA SNOW AGAIN</t>
  </si>
  <si>
    <t>PLAZA</t>
  </si>
  <si>
    <t>Kalavara Film</t>
  </si>
  <si>
    <t>GÖRÜLMÜŞTÜR</t>
  </si>
  <si>
    <t>+90 Film Yapım</t>
  </si>
  <si>
    <t>CAPHARNAUM</t>
  </si>
  <si>
    <t>Bir Film - Mars Prodüksiyon - Filma</t>
  </si>
  <si>
    <t>Hafta: 2021/31
 30 Temmuz - 05 Ağustos 2021</t>
  </si>
  <si>
    <t>SKIES OF LEBANON</t>
  </si>
  <si>
    <t>MAINSTREAM</t>
  </si>
  <si>
    <t>RAN</t>
  </si>
  <si>
    <t>COLD WAR</t>
  </si>
  <si>
    <t>THE OTHER SIDE OF HOPE</t>
  </si>
  <si>
    <t>Filmartı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</si>
</sst>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T_L_-;\-* #,##0.00\ _T_L_-;_-* &quot;-&quot;??\ _T_L_-;_-@_-"/>
    <numFmt numFmtId="164" formatCode="dd/mm/yy;@"/>
    <numFmt numFmtId="165" formatCode="0.00\ "/>
    <numFmt numFmtId="166" formatCode="#,##0\ "/>
    <numFmt numFmtId="167" formatCode="#,##0.00\ &quot;TL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</xf>
    <xf numFmtId="167" fontId="2" fillId="0" borderId="15" xfId="0" applyNumberFormat="1" applyFont="1" applyFill="1" applyBorder="1" applyAlignment="1" applyProtection="1">
      <alignment horizontal="center" vertical="center" wrapText="1"/>
    </xf>
    <xf numFmtId="167" fontId="2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64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167" fontId="5" fillId="2" borderId="13" xfId="0" applyNumberFormat="1" applyFont="1" applyFill="1" applyBorder="1" applyAlignment="1">
      <alignment horizontal="right" vertical="center" shrinkToFit="1"/>
    </xf>
    <xf numFmtId="3" fontId="5" fillId="2" borderId="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17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67" fontId="3" fillId="0" borderId="12" xfId="0" applyNumberFormat="1" applyFont="1" applyFill="1" applyBorder="1" applyAlignment="1">
      <alignment horizontal="right" vertical="center" shrinkToFit="1"/>
    </xf>
    <xf numFmtId="0" fontId="3" fillId="2" borderId="12" xfId="0" applyFont="1" applyFill="1" applyBorder="1" applyAlignment="1">
      <alignment horizontal="left" vertical="center" shrinkToFit="1"/>
    </xf>
    <xf numFmtId="43" fontId="2" fillId="0" borderId="8" xfId="1" applyFont="1" applyFill="1" applyBorder="1" applyAlignment="1" applyProtection="1">
      <alignment vertical="center"/>
    </xf>
    <xf numFmtId="43" fontId="2" fillId="0" borderId="20" xfId="1" applyFont="1" applyFill="1" applyBorder="1" applyAlignment="1" applyProtection="1">
      <alignment vertical="center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164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left" vertical="center" shrinkToFit="1"/>
    </xf>
    <xf numFmtId="164" fontId="3" fillId="2" borderId="2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67" fontId="3" fillId="0" borderId="4" xfId="0" applyNumberFormat="1" applyFont="1" applyFill="1" applyBorder="1" applyAlignment="1">
      <alignment horizontal="right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167" fontId="5" fillId="2" borderId="6" xfId="0" applyNumberFormat="1" applyFont="1" applyFill="1" applyBorder="1" applyAlignment="1">
      <alignment horizontal="right" vertical="center" shrinkToFit="1"/>
    </xf>
    <xf numFmtId="167" fontId="3" fillId="0" borderId="23" xfId="0" applyNumberFormat="1" applyFont="1" applyFill="1" applyBorder="1" applyAlignment="1">
      <alignment horizontal="right" vertical="center" shrinkToFit="1"/>
    </xf>
    <xf numFmtId="3" fontId="3" fillId="0" borderId="24" xfId="0" applyNumberFormat="1" applyFont="1" applyFill="1" applyBorder="1" applyAlignment="1">
      <alignment horizontal="center" vertical="center" shrinkToFit="1"/>
    </xf>
    <xf numFmtId="3" fontId="5" fillId="2" borderId="24" xfId="0" applyNumberFormat="1" applyFont="1" applyFill="1" applyBorder="1" applyAlignment="1">
      <alignment horizontal="center" vertical="center" shrinkToFit="1"/>
    </xf>
    <xf numFmtId="167" fontId="5" fillId="2" borderId="25" xfId="0" applyNumberFormat="1" applyFont="1" applyFill="1" applyBorder="1" applyAlignment="1">
      <alignment horizontal="right" vertical="center" shrinkToFit="1"/>
    </xf>
    <xf numFmtId="165" fontId="2" fillId="0" borderId="4" xfId="0" applyNumberFormat="1" applyFont="1" applyFill="1" applyBorder="1" applyAlignment="1" applyProtection="1">
      <alignment horizontal="center" vertical="center"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43" fontId="2" fillId="0" borderId="4" xfId="1" applyFont="1" applyFill="1" applyBorder="1" applyAlignment="1" applyProtection="1">
      <alignment horizontal="center" vertical="center"/>
    </xf>
    <xf numFmtId="43" fontId="2" fillId="0" borderId="16" xfId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Theatrical\Films\2011\2011_08_19%20-%20The%20Ages%20of%20Love\The%20Ages%20of%20Love%20-%20Box%20Off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fta22"/>
      <sheetName val="Hafta21"/>
      <sheetName val="Hafta20"/>
      <sheetName val="Hafta19"/>
      <sheetName val="Hafta18"/>
      <sheetName val="Hafta17"/>
      <sheetName val="Hafta16"/>
      <sheetName val="Hafta15"/>
      <sheetName val="Hafta14"/>
      <sheetName val="Hafta13"/>
      <sheetName val="Hafta12"/>
      <sheetName val="Hafta11"/>
      <sheetName val="Hafta10"/>
      <sheetName val="Hafta9"/>
      <sheetName val="Hafta8"/>
      <sheetName val="Hafta7"/>
      <sheetName val="Hafta6"/>
      <sheetName val="Hafta5"/>
      <sheetName val="Hafta4"/>
      <sheetName val="Hafta3"/>
      <sheetName val="Hafta2"/>
      <sheetName val="Haft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8">
          <cell r="N68">
            <v>753</v>
          </cell>
        </row>
        <row r="69">
          <cell r="N69">
            <v>13637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showGridLines="0" tabSelected="1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40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f t="shared" ref="A4:A15" si="0">A3+1</f>
        <v>1</v>
      </c>
      <c r="B4" s="30" t="s">
        <v>41</v>
      </c>
      <c r="C4" s="31">
        <v>44407</v>
      </c>
      <c r="D4" s="32" t="s">
        <v>11</v>
      </c>
      <c r="E4" s="32" t="s">
        <v>15</v>
      </c>
      <c r="F4" s="33">
        <v>18</v>
      </c>
      <c r="G4" s="33">
        <v>18</v>
      </c>
      <c r="H4" s="34">
        <v>1</v>
      </c>
      <c r="I4" s="40">
        <v>17364</v>
      </c>
      <c r="J4" s="41">
        <v>853</v>
      </c>
      <c r="K4" s="42">
        <f>J4/G4</f>
        <v>47.388888888888886</v>
      </c>
      <c r="L4" s="43">
        <f>I4/J4</f>
        <v>20.356389214536929</v>
      </c>
      <c r="M4" s="40">
        <f>17364</f>
        <v>17364</v>
      </c>
      <c r="N4" s="41">
        <f>853</f>
        <v>853</v>
      </c>
      <c r="O4" s="43">
        <f t="shared" ref="O4:O5" si="1">M4/N4</f>
        <v>20.356389214536929</v>
      </c>
      <c r="P4" s="21"/>
      <c r="Q4" s="21"/>
      <c r="R4" s="21"/>
      <c r="S4" s="21"/>
    </row>
    <row r="5" spans="1:19" s="14" customFormat="1" ht="16.5" customHeight="1" x14ac:dyDescent="0.25">
      <c r="A5" s="22">
        <f t="shared" si="0"/>
        <v>2</v>
      </c>
      <c r="B5" s="25" t="s">
        <v>42</v>
      </c>
      <c r="C5" s="16">
        <v>44407</v>
      </c>
      <c r="D5" s="17" t="s">
        <v>11</v>
      </c>
      <c r="E5" s="17" t="s">
        <v>15</v>
      </c>
      <c r="F5" s="15">
        <v>17</v>
      </c>
      <c r="G5" s="15">
        <v>17</v>
      </c>
      <c r="H5" s="23">
        <v>1</v>
      </c>
      <c r="I5" s="24">
        <v>9546</v>
      </c>
      <c r="J5" s="18">
        <v>468</v>
      </c>
      <c r="K5" s="20">
        <f>J5/G5</f>
        <v>27.529411764705884</v>
      </c>
      <c r="L5" s="19">
        <f>I5/J5</f>
        <v>20.397435897435898</v>
      </c>
      <c r="M5" s="24">
        <f>9546</f>
        <v>9546</v>
      </c>
      <c r="N5" s="18">
        <f>468</f>
        <v>468</v>
      </c>
      <c r="O5" s="19">
        <f t="shared" si="1"/>
        <v>20.397435897435898</v>
      </c>
      <c r="P5" s="21"/>
      <c r="Q5" s="21"/>
      <c r="R5" s="21"/>
      <c r="S5" s="21"/>
    </row>
    <row r="6" spans="1:19" s="14" customFormat="1" ht="16.5" customHeight="1" x14ac:dyDescent="0.25">
      <c r="A6" s="22">
        <f t="shared" si="0"/>
        <v>3</v>
      </c>
      <c r="B6" s="25" t="s">
        <v>45</v>
      </c>
      <c r="C6" s="16">
        <v>43049</v>
      </c>
      <c r="D6" s="17" t="s">
        <v>11</v>
      </c>
      <c r="E6" s="17" t="s">
        <v>46</v>
      </c>
      <c r="F6" s="15">
        <v>1</v>
      </c>
      <c r="G6" s="15">
        <v>1</v>
      </c>
      <c r="H6" s="23">
        <v>18</v>
      </c>
      <c r="I6" s="24">
        <v>7128</v>
      </c>
      <c r="J6" s="18">
        <v>356</v>
      </c>
      <c r="K6" s="20">
        <f>J6/G6</f>
        <v>356</v>
      </c>
      <c r="L6" s="19">
        <f>I6/J6</f>
        <v>20.022471910112358</v>
      </c>
      <c r="M6" s="24">
        <f>26427.5+16338.6+8620+2592.6+1782+1782+2376+1782+600+1782+340+3258.81+302+4158+2970+100+831.6+7128</f>
        <v>83171.11</v>
      </c>
      <c r="N6" s="18">
        <f>1944+1750+692+310+356+356+475+356+45+356+37+652+19+832+594+10+166+356</f>
        <v>9306</v>
      </c>
      <c r="O6" s="19">
        <f>M6/N6</f>
        <v>8.9373640661938527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0"/>
        <v>4</v>
      </c>
      <c r="B7" s="25" t="s">
        <v>43</v>
      </c>
      <c r="C7" s="16">
        <v>43987</v>
      </c>
      <c r="D7" s="17" t="s">
        <v>11</v>
      </c>
      <c r="E7" s="17" t="s">
        <v>15</v>
      </c>
      <c r="F7" s="15">
        <v>1</v>
      </c>
      <c r="G7" s="15">
        <v>1</v>
      </c>
      <c r="H7" s="23">
        <v>4</v>
      </c>
      <c r="I7" s="24">
        <v>6000</v>
      </c>
      <c r="J7" s="18">
        <v>100</v>
      </c>
      <c r="K7" s="20">
        <f>J7/G7</f>
        <v>100</v>
      </c>
      <c r="L7" s="19">
        <f>I7/J7</f>
        <v>60</v>
      </c>
      <c r="M7" s="24">
        <f>15384.5+4788.5+412+356+6000</f>
        <v>26941</v>
      </c>
      <c r="N7" s="18">
        <f>1020+319+15+17+100</f>
        <v>1471</v>
      </c>
      <c r="O7" s="19">
        <f>M7/N7</f>
        <v>18.314751869476545</v>
      </c>
      <c r="P7" s="21"/>
      <c r="Q7" s="21"/>
      <c r="R7" s="21"/>
      <c r="S7" s="21"/>
    </row>
    <row r="8" spans="1:19" s="14" customFormat="1" ht="16.5" customHeight="1" x14ac:dyDescent="0.25">
      <c r="A8" s="22">
        <f t="shared" si="0"/>
        <v>5</v>
      </c>
      <c r="B8" s="25" t="s">
        <v>23</v>
      </c>
      <c r="C8" s="16">
        <v>44393</v>
      </c>
      <c r="D8" s="17" t="s">
        <v>11</v>
      </c>
      <c r="E8" s="17" t="s">
        <v>15</v>
      </c>
      <c r="F8" s="15">
        <v>2</v>
      </c>
      <c r="G8" s="15">
        <v>2</v>
      </c>
      <c r="H8" s="23">
        <v>3</v>
      </c>
      <c r="I8" s="24">
        <v>2512</v>
      </c>
      <c r="J8" s="18">
        <v>100</v>
      </c>
      <c r="K8" s="20">
        <f t="shared" ref="K8" si="2">J8/G8</f>
        <v>50</v>
      </c>
      <c r="L8" s="19">
        <f t="shared" ref="L8" si="3">I8/J8</f>
        <v>25.12</v>
      </c>
      <c r="M8" s="24">
        <f>2340+14125+11432+2512</f>
        <v>30409</v>
      </c>
      <c r="N8" s="18">
        <f>108+599+490+100</f>
        <v>1297</v>
      </c>
      <c r="O8" s="19">
        <f>M8/N8</f>
        <v>23.445643793369314</v>
      </c>
      <c r="P8" s="21"/>
      <c r="Q8" s="21"/>
      <c r="R8" s="21"/>
      <c r="S8" s="21"/>
    </row>
    <row r="9" spans="1:19" s="14" customFormat="1" ht="16.5" customHeight="1" x14ac:dyDescent="0.25">
      <c r="A9" s="22">
        <f t="shared" si="0"/>
        <v>6</v>
      </c>
      <c r="B9" s="25" t="s">
        <v>20</v>
      </c>
      <c r="C9" s="16">
        <v>44379</v>
      </c>
      <c r="D9" s="17" t="s">
        <v>11</v>
      </c>
      <c r="E9" s="17" t="s">
        <v>15</v>
      </c>
      <c r="F9" s="15">
        <v>10</v>
      </c>
      <c r="G9" s="15">
        <v>10</v>
      </c>
      <c r="H9" s="23">
        <v>5</v>
      </c>
      <c r="I9" s="24">
        <v>1515</v>
      </c>
      <c r="J9" s="18">
        <v>88</v>
      </c>
      <c r="K9" s="20">
        <f>J9/G9</f>
        <v>8.8000000000000007</v>
      </c>
      <c r="L9" s="19">
        <f>I9/J9</f>
        <v>17.21590909090909</v>
      </c>
      <c r="M9" s="24">
        <f>40413.5+20677+3966.5+2804+1515</f>
        <v>69376</v>
      </c>
      <c r="N9" s="18">
        <f>2105+1075+164+113+88</f>
        <v>3545</v>
      </c>
      <c r="O9" s="19">
        <f>M9/N9</f>
        <v>19.570098730606489</v>
      </c>
      <c r="P9" s="21"/>
      <c r="Q9" s="21"/>
      <c r="R9" s="21"/>
      <c r="S9" s="21"/>
    </row>
    <row r="10" spans="1:19" s="14" customFormat="1" ht="16.5" customHeight="1" x14ac:dyDescent="0.25">
      <c r="A10" s="22">
        <f t="shared" si="0"/>
        <v>7</v>
      </c>
      <c r="B10" s="25" t="s">
        <v>25</v>
      </c>
      <c r="C10" s="16">
        <v>44393</v>
      </c>
      <c r="D10" s="17" t="s">
        <v>11</v>
      </c>
      <c r="E10" s="17" t="s">
        <v>24</v>
      </c>
      <c r="F10" s="15">
        <v>3</v>
      </c>
      <c r="G10" s="15">
        <v>3</v>
      </c>
      <c r="H10" s="23">
        <v>3</v>
      </c>
      <c r="I10" s="24">
        <v>1164</v>
      </c>
      <c r="J10" s="18">
        <v>49</v>
      </c>
      <c r="K10" s="20">
        <f>J10/G10</f>
        <v>16.333333333333332</v>
      </c>
      <c r="L10" s="19">
        <f>I10/J10</f>
        <v>23.755102040816325</v>
      </c>
      <c r="M10" s="24">
        <f>392+19218+12891+1164</f>
        <v>33665</v>
      </c>
      <c r="N10" s="18">
        <f>16+1015+673+49</f>
        <v>1753</v>
      </c>
      <c r="O10" s="19">
        <f>M10/N10</f>
        <v>19.204221334854534</v>
      </c>
      <c r="P10" s="21"/>
      <c r="Q10" s="21"/>
      <c r="R10" s="21"/>
      <c r="S10" s="21"/>
    </row>
    <row r="11" spans="1:19" s="14" customFormat="1" ht="16.5" customHeight="1" x14ac:dyDescent="0.25">
      <c r="A11" s="22">
        <f t="shared" si="0"/>
        <v>8</v>
      </c>
      <c r="B11" s="25" t="s">
        <v>34</v>
      </c>
      <c r="C11" s="16">
        <v>44400</v>
      </c>
      <c r="D11" s="17" t="s">
        <v>11</v>
      </c>
      <c r="E11" s="17" t="s">
        <v>35</v>
      </c>
      <c r="F11" s="15">
        <v>3</v>
      </c>
      <c r="G11" s="15">
        <v>3</v>
      </c>
      <c r="H11" s="23">
        <v>2</v>
      </c>
      <c r="I11" s="24">
        <v>1047</v>
      </c>
      <c r="J11" s="18">
        <v>43</v>
      </c>
      <c r="K11" s="20">
        <f>J11/G11</f>
        <v>14.333333333333334</v>
      </c>
      <c r="L11" s="19">
        <f>I11/J11</f>
        <v>24.348837209302324</v>
      </c>
      <c r="M11" s="24">
        <f>7478+1047</f>
        <v>8525</v>
      </c>
      <c r="N11" s="18">
        <f>377+43</f>
        <v>420</v>
      </c>
      <c r="O11" s="19">
        <f>M11/N11</f>
        <v>20.297619047619047</v>
      </c>
      <c r="P11" s="21"/>
      <c r="Q11" s="21"/>
      <c r="R11" s="21"/>
      <c r="S11" s="21"/>
    </row>
    <row r="12" spans="1:19" s="14" customFormat="1" ht="16.5" customHeight="1" x14ac:dyDescent="0.25">
      <c r="A12" s="22">
        <f t="shared" si="0"/>
        <v>9</v>
      </c>
      <c r="B12" s="25" t="s">
        <v>26</v>
      </c>
      <c r="C12" s="16">
        <v>44148</v>
      </c>
      <c r="D12" s="17" t="s">
        <v>11</v>
      </c>
      <c r="E12" s="17" t="s">
        <v>27</v>
      </c>
      <c r="F12" s="15">
        <v>1</v>
      </c>
      <c r="G12" s="15">
        <v>1</v>
      </c>
      <c r="H12" s="23">
        <v>5</v>
      </c>
      <c r="I12" s="24">
        <v>1014</v>
      </c>
      <c r="J12" s="18">
        <v>42</v>
      </c>
      <c r="K12" s="20">
        <f t="shared" ref="K12" si="4">J12/G12</f>
        <v>42</v>
      </c>
      <c r="L12" s="19">
        <f t="shared" ref="L12" si="5">I12/J12</f>
        <v>24.142857142857142</v>
      </c>
      <c r="M12" s="24">
        <f>6019+166+125+565+1014</f>
        <v>7889</v>
      </c>
      <c r="N12" s="18">
        <f>312+8+5+26+42</f>
        <v>393</v>
      </c>
      <c r="O12" s="19">
        <f>M12/N12</f>
        <v>20.073791348600508</v>
      </c>
      <c r="P12" s="21"/>
      <c r="Q12" s="21"/>
      <c r="R12" s="21"/>
      <c r="S12" s="21"/>
    </row>
    <row r="13" spans="1:19" s="14" customFormat="1" ht="16.5" customHeight="1" x14ac:dyDescent="0.25">
      <c r="A13" s="22">
        <f t="shared" si="0"/>
        <v>10</v>
      </c>
      <c r="B13" s="25" t="s">
        <v>44</v>
      </c>
      <c r="C13" s="16">
        <v>43455</v>
      </c>
      <c r="D13" s="17" t="s">
        <v>11</v>
      </c>
      <c r="E13" s="17" t="s">
        <v>15</v>
      </c>
      <c r="F13" s="15">
        <v>1</v>
      </c>
      <c r="G13" s="15">
        <v>1</v>
      </c>
      <c r="H13" s="23">
        <v>18</v>
      </c>
      <c r="I13" s="24">
        <v>885</v>
      </c>
      <c r="J13" s="18">
        <v>42</v>
      </c>
      <c r="K13" s="20">
        <f t="shared" ref="K13" si="6">J13/G13</f>
        <v>42</v>
      </c>
      <c r="L13" s="19">
        <f t="shared" ref="L13" si="7">I13/J13</f>
        <v>21.071428571428573</v>
      </c>
      <c r="M13" s="24">
        <f>1077.93+6540.2+92564.68+93394.45+46630.85+27897.17+17110.83+17808.3+4303+1899.6+8654+62+5654+2970+3326.4+6534+109+20+1327+885</f>
        <v>338768.41000000003</v>
      </c>
      <c r="N13" s="18">
        <f>77+502+6638+6648+3105+1938+1852+2548+317+198+1434+8+613+594+655+1307+18+1+65+42</f>
        <v>28560</v>
      </c>
      <c r="O13" s="19">
        <f t="shared" ref="O13" si="8">M13/N13</f>
        <v>11.861639005602242</v>
      </c>
      <c r="P13" s="21"/>
      <c r="Q13" s="21"/>
      <c r="R13" s="21"/>
      <c r="S13" s="21"/>
    </row>
    <row r="14" spans="1:19" s="14" customFormat="1" ht="16.5" customHeight="1" x14ac:dyDescent="0.25">
      <c r="A14" s="22">
        <f t="shared" si="0"/>
        <v>11</v>
      </c>
      <c r="B14" s="25" t="s">
        <v>21</v>
      </c>
      <c r="C14" s="16">
        <v>44379</v>
      </c>
      <c r="D14" s="17" t="s">
        <v>11</v>
      </c>
      <c r="E14" s="17" t="s">
        <v>15</v>
      </c>
      <c r="F14" s="15">
        <v>1</v>
      </c>
      <c r="G14" s="15">
        <v>1</v>
      </c>
      <c r="H14" s="23">
        <v>5</v>
      </c>
      <c r="I14" s="24">
        <v>450</v>
      </c>
      <c r="J14" s="18">
        <v>18</v>
      </c>
      <c r="K14" s="20">
        <f>J14/G14</f>
        <v>18</v>
      </c>
      <c r="L14" s="19">
        <f>I14/J14</f>
        <v>25</v>
      </c>
      <c r="M14" s="24">
        <f>63240+30444+13124+5394+450</f>
        <v>112652</v>
      </c>
      <c r="N14" s="18">
        <f>3169+1515+608+223+18</f>
        <v>5533</v>
      </c>
      <c r="O14" s="19">
        <f t="shared" ref="O14" si="9">M14/N14</f>
        <v>20.360021688053497</v>
      </c>
      <c r="P14" s="21"/>
      <c r="Q14" s="21"/>
      <c r="R14" s="21"/>
      <c r="S14" s="21"/>
    </row>
    <row r="15" spans="1:19" s="14" customFormat="1" ht="16.5" customHeight="1" x14ac:dyDescent="0.25">
      <c r="A15" s="29">
        <f t="shared" si="0"/>
        <v>12</v>
      </c>
      <c r="B15" s="35" t="s">
        <v>29</v>
      </c>
      <c r="C15" s="36">
        <v>44085</v>
      </c>
      <c r="D15" s="37" t="s">
        <v>11</v>
      </c>
      <c r="E15" s="37" t="s">
        <v>30</v>
      </c>
      <c r="F15" s="38">
        <v>1</v>
      </c>
      <c r="G15" s="38">
        <v>1</v>
      </c>
      <c r="H15" s="39">
        <v>8</v>
      </c>
      <c r="I15" s="44">
        <v>150</v>
      </c>
      <c r="J15" s="45">
        <v>6</v>
      </c>
      <c r="K15" s="46">
        <f>J15/G15</f>
        <v>6</v>
      </c>
      <c r="L15" s="47">
        <f>I15/J15</f>
        <v>25</v>
      </c>
      <c r="M15" s="44">
        <f>3799+1101+188+758+75+575+871+150</f>
        <v>7517</v>
      </c>
      <c r="N15" s="45">
        <f>221+51+9+39+3+33+42+6</f>
        <v>404</v>
      </c>
      <c r="O15" s="47">
        <f t="shared" ref="O15" si="10">M15/N15</f>
        <v>18.606435643564357</v>
      </c>
      <c r="P15" s="21"/>
      <c r="Q15" s="21"/>
      <c r="R15" s="21"/>
      <c r="S15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32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25</v>
      </c>
      <c r="C4" s="31">
        <v>44393</v>
      </c>
      <c r="D4" s="32" t="s">
        <v>11</v>
      </c>
      <c r="E4" s="32" t="s">
        <v>24</v>
      </c>
      <c r="F4" s="33">
        <v>17</v>
      </c>
      <c r="G4" s="33">
        <v>17</v>
      </c>
      <c r="H4" s="34">
        <v>2</v>
      </c>
      <c r="I4" s="40">
        <v>12891</v>
      </c>
      <c r="J4" s="41">
        <v>673</v>
      </c>
      <c r="K4" s="42">
        <f>J4/G4</f>
        <v>39.588235294117645</v>
      </c>
      <c r="L4" s="43">
        <f>I4/J4</f>
        <v>19.154531946508172</v>
      </c>
      <c r="M4" s="40">
        <f>392+19218+12891</f>
        <v>32501</v>
      </c>
      <c r="N4" s="41">
        <f>16+1015+673</f>
        <v>1704</v>
      </c>
      <c r="O4" s="43">
        <f t="shared" ref="O4:O11" si="0">M4/N4</f>
        <v>19.073356807511736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23</v>
      </c>
      <c r="C5" s="16">
        <v>44393</v>
      </c>
      <c r="D5" s="17" t="s">
        <v>11</v>
      </c>
      <c r="E5" s="17" t="s">
        <v>15</v>
      </c>
      <c r="F5" s="15">
        <v>8</v>
      </c>
      <c r="G5" s="15">
        <v>8</v>
      </c>
      <c r="H5" s="23">
        <v>2</v>
      </c>
      <c r="I5" s="24">
        <v>11432</v>
      </c>
      <c r="J5" s="18">
        <v>490</v>
      </c>
      <c r="K5" s="20">
        <f t="shared" ref="K5" si="1">J5/G5</f>
        <v>61.25</v>
      </c>
      <c r="L5" s="19">
        <f t="shared" ref="L5" si="2">I5/J5</f>
        <v>23.33061224489796</v>
      </c>
      <c r="M5" s="24">
        <f>2340+14125+11432</f>
        <v>27897</v>
      </c>
      <c r="N5" s="18">
        <f>108+599+490</f>
        <v>1197</v>
      </c>
      <c r="O5" s="19">
        <f t="shared" si="0"/>
        <v>23.305764411027567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12" si="3">A5+1</f>
        <v>3</v>
      </c>
      <c r="B6" s="25" t="s">
        <v>34</v>
      </c>
      <c r="C6" s="16">
        <v>44400</v>
      </c>
      <c r="D6" s="17" t="s">
        <v>11</v>
      </c>
      <c r="E6" s="17" t="s">
        <v>35</v>
      </c>
      <c r="F6" s="15">
        <v>17</v>
      </c>
      <c r="G6" s="15">
        <v>17</v>
      </c>
      <c r="H6" s="23">
        <v>1</v>
      </c>
      <c r="I6" s="24">
        <v>7478</v>
      </c>
      <c r="J6" s="18">
        <v>377</v>
      </c>
      <c r="K6" s="20">
        <f>J6/G6</f>
        <v>22.176470588235293</v>
      </c>
      <c r="L6" s="19">
        <f>I6/J6</f>
        <v>19.835543766578251</v>
      </c>
      <c r="M6" s="24">
        <f>7478</f>
        <v>7478</v>
      </c>
      <c r="N6" s="18">
        <f>377</f>
        <v>377</v>
      </c>
      <c r="O6" s="19">
        <f t="shared" si="0"/>
        <v>19.835543766578251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3"/>
        <v>4</v>
      </c>
      <c r="B7" s="25" t="s">
        <v>21</v>
      </c>
      <c r="C7" s="16">
        <v>44379</v>
      </c>
      <c r="D7" s="17" t="s">
        <v>11</v>
      </c>
      <c r="E7" s="17" t="s">
        <v>15</v>
      </c>
      <c r="F7" s="15">
        <v>3</v>
      </c>
      <c r="G7" s="15">
        <v>3</v>
      </c>
      <c r="H7" s="23">
        <v>4</v>
      </c>
      <c r="I7" s="24">
        <v>5394</v>
      </c>
      <c r="J7" s="18">
        <v>223</v>
      </c>
      <c r="K7" s="20">
        <f>J7/G7</f>
        <v>74.333333333333329</v>
      </c>
      <c r="L7" s="19">
        <f>I7/J7</f>
        <v>24.188340807174889</v>
      </c>
      <c r="M7" s="24">
        <f>63240+30444+13124+5394</f>
        <v>112202</v>
      </c>
      <c r="N7" s="18">
        <f>3169+1515+608+223</f>
        <v>5515</v>
      </c>
      <c r="O7" s="19">
        <f t="shared" si="0"/>
        <v>20.344877606527653</v>
      </c>
      <c r="P7" s="21"/>
      <c r="Q7" s="21"/>
      <c r="R7" s="21"/>
      <c r="S7" s="21"/>
    </row>
    <row r="8" spans="1:19" s="14" customFormat="1" ht="16.5" customHeight="1" x14ac:dyDescent="0.25">
      <c r="A8" s="22">
        <f t="shared" si="3"/>
        <v>5</v>
      </c>
      <c r="B8" s="25" t="s">
        <v>20</v>
      </c>
      <c r="C8" s="16">
        <v>44379</v>
      </c>
      <c r="D8" s="17" t="s">
        <v>11</v>
      </c>
      <c r="E8" s="17" t="s">
        <v>15</v>
      </c>
      <c r="F8" s="15">
        <v>2</v>
      </c>
      <c r="G8" s="15">
        <v>2</v>
      </c>
      <c r="H8" s="23">
        <v>4</v>
      </c>
      <c r="I8" s="24">
        <v>2804</v>
      </c>
      <c r="J8" s="18">
        <v>113</v>
      </c>
      <c r="K8" s="20">
        <f>J8/G8</f>
        <v>56.5</v>
      </c>
      <c r="L8" s="19">
        <f>I8/J8</f>
        <v>24.814159292035399</v>
      </c>
      <c r="M8" s="24">
        <f>40413.5+20677+3966.5+2804</f>
        <v>67861</v>
      </c>
      <c r="N8" s="18">
        <f>2105+1075+164+113</f>
        <v>3457</v>
      </c>
      <c r="O8" s="19">
        <f t="shared" si="0"/>
        <v>19.630026034133643</v>
      </c>
      <c r="P8" s="21"/>
      <c r="Q8" s="21"/>
      <c r="R8" s="21"/>
      <c r="S8" s="21"/>
    </row>
    <row r="9" spans="1:19" s="14" customFormat="1" ht="16.5" customHeight="1" x14ac:dyDescent="0.25">
      <c r="A9" s="22">
        <f t="shared" si="3"/>
        <v>6</v>
      </c>
      <c r="B9" s="25" t="s">
        <v>33</v>
      </c>
      <c r="C9" s="16">
        <v>44421</v>
      </c>
      <c r="D9" s="17" t="s">
        <v>11</v>
      </c>
      <c r="E9" s="17" t="s">
        <v>15</v>
      </c>
      <c r="F9" s="15">
        <v>6</v>
      </c>
      <c r="G9" s="15">
        <v>6</v>
      </c>
      <c r="H9" s="23">
        <v>0</v>
      </c>
      <c r="I9" s="24">
        <v>2612</v>
      </c>
      <c r="J9" s="18">
        <v>114</v>
      </c>
      <c r="K9" s="20">
        <f t="shared" ref="K9" si="4">J9/G9</f>
        <v>19</v>
      </c>
      <c r="L9" s="19">
        <f t="shared" ref="L9" si="5">I9/J9</f>
        <v>22.912280701754387</v>
      </c>
      <c r="M9" s="24">
        <f>2612</f>
        <v>2612</v>
      </c>
      <c r="N9" s="18">
        <f>114</f>
        <v>114</v>
      </c>
      <c r="O9" s="19">
        <f t="shared" si="0"/>
        <v>22.912280701754387</v>
      </c>
      <c r="P9" s="21"/>
      <c r="Q9" s="21"/>
      <c r="R9" s="21"/>
      <c r="S9" s="21"/>
    </row>
    <row r="10" spans="1:19" s="14" customFormat="1" ht="16.5" customHeight="1" x14ac:dyDescent="0.25">
      <c r="A10" s="22">
        <f t="shared" si="3"/>
        <v>7</v>
      </c>
      <c r="B10" s="25" t="s">
        <v>38</v>
      </c>
      <c r="C10" s="16">
        <v>43490</v>
      </c>
      <c r="D10" s="17" t="s">
        <v>11</v>
      </c>
      <c r="E10" s="17" t="s">
        <v>39</v>
      </c>
      <c r="F10" s="15">
        <v>4</v>
      </c>
      <c r="G10" s="15">
        <v>4</v>
      </c>
      <c r="H10" s="23">
        <v>29</v>
      </c>
      <c r="I10" s="24">
        <v>1221</v>
      </c>
      <c r="J10" s="18">
        <v>52</v>
      </c>
      <c r="K10" s="20">
        <f t="shared" ref="K10" si="6">J10/G10</f>
        <v>13</v>
      </c>
      <c r="L10" s="19">
        <f>I10/J10</f>
        <v>23.48076923076923</v>
      </c>
      <c r="M10" s="24">
        <f>608.85+7578.3+8086.94+128107.49+96459.62+71649+46015.7+33055.28+24028.3+12885.12+2294+3933+4720.6+2240+3056+1879+290+6790+3524+6890.4+2970+6296.4+2376+2376+942+1188+3564+2376+2851.2+1188+546+1221</f>
        <v>491986.20000000007</v>
      </c>
      <c r="N10" s="18">
        <f>44+535+987+9275+6590+5124+3460+2369+2118+1518+172+290+509+160+452+165+29+1323+497+1378+594+1259+475+475+67+119+356+238+285+119+28+52</f>
        <v>41062</v>
      </c>
      <c r="O10" s="19">
        <f t="shared" si="0"/>
        <v>11.981544980760802</v>
      </c>
      <c r="P10" s="21"/>
      <c r="Q10" s="21"/>
      <c r="R10" s="21"/>
      <c r="S10" s="21"/>
    </row>
    <row r="11" spans="1:19" s="14" customFormat="1" ht="16.5" customHeight="1" x14ac:dyDescent="0.25">
      <c r="A11" s="22">
        <f t="shared" si="3"/>
        <v>8</v>
      </c>
      <c r="B11" s="25" t="s">
        <v>36</v>
      </c>
      <c r="C11" s="16">
        <v>43728</v>
      </c>
      <c r="D11" s="17" t="s">
        <v>11</v>
      </c>
      <c r="E11" s="17" t="s">
        <v>37</v>
      </c>
      <c r="F11" s="15">
        <v>3</v>
      </c>
      <c r="G11" s="15">
        <v>3</v>
      </c>
      <c r="H11" s="23">
        <v>23</v>
      </c>
      <c r="I11" s="24">
        <v>850</v>
      </c>
      <c r="J11" s="18">
        <v>38</v>
      </c>
      <c r="K11" s="20">
        <f>J11/G11</f>
        <v>12.666666666666666</v>
      </c>
      <c r="L11" s="19">
        <f>I11/J11</f>
        <v>22.368421052631579</v>
      </c>
      <c r="M11" s="24">
        <f>203+8316+3571+49040.5+33049+12678+6825+7067+7987.4+3088.8+140+5482+1254+7227.8+3326.4+4180.4+950.4+135+1188+290+195+1535+810+522+850</f>
        <v>159911.69999999995</v>
      </c>
      <c r="N11" s="18">
        <f>13+832+243+3155+2323+864+498+625+687+309+9+518+92+724+333+407+95+9+119+17+13+75+45+38+38</f>
        <v>12081</v>
      </c>
      <c r="O11" s="19">
        <f t="shared" si="0"/>
        <v>13.23662776260243</v>
      </c>
      <c r="P11" s="21"/>
      <c r="Q11" s="21"/>
      <c r="R11" s="21"/>
      <c r="S11" s="21"/>
    </row>
    <row r="12" spans="1:19" s="14" customFormat="1" ht="16.5" customHeight="1" x14ac:dyDescent="0.25">
      <c r="A12" s="29">
        <f t="shared" si="3"/>
        <v>9</v>
      </c>
      <c r="B12" s="35" t="s">
        <v>26</v>
      </c>
      <c r="C12" s="36">
        <v>44148</v>
      </c>
      <c r="D12" s="37" t="s">
        <v>11</v>
      </c>
      <c r="E12" s="37" t="s">
        <v>27</v>
      </c>
      <c r="F12" s="38">
        <v>2</v>
      </c>
      <c r="G12" s="38">
        <v>2</v>
      </c>
      <c r="H12" s="39">
        <v>4</v>
      </c>
      <c r="I12" s="44">
        <v>565</v>
      </c>
      <c r="J12" s="45">
        <v>26</v>
      </c>
      <c r="K12" s="46">
        <f t="shared" ref="K12" si="7">J12/G12</f>
        <v>13</v>
      </c>
      <c r="L12" s="47">
        <f t="shared" ref="L12" si="8">I12/J12</f>
        <v>21.73076923076923</v>
      </c>
      <c r="M12" s="44">
        <f>6019+166+125+565</f>
        <v>6875</v>
      </c>
      <c r="N12" s="45">
        <f>312+8+5+26</f>
        <v>351</v>
      </c>
      <c r="O12" s="47">
        <f t="shared" ref="O12" si="9">M12/N12</f>
        <v>19.586894586894587</v>
      </c>
      <c r="P12" s="21"/>
      <c r="Q12" s="21"/>
      <c r="R12" s="21"/>
      <c r="S12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31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25</v>
      </c>
      <c r="C4" s="31">
        <v>44393</v>
      </c>
      <c r="D4" s="32" t="s">
        <v>11</v>
      </c>
      <c r="E4" s="32" t="s">
        <v>24</v>
      </c>
      <c r="F4" s="33">
        <v>18</v>
      </c>
      <c r="G4" s="33">
        <v>18</v>
      </c>
      <c r="H4" s="34">
        <v>1</v>
      </c>
      <c r="I4" s="40">
        <v>19218</v>
      </c>
      <c r="J4" s="41">
        <v>1015</v>
      </c>
      <c r="K4" s="42">
        <f>J4/G4</f>
        <v>56.388888888888886</v>
      </c>
      <c r="L4" s="43">
        <f>I4/J4</f>
        <v>18.933990147783252</v>
      </c>
      <c r="M4" s="40">
        <f>392+19218</f>
        <v>19610</v>
      </c>
      <c r="N4" s="41">
        <f>16+1015</f>
        <v>1031</v>
      </c>
      <c r="O4" s="43">
        <f>M4/N4</f>
        <v>19.020368574199807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23</v>
      </c>
      <c r="C5" s="16">
        <v>44393</v>
      </c>
      <c r="D5" s="17" t="s">
        <v>11</v>
      </c>
      <c r="E5" s="17" t="s">
        <v>15</v>
      </c>
      <c r="F5" s="15">
        <v>7</v>
      </c>
      <c r="G5" s="15">
        <v>7</v>
      </c>
      <c r="H5" s="23">
        <v>1</v>
      </c>
      <c r="I5" s="24">
        <v>14125</v>
      </c>
      <c r="J5" s="18">
        <v>599</v>
      </c>
      <c r="K5" s="20">
        <f t="shared" ref="K5" si="0">J5/G5</f>
        <v>85.571428571428569</v>
      </c>
      <c r="L5" s="19">
        <f t="shared" ref="L5" si="1">I5/J5</f>
        <v>23.580968280467445</v>
      </c>
      <c r="M5" s="24">
        <f>2340+14125</f>
        <v>16465</v>
      </c>
      <c r="N5" s="18">
        <f>108+599</f>
        <v>707</v>
      </c>
      <c r="O5" s="19">
        <f>M5/N5</f>
        <v>23.288543140028288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8" si="2">A5+1</f>
        <v>3</v>
      </c>
      <c r="B6" s="25" t="s">
        <v>21</v>
      </c>
      <c r="C6" s="16">
        <v>44379</v>
      </c>
      <c r="D6" s="17" t="s">
        <v>11</v>
      </c>
      <c r="E6" s="17" t="s">
        <v>15</v>
      </c>
      <c r="F6" s="15">
        <v>1</v>
      </c>
      <c r="G6" s="15">
        <v>1</v>
      </c>
      <c r="H6" s="23">
        <v>3</v>
      </c>
      <c r="I6" s="24">
        <v>13124</v>
      </c>
      <c r="J6" s="18">
        <v>608</v>
      </c>
      <c r="K6" s="20">
        <f>J6/G6</f>
        <v>608</v>
      </c>
      <c r="L6" s="19">
        <f>I6/J6</f>
        <v>21.585526315789473</v>
      </c>
      <c r="M6" s="24">
        <f>63240+30444+13124</f>
        <v>106808</v>
      </c>
      <c r="N6" s="18">
        <f>3169+1515+608</f>
        <v>5292</v>
      </c>
      <c r="O6" s="19">
        <f t="shared" ref="O6:O8" si="3">M6/N6</f>
        <v>20.182917611489039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2"/>
        <v>4</v>
      </c>
      <c r="B7" s="25" t="s">
        <v>20</v>
      </c>
      <c r="C7" s="16">
        <v>44379</v>
      </c>
      <c r="D7" s="17" t="s">
        <v>11</v>
      </c>
      <c r="E7" s="17" t="s">
        <v>15</v>
      </c>
      <c r="F7" s="15">
        <v>4</v>
      </c>
      <c r="G7" s="15">
        <v>4</v>
      </c>
      <c r="H7" s="23">
        <v>3</v>
      </c>
      <c r="I7" s="24">
        <v>3966.5</v>
      </c>
      <c r="J7" s="18">
        <v>164</v>
      </c>
      <c r="K7" s="20">
        <f>J7/G7</f>
        <v>41</v>
      </c>
      <c r="L7" s="19">
        <f>I7/J7</f>
        <v>24.185975609756099</v>
      </c>
      <c r="M7" s="24">
        <f>40413.5+20677+3966.5</f>
        <v>65057</v>
      </c>
      <c r="N7" s="18">
        <f>2105+1075+164</f>
        <v>3344</v>
      </c>
      <c r="O7" s="19">
        <f t="shared" si="3"/>
        <v>19.454844497607656</v>
      </c>
      <c r="P7" s="21"/>
      <c r="Q7" s="21"/>
      <c r="R7" s="21"/>
      <c r="S7" s="21"/>
    </row>
    <row r="8" spans="1:19" s="14" customFormat="1" ht="16.5" customHeight="1" x14ac:dyDescent="0.25">
      <c r="A8" s="29">
        <f t="shared" si="2"/>
        <v>5</v>
      </c>
      <c r="B8" s="35" t="s">
        <v>26</v>
      </c>
      <c r="C8" s="36">
        <v>44148</v>
      </c>
      <c r="D8" s="37" t="s">
        <v>11</v>
      </c>
      <c r="E8" s="37" t="s">
        <v>27</v>
      </c>
      <c r="F8" s="38">
        <v>1</v>
      </c>
      <c r="G8" s="38">
        <v>1</v>
      </c>
      <c r="H8" s="39">
        <v>3</v>
      </c>
      <c r="I8" s="44">
        <v>125</v>
      </c>
      <c r="J8" s="45">
        <v>5</v>
      </c>
      <c r="K8" s="46">
        <f t="shared" ref="K8" si="4">J8/G8</f>
        <v>5</v>
      </c>
      <c r="L8" s="47">
        <f t="shared" ref="L8" si="5">I8/J8</f>
        <v>25</v>
      </c>
      <c r="M8" s="44">
        <f>6019+166+125</f>
        <v>6310</v>
      </c>
      <c r="N8" s="45">
        <f>312+8+5</f>
        <v>325</v>
      </c>
      <c r="O8" s="47">
        <f t="shared" si="3"/>
        <v>19.415384615384614</v>
      </c>
      <c r="P8" s="21"/>
      <c r="Q8" s="21"/>
      <c r="R8" s="21"/>
      <c r="S8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22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21</v>
      </c>
      <c r="C4" s="31">
        <v>44379</v>
      </c>
      <c r="D4" s="32" t="s">
        <v>11</v>
      </c>
      <c r="E4" s="32" t="s">
        <v>15</v>
      </c>
      <c r="F4" s="33">
        <v>18</v>
      </c>
      <c r="G4" s="33">
        <v>18</v>
      </c>
      <c r="H4" s="34">
        <v>2</v>
      </c>
      <c r="I4" s="40">
        <v>30444</v>
      </c>
      <c r="J4" s="41">
        <v>1515</v>
      </c>
      <c r="K4" s="42">
        <f>J4/G4</f>
        <v>84.166666666666671</v>
      </c>
      <c r="L4" s="43">
        <f>I4/J4</f>
        <v>20.095049504950495</v>
      </c>
      <c r="M4" s="40">
        <f>63240+30444</f>
        <v>93684</v>
      </c>
      <c r="N4" s="41">
        <f>3169+1515</f>
        <v>4684</v>
      </c>
      <c r="O4" s="43">
        <f t="shared" ref="O4:O9" si="0">M4/N4</f>
        <v>20.000853970964986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20</v>
      </c>
      <c r="C5" s="16">
        <v>44379</v>
      </c>
      <c r="D5" s="17" t="s">
        <v>11</v>
      </c>
      <c r="E5" s="17" t="s">
        <v>15</v>
      </c>
      <c r="F5" s="15">
        <v>19</v>
      </c>
      <c r="G5" s="15">
        <v>19</v>
      </c>
      <c r="H5" s="23">
        <v>2</v>
      </c>
      <c r="I5" s="24">
        <v>20677</v>
      </c>
      <c r="J5" s="18">
        <v>1075</v>
      </c>
      <c r="K5" s="20">
        <f>J5/G5</f>
        <v>56.578947368421055</v>
      </c>
      <c r="L5" s="19">
        <f>I5/J5</f>
        <v>19.234418604651164</v>
      </c>
      <c r="M5" s="24">
        <f>40413.5+20677</f>
        <v>61090.5</v>
      </c>
      <c r="N5" s="18">
        <f>2105+1075</f>
        <v>3180</v>
      </c>
      <c r="O5" s="19">
        <f t="shared" si="0"/>
        <v>19.210849056603774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10" si="1">A5+1</f>
        <v>3</v>
      </c>
      <c r="B6" s="25" t="s">
        <v>23</v>
      </c>
      <c r="C6" s="16">
        <v>44393</v>
      </c>
      <c r="D6" s="17" t="s">
        <v>11</v>
      </c>
      <c r="E6" s="17" t="s">
        <v>15</v>
      </c>
      <c r="F6" s="15">
        <v>1</v>
      </c>
      <c r="G6" s="15">
        <v>1</v>
      </c>
      <c r="H6" s="23">
        <v>0</v>
      </c>
      <c r="I6" s="24">
        <v>2340</v>
      </c>
      <c r="J6" s="18">
        <v>108</v>
      </c>
      <c r="K6" s="20">
        <f t="shared" ref="K6" si="2">J6/G6</f>
        <v>108</v>
      </c>
      <c r="L6" s="19">
        <f t="shared" ref="L6" si="3">I6/J6</f>
        <v>21.666666666666668</v>
      </c>
      <c r="M6" s="24">
        <f>2340</f>
        <v>2340</v>
      </c>
      <c r="N6" s="18">
        <f>108</f>
        <v>108</v>
      </c>
      <c r="O6" s="19">
        <f t="shared" si="0"/>
        <v>21.666666666666668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1"/>
        <v>4</v>
      </c>
      <c r="B7" s="25" t="s">
        <v>28</v>
      </c>
      <c r="C7" s="16">
        <v>44141</v>
      </c>
      <c r="D7" s="17" t="s">
        <v>11</v>
      </c>
      <c r="E7" s="17" t="s">
        <v>15</v>
      </c>
      <c r="F7" s="15">
        <v>1</v>
      </c>
      <c r="G7" s="15">
        <v>1</v>
      </c>
      <c r="H7" s="23">
        <v>4</v>
      </c>
      <c r="I7" s="24">
        <v>1040</v>
      </c>
      <c r="J7" s="18">
        <v>52</v>
      </c>
      <c r="K7" s="20">
        <f>J7/G7</f>
        <v>52</v>
      </c>
      <c r="L7" s="19">
        <f>I7/J7</f>
        <v>20</v>
      </c>
      <c r="M7" s="24">
        <f>15946.5+7684+162+1040</f>
        <v>24832.5</v>
      </c>
      <c r="N7" s="18">
        <f>855+434+12+52</f>
        <v>1353</v>
      </c>
      <c r="O7" s="19">
        <f t="shared" si="0"/>
        <v>18.353658536585368</v>
      </c>
      <c r="P7" s="21"/>
      <c r="Q7" s="21"/>
      <c r="R7" s="21"/>
      <c r="S7" s="21"/>
    </row>
    <row r="8" spans="1:19" s="14" customFormat="1" ht="16.5" customHeight="1" x14ac:dyDescent="0.25">
      <c r="A8" s="22">
        <f t="shared" si="1"/>
        <v>5</v>
      </c>
      <c r="B8" s="25" t="s">
        <v>29</v>
      </c>
      <c r="C8" s="16">
        <v>44085</v>
      </c>
      <c r="D8" s="17" t="s">
        <v>11</v>
      </c>
      <c r="E8" s="17" t="s">
        <v>30</v>
      </c>
      <c r="F8" s="15">
        <v>3</v>
      </c>
      <c r="G8" s="15">
        <v>3</v>
      </c>
      <c r="H8" s="23">
        <v>7</v>
      </c>
      <c r="I8" s="24">
        <v>871</v>
      </c>
      <c r="J8" s="18">
        <v>42</v>
      </c>
      <c r="K8" s="20">
        <f>J8/G8</f>
        <v>14</v>
      </c>
      <c r="L8" s="19">
        <f>I8/J8</f>
        <v>20.738095238095237</v>
      </c>
      <c r="M8" s="24">
        <f>3799+1101+188+758+75+575+871</f>
        <v>7367</v>
      </c>
      <c r="N8" s="18">
        <f>221+51+9+39+3+33+42</f>
        <v>398</v>
      </c>
      <c r="O8" s="19">
        <f t="shared" si="0"/>
        <v>18.510050251256281</v>
      </c>
      <c r="P8" s="21"/>
      <c r="Q8" s="21"/>
      <c r="R8" s="21"/>
      <c r="S8" s="21"/>
    </row>
    <row r="9" spans="1:19" s="14" customFormat="1" ht="16.5" customHeight="1" x14ac:dyDescent="0.25">
      <c r="A9" s="22">
        <f t="shared" si="1"/>
        <v>6</v>
      </c>
      <c r="B9" s="25" t="s">
        <v>25</v>
      </c>
      <c r="C9" s="16">
        <v>44393</v>
      </c>
      <c r="D9" s="17" t="s">
        <v>11</v>
      </c>
      <c r="E9" s="17" t="s">
        <v>24</v>
      </c>
      <c r="F9" s="15">
        <v>1</v>
      </c>
      <c r="G9" s="15">
        <v>1</v>
      </c>
      <c r="H9" s="23">
        <v>0</v>
      </c>
      <c r="I9" s="24">
        <v>392</v>
      </c>
      <c r="J9" s="18">
        <v>16</v>
      </c>
      <c r="K9" s="20">
        <f t="shared" ref="K9" si="4">J9/G9</f>
        <v>16</v>
      </c>
      <c r="L9" s="19">
        <f t="shared" ref="L9" si="5">I9/J9</f>
        <v>24.5</v>
      </c>
      <c r="M9" s="24">
        <f>392</f>
        <v>392</v>
      </c>
      <c r="N9" s="18">
        <f>16</f>
        <v>16</v>
      </c>
      <c r="O9" s="19">
        <f t="shared" si="0"/>
        <v>24.5</v>
      </c>
      <c r="P9" s="21"/>
      <c r="Q9" s="21"/>
      <c r="R9" s="21"/>
      <c r="S9" s="21"/>
    </row>
    <row r="10" spans="1:19" s="14" customFormat="1" ht="16.5" customHeight="1" x14ac:dyDescent="0.25">
      <c r="A10" s="29">
        <f t="shared" si="1"/>
        <v>7</v>
      </c>
      <c r="B10" s="35" t="s">
        <v>26</v>
      </c>
      <c r="C10" s="36">
        <v>44148</v>
      </c>
      <c r="D10" s="37" t="s">
        <v>11</v>
      </c>
      <c r="E10" s="37" t="s">
        <v>27</v>
      </c>
      <c r="F10" s="38">
        <v>1</v>
      </c>
      <c r="G10" s="38">
        <v>1</v>
      </c>
      <c r="H10" s="39">
        <v>2</v>
      </c>
      <c r="I10" s="44">
        <v>166</v>
      </c>
      <c r="J10" s="45">
        <v>8</v>
      </c>
      <c r="K10" s="46">
        <f t="shared" ref="K10" si="6">J10/G10</f>
        <v>8</v>
      </c>
      <c r="L10" s="47">
        <f t="shared" ref="L10" si="7">I10/J10</f>
        <v>20.75</v>
      </c>
      <c r="M10" s="44">
        <f>6019+166</f>
        <v>6185</v>
      </c>
      <c r="N10" s="45">
        <f>312+8</f>
        <v>320</v>
      </c>
      <c r="O10" s="47">
        <f t="shared" ref="O10" si="8">M10/N10</f>
        <v>19.328125</v>
      </c>
      <c r="P10" s="21"/>
      <c r="Q10" s="21"/>
      <c r="R10" s="21"/>
      <c r="S10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19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21</v>
      </c>
      <c r="C4" s="31">
        <v>44379</v>
      </c>
      <c r="D4" s="32" t="s">
        <v>11</v>
      </c>
      <c r="E4" s="32" t="s">
        <v>15</v>
      </c>
      <c r="F4" s="33">
        <v>19</v>
      </c>
      <c r="G4" s="33">
        <v>19</v>
      </c>
      <c r="H4" s="34">
        <v>1</v>
      </c>
      <c r="I4" s="40">
        <v>63240</v>
      </c>
      <c r="J4" s="41">
        <v>3169</v>
      </c>
      <c r="K4" s="42">
        <f>J4/G4</f>
        <v>166.78947368421052</v>
      </c>
      <c r="L4" s="43">
        <f>I4/J4</f>
        <v>19.955822025875669</v>
      </c>
      <c r="M4" s="40">
        <f>63240</f>
        <v>63240</v>
      </c>
      <c r="N4" s="41">
        <f>3169</f>
        <v>3169</v>
      </c>
      <c r="O4" s="43">
        <f>M4/N4</f>
        <v>19.955822025875669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20</v>
      </c>
      <c r="C5" s="16">
        <v>44379</v>
      </c>
      <c r="D5" s="17" t="s">
        <v>11</v>
      </c>
      <c r="E5" s="17" t="s">
        <v>15</v>
      </c>
      <c r="F5" s="15">
        <v>25</v>
      </c>
      <c r="G5" s="15">
        <v>25</v>
      </c>
      <c r="H5" s="23">
        <v>1</v>
      </c>
      <c r="I5" s="24">
        <v>40413.5</v>
      </c>
      <c r="J5" s="18">
        <v>2105</v>
      </c>
      <c r="K5" s="20">
        <f t="shared" ref="K5" si="0">J5/G5</f>
        <v>84.2</v>
      </c>
      <c r="L5" s="19">
        <f t="shared" ref="L5" si="1">I5/J5</f>
        <v>19.198812351543943</v>
      </c>
      <c r="M5" s="24">
        <f>40413.5</f>
        <v>40413.5</v>
      </c>
      <c r="N5" s="18">
        <f>2105</f>
        <v>2105</v>
      </c>
      <c r="O5" s="19">
        <f>M5/N5</f>
        <v>19.198812351543943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7" si="2">A5+1</f>
        <v>3</v>
      </c>
      <c r="B6" s="25" t="s">
        <v>18</v>
      </c>
      <c r="C6" s="16">
        <v>43406</v>
      </c>
      <c r="D6" s="17" t="s">
        <v>11</v>
      </c>
      <c r="E6" s="17" t="s">
        <v>15</v>
      </c>
      <c r="F6" s="15">
        <v>4</v>
      </c>
      <c r="G6" s="15">
        <v>4</v>
      </c>
      <c r="H6" s="23">
        <v>30</v>
      </c>
      <c r="I6" s="24">
        <v>2206</v>
      </c>
      <c r="J6" s="18">
        <v>95</v>
      </c>
      <c r="K6" s="20">
        <f>J6/G6</f>
        <v>23.75</v>
      </c>
      <c r="L6" s="19">
        <f>I6/J6</f>
        <v>23.221052631578946</v>
      </c>
      <c r="M6" s="24">
        <f>19499.5+127079.83+97010.84+98060.93+58553.86+46567.76+23650.33+14620+7536+8217.31+9106.6+1958.56+4514.4+3588.27+2086+900+831.6+1425.6+1050+569+1045+154+360+3326.4+2970+959+783+3244+1066+120+2206</f>
        <v>543059.79</v>
      </c>
      <c r="N6" s="18">
        <f>1326+9257+7389+7618+4607+3656+1908+1356+597+873+616+183+903+220+191+72+166+285+75+37+70+10+29+665+594+141+113+164+55+6+95</f>
        <v>43277</v>
      </c>
      <c r="O6" s="19">
        <f>M6/N6</f>
        <v>12.548462000600782</v>
      </c>
      <c r="P6" s="21"/>
      <c r="Q6" s="21"/>
      <c r="R6" s="21"/>
      <c r="S6" s="21"/>
    </row>
    <row r="7" spans="1:19" s="14" customFormat="1" ht="16.5" customHeight="1" x14ac:dyDescent="0.25">
      <c r="A7" s="29">
        <f t="shared" si="2"/>
        <v>4</v>
      </c>
      <c r="B7" s="35" t="s">
        <v>16</v>
      </c>
      <c r="C7" s="36">
        <v>43616</v>
      </c>
      <c r="D7" s="37" t="s">
        <v>11</v>
      </c>
      <c r="E7" s="37" t="s">
        <v>17</v>
      </c>
      <c r="F7" s="38">
        <v>4</v>
      </c>
      <c r="G7" s="38">
        <v>4</v>
      </c>
      <c r="H7" s="39">
        <v>11</v>
      </c>
      <c r="I7" s="44">
        <v>964</v>
      </c>
      <c r="J7" s="45">
        <v>46</v>
      </c>
      <c r="K7" s="46">
        <f t="shared" ref="K7" si="3">J7/G7</f>
        <v>11.5</v>
      </c>
      <c r="L7" s="47">
        <f t="shared" ref="L7" si="4">I7/J7</f>
        <v>20.956521739130434</v>
      </c>
      <c r="M7" s="44">
        <f>12729.4+6023.57+2617+490+187+2376+7128+250+1230+964+964</f>
        <v>34958.97</v>
      </c>
      <c r="N7" s="45">
        <f>866+362+185+45+34+475+713+13+82+52+46</f>
        <v>2873</v>
      </c>
      <c r="O7" s="47">
        <f t="shared" ref="O7" si="5">M7/N7</f>
        <v>12.16810650887574</v>
      </c>
      <c r="P7" s="21"/>
      <c r="Q7" s="21"/>
      <c r="R7" s="21"/>
      <c r="S7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2020_31</vt:lpstr>
      <vt:lpstr>2020_30</vt:lpstr>
      <vt:lpstr>2020_29</vt:lpstr>
      <vt:lpstr>2020_28</vt:lpstr>
      <vt:lpstr>2020_27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murat</cp:lastModifiedBy>
  <cp:lastPrinted>2020-10-30T13:49:31Z</cp:lastPrinted>
  <dcterms:created xsi:type="dcterms:W3CDTF">2016-01-11T07:44:58Z</dcterms:created>
  <dcterms:modified xsi:type="dcterms:W3CDTF">2021-08-06T10:17:51Z</dcterms:modified>
</cp:coreProperties>
</file>