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39_25.09-01.10" sheetId="230" r:id="rId1"/>
    <sheet name="2020_38_18-24.09" sheetId="229" r:id="rId2"/>
    <sheet name="2020_37_11-17.09" sheetId="228" r:id="rId3"/>
    <sheet name="2020_36_04-10.09" sheetId="227" r:id="rId4"/>
    <sheet name="2020_35_28.08-03.09" sheetId="226" r:id="rId5"/>
    <sheet name="2020_34_21-27.08" sheetId="225" r:id="rId6"/>
    <sheet name="2020_33_14-20.08" sheetId="224" r:id="rId7"/>
    <sheet name="2020_32_07-13.08" sheetId="223" r:id="rId8"/>
    <sheet name="2020_31_31.07-06.08" sheetId="222" r:id="rId9"/>
    <sheet name="2020_30_24-30.07" sheetId="221" r:id="rId10"/>
    <sheet name="2020_29_17-23.07" sheetId="220" r:id="rId11"/>
    <sheet name="2020_28_10-16.07" sheetId="219" r:id="rId12"/>
    <sheet name="2020_27_03-09.07" sheetId="218" r:id="rId13"/>
    <sheet name="2020_10_13-19.03" sheetId="217" r:id="rId14"/>
    <sheet name="2020_10_06-12.03" sheetId="216" r:id="rId15"/>
    <sheet name="2020_09_28.02-05.03" sheetId="215" r:id="rId16"/>
    <sheet name="2020_08_21-27.02" sheetId="214" r:id="rId17"/>
    <sheet name="2020_07_14-20.02" sheetId="213" r:id="rId18"/>
    <sheet name="2020_06_07-09.02" sheetId="212" r:id="rId19"/>
    <sheet name="2020_05_31.01-06.02" sheetId="211" r:id="rId20"/>
    <sheet name="2020_04_24-30.01" sheetId="210" r:id="rId21"/>
    <sheet name="2020_03_17-23.01" sheetId="209" r:id="rId22"/>
    <sheet name="2020_02_10-16.01" sheetId="208" r:id="rId23"/>
    <sheet name="2020_01_03-09.01" sheetId="207" r:id="rId24"/>
  </sheets>
  <calcPr calcId="145621" concurrentCalc="0"/>
</workbook>
</file>

<file path=xl/calcChain.xml><?xml version="1.0" encoding="utf-8"?>
<calcChain xmlns="http://schemas.openxmlformats.org/spreadsheetml/2006/main">
  <c r="B7" i="230" l="1"/>
  <c r="B8" i="230"/>
  <c r="B9" i="230"/>
  <c r="B10" i="230"/>
  <c r="B11" i="230"/>
  <c r="B12" i="230"/>
  <c r="B6" i="230"/>
  <c r="O9" i="230"/>
  <c r="N9" i="230"/>
  <c r="O8" i="230"/>
  <c r="N8" i="230"/>
  <c r="O10" i="230"/>
  <c r="N10" i="230"/>
  <c r="O11" i="230"/>
  <c r="N11" i="230"/>
  <c r="O12" i="230"/>
  <c r="N12" i="230"/>
  <c r="O6" i="230"/>
  <c r="N6" i="230"/>
  <c r="P12" i="230"/>
  <c r="M12" i="230"/>
  <c r="L12" i="230"/>
  <c r="P9" i="230"/>
  <c r="M9" i="230"/>
  <c r="L9" i="230"/>
  <c r="P6" i="230"/>
  <c r="M6" i="230"/>
  <c r="L6" i="230"/>
  <c r="P7" i="230"/>
  <c r="M7" i="230"/>
  <c r="L7" i="230"/>
  <c r="P11" i="230"/>
  <c r="M11" i="230"/>
  <c r="L11" i="230"/>
  <c r="P10" i="230"/>
  <c r="M10" i="230"/>
  <c r="L10" i="230"/>
  <c r="P8" i="230"/>
  <c r="M8" i="230"/>
  <c r="L8" i="230"/>
  <c r="B7" i="229"/>
  <c r="B8" i="229"/>
  <c r="B9" i="229"/>
  <c r="B10" i="229"/>
  <c r="B11" i="229"/>
  <c r="B12" i="229"/>
  <c r="B6" i="229"/>
  <c r="O6" i="229"/>
  <c r="N6" i="229"/>
  <c r="O7" i="229"/>
  <c r="N7" i="229"/>
  <c r="O12" i="229"/>
  <c r="N12" i="229"/>
  <c r="O9" i="229"/>
  <c r="N9" i="229"/>
  <c r="O11" i="229"/>
  <c r="N11" i="229"/>
  <c r="O10" i="229"/>
  <c r="N10" i="229"/>
  <c r="O8" i="229"/>
  <c r="N8" i="229"/>
  <c r="P8" i="229"/>
  <c r="M8" i="229"/>
  <c r="L8" i="229"/>
  <c r="P9" i="229"/>
  <c r="M9" i="229"/>
  <c r="L9" i="229"/>
  <c r="P12" i="229"/>
  <c r="M12" i="229"/>
  <c r="L12" i="229"/>
  <c r="P6" i="229"/>
  <c r="M6" i="229"/>
  <c r="L6" i="229"/>
  <c r="P11" i="229"/>
  <c r="M11" i="229"/>
  <c r="L11" i="229"/>
  <c r="P10" i="229"/>
  <c r="M10" i="229"/>
  <c r="L10" i="229"/>
  <c r="P7" i="229"/>
  <c r="M7" i="229"/>
  <c r="L7" i="229"/>
  <c r="B7" i="228"/>
  <c r="B8" i="228"/>
  <c r="B9" i="228"/>
  <c r="B10" i="228"/>
  <c r="B11" i="228"/>
  <c r="B6" i="228"/>
  <c r="O9" i="228"/>
  <c r="N9" i="228"/>
  <c r="O6" i="228"/>
  <c r="N6" i="228"/>
  <c r="O8" i="228"/>
  <c r="N8" i="228"/>
  <c r="O7" i="228"/>
  <c r="N7" i="228"/>
  <c r="L11" i="228"/>
  <c r="M11" i="228"/>
  <c r="N11" i="228"/>
  <c r="O11" i="228"/>
  <c r="P11" i="228"/>
  <c r="O10" i="228"/>
  <c r="N10" i="228"/>
  <c r="P6" i="228"/>
  <c r="M6" i="228"/>
  <c r="L6" i="228"/>
  <c r="P9" i="228"/>
  <c r="M9" i="228"/>
  <c r="L9" i="228"/>
  <c r="P10" i="228"/>
  <c r="M10" i="228"/>
  <c r="L10" i="228"/>
  <c r="P7" i="228"/>
  <c r="M7" i="228"/>
  <c r="L7" i="228"/>
  <c r="P8" i="228"/>
  <c r="M8" i="228"/>
  <c r="L8" i="228"/>
  <c r="B7" i="227"/>
  <c r="B8" i="227"/>
  <c r="B9" i="227"/>
  <c r="B10" i="227"/>
  <c r="B11" i="227"/>
  <c r="B12" i="227"/>
  <c r="B13" i="227"/>
  <c r="B14" i="227"/>
  <c r="B15" i="227"/>
  <c r="B6" i="227"/>
  <c r="O6" i="227"/>
  <c r="N6" i="227"/>
  <c r="O13" i="227"/>
  <c r="N13" i="227"/>
  <c r="O8" i="227"/>
  <c r="N8" i="227"/>
  <c r="O10" i="227"/>
  <c r="N10" i="227"/>
  <c r="O7" i="227"/>
  <c r="N7" i="227"/>
  <c r="O14" i="227"/>
  <c r="N14" i="227"/>
  <c r="O9" i="227"/>
  <c r="N9" i="227"/>
  <c r="O15" i="227"/>
  <c r="N15" i="227"/>
  <c r="O11" i="227"/>
  <c r="N11" i="227"/>
  <c r="O12" i="227"/>
  <c r="N12" i="227"/>
  <c r="P8" i="227"/>
  <c r="M8" i="227"/>
  <c r="L8" i="227"/>
  <c r="P13" i="227"/>
  <c r="M13" i="227"/>
  <c r="L13" i="227"/>
  <c r="P6" i="227"/>
  <c r="M6" i="227"/>
  <c r="L6" i="227"/>
  <c r="P15" i="227"/>
  <c r="M15" i="227"/>
  <c r="L15" i="227"/>
  <c r="P14" i="227"/>
  <c r="M14" i="227"/>
  <c r="L14" i="227"/>
  <c r="P11" i="227"/>
  <c r="M11" i="227"/>
  <c r="L11" i="227"/>
  <c r="P12" i="227"/>
  <c r="M12" i="227"/>
  <c r="L12" i="227"/>
  <c r="P9" i="227"/>
  <c r="M9" i="227"/>
  <c r="L9" i="227"/>
  <c r="P7" i="227"/>
  <c r="M7" i="227"/>
  <c r="L7" i="227"/>
  <c r="P10" i="227"/>
  <c r="M10" i="227"/>
  <c r="L10" i="227"/>
  <c r="B9" i="226"/>
  <c r="B10" i="226"/>
  <c r="B11" i="226"/>
  <c r="B12" i="226"/>
  <c r="B13" i="226"/>
  <c r="O6" i="226"/>
  <c r="N6" i="226"/>
  <c r="O7" i="226"/>
  <c r="N7" i="226"/>
  <c r="O12" i="226"/>
  <c r="N12" i="226"/>
  <c r="O8" i="226"/>
  <c r="N8" i="226"/>
  <c r="O13" i="226"/>
  <c r="N13" i="226"/>
  <c r="O11" i="226"/>
  <c r="N11" i="226"/>
  <c r="O10" i="226"/>
  <c r="N10" i="226"/>
  <c r="O9" i="226"/>
  <c r="N9" i="226"/>
  <c r="M11" i="226"/>
  <c r="L11" i="226"/>
  <c r="M13" i="226"/>
  <c r="L13" i="226"/>
  <c r="M12" i="226"/>
  <c r="L12" i="226"/>
  <c r="M10" i="226"/>
  <c r="L10" i="226"/>
  <c r="M9" i="226"/>
  <c r="L9" i="226"/>
  <c r="M8" i="226"/>
  <c r="L8" i="226"/>
  <c r="M7" i="226"/>
  <c r="L7" i="226"/>
  <c r="M6" i="226"/>
  <c r="L6" i="226"/>
  <c r="B6" i="226"/>
  <c r="B7" i="226"/>
  <c r="B8" i="226"/>
  <c r="P7" i="226"/>
  <c r="P11" i="226"/>
  <c r="P8" i="226"/>
  <c r="P10" i="226"/>
  <c r="P12" i="226"/>
  <c r="P13" i="226"/>
  <c r="P6" i="226"/>
  <c r="P9" i="226"/>
  <c r="B7" i="225"/>
  <c r="B8" i="225"/>
  <c r="B9" i="225"/>
  <c r="B10" i="225"/>
  <c r="B11" i="225"/>
  <c r="B12" i="225"/>
  <c r="B13" i="225"/>
  <c r="B14" i="225"/>
  <c r="B15" i="225"/>
  <c r="B16" i="225"/>
  <c r="B17" i="225"/>
  <c r="B18" i="225"/>
  <c r="B19" i="225"/>
  <c r="B20" i="225"/>
  <c r="B6" i="225"/>
  <c r="O19" i="225"/>
  <c r="N19" i="225"/>
  <c r="O16" i="225"/>
  <c r="N16" i="225"/>
  <c r="O11" i="225"/>
  <c r="N11" i="225"/>
  <c r="O9" i="225"/>
  <c r="N9" i="225"/>
  <c r="O13" i="225"/>
  <c r="N13" i="225"/>
  <c r="O10" i="225"/>
  <c r="N10" i="225"/>
  <c r="O6" i="225"/>
  <c r="N6" i="225"/>
  <c r="O7" i="225"/>
  <c r="N7" i="225"/>
  <c r="O15" i="225"/>
  <c r="N15" i="225"/>
  <c r="O18" i="225"/>
  <c r="N18" i="225"/>
  <c r="O20" i="225"/>
  <c r="N20" i="225"/>
  <c r="O8" i="225"/>
  <c r="N8" i="225"/>
  <c r="O17" i="225"/>
  <c r="N17" i="225"/>
  <c r="O12" i="225"/>
  <c r="N12" i="225"/>
  <c r="O14" i="225"/>
  <c r="N14" i="225"/>
  <c r="P13" i="225"/>
  <c r="M13" i="225"/>
  <c r="L13" i="225"/>
  <c r="M16" i="225"/>
  <c r="L16" i="225"/>
  <c r="P16" i="225"/>
  <c r="P18" i="225"/>
  <c r="M18" i="225"/>
  <c r="L18" i="225"/>
  <c r="P19" i="225"/>
  <c r="M19" i="225"/>
  <c r="L19" i="225"/>
  <c r="P20" i="225"/>
  <c r="M20" i="225"/>
  <c r="L20" i="225"/>
  <c r="M15" i="225"/>
  <c r="L15" i="225"/>
  <c r="P6" i="225"/>
  <c r="M6" i="225"/>
  <c r="L6" i="225"/>
  <c r="P15" i="225"/>
  <c r="P14" i="225"/>
  <c r="M14" i="225"/>
  <c r="L14" i="225"/>
  <c r="M17" i="225"/>
  <c r="L17" i="225"/>
  <c r="M12" i="225"/>
  <c r="L12" i="225"/>
  <c r="P11" i="225"/>
  <c r="M11" i="225"/>
  <c r="L11" i="225"/>
  <c r="P9" i="225"/>
  <c r="M9" i="225"/>
  <c r="L9" i="225"/>
  <c r="P10" i="225"/>
  <c r="M10" i="225"/>
  <c r="L10" i="225"/>
  <c r="P8" i="225"/>
  <c r="M8" i="225"/>
  <c r="L8" i="225"/>
  <c r="P7" i="225"/>
  <c r="M7" i="225"/>
  <c r="L7" i="225"/>
  <c r="P12" i="225"/>
  <c r="P17" i="225"/>
  <c r="B10" i="224"/>
  <c r="B11" i="224"/>
  <c r="B12" i="224"/>
  <c r="B13" i="224"/>
  <c r="B14" i="224"/>
  <c r="B15" i="224"/>
  <c r="B16" i="224"/>
  <c r="B17" i="224"/>
  <c r="O10" i="224"/>
  <c r="N10" i="224"/>
  <c r="O6" i="224"/>
  <c r="N6" i="224"/>
  <c r="O7" i="224"/>
  <c r="N7" i="224"/>
  <c r="O12" i="224"/>
  <c r="N12" i="224"/>
  <c r="O14" i="224"/>
  <c r="N14" i="224"/>
  <c r="O16" i="224"/>
  <c r="N16" i="224"/>
  <c r="O17" i="224"/>
  <c r="N17" i="224"/>
  <c r="O11" i="224"/>
  <c r="N11" i="224"/>
  <c r="O9" i="224"/>
  <c r="N9" i="224"/>
  <c r="O13" i="224"/>
  <c r="N13" i="224"/>
  <c r="O8" i="224"/>
  <c r="N8" i="224"/>
  <c r="O15" i="224"/>
  <c r="N15" i="224"/>
  <c r="M16" i="224"/>
  <c r="L16" i="224"/>
  <c r="P16" i="224"/>
  <c r="M15" i="224"/>
  <c r="L15" i="224"/>
  <c r="M10" i="224"/>
  <c r="L10" i="224"/>
  <c r="M12" i="224"/>
  <c r="L12" i="224"/>
  <c r="M13" i="224"/>
  <c r="L13" i="224"/>
  <c r="M11" i="224"/>
  <c r="L11" i="224"/>
  <c r="M14" i="224"/>
  <c r="L14" i="224"/>
  <c r="M17" i="224"/>
  <c r="L17" i="224"/>
  <c r="P9" i="224"/>
  <c r="M9" i="224"/>
  <c r="L9" i="224"/>
  <c r="M8" i="224"/>
  <c r="L8" i="224"/>
  <c r="M7" i="224"/>
  <c r="L7" i="224"/>
  <c r="M6" i="224"/>
  <c r="L6" i="224"/>
  <c r="B6" i="224"/>
  <c r="B7" i="224"/>
  <c r="B8" i="224"/>
  <c r="B9" i="224"/>
  <c r="P17" i="224"/>
  <c r="P14" i="224"/>
  <c r="P11" i="224"/>
  <c r="P13" i="224"/>
  <c r="P10" i="224"/>
  <c r="P15" i="224"/>
  <c r="P7" i="224"/>
  <c r="P6" i="224"/>
  <c r="P12" i="224"/>
  <c r="P8" i="224"/>
  <c r="B7" i="223"/>
  <c r="B8" i="223"/>
  <c r="B9" i="223"/>
  <c r="B10" i="223"/>
  <c r="B11" i="223"/>
  <c r="B12" i="223"/>
  <c r="B13" i="223"/>
  <c r="B14" i="223"/>
  <c r="B15" i="223"/>
  <c r="B16" i="223"/>
  <c r="B17" i="223"/>
  <c r="B18" i="223"/>
  <c r="B19" i="223"/>
  <c r="B20" i="223"/>
  <c r="B6" i="223"/>
  <c r="O15" i="223"/>
  <c r="N15" i="223"/>
  <c r="O9" i="223"/>
  <c r="N9" i="223"/>
  <c r="O17" i="223"/>
  <c r="N17" i="223"/>
  <c r="O8" i="223"/>
  <c r="N8" i="223"/>
  <c r="O6" i="223"/>
  <c r="N6" i="223"/>
  <c r="O16" i="223"/>
  <c r="N16" i="223"/>
  <c r="O13" i="223"/>
  <c r="N13" i="223"/>
  <c r="O7" i="223"/>
  <c r="N7" i="223"/>
  <c r="O14" i="223"/>
  <c r="N14" i="223"/>
  <c r="O11" i="223"/>
  <c r="N11" i="223"/>
  <c r="O18" i="223"/>
  <c r="N18" i="223"/>
  <c r="O19" i="223"/>
  <c r="N19" i="223"/>
  <c r="O20" i="223"/>
  <c r="N20" i="223"/>
  <c r="O10" i="223"/>
  <c r="N10" i="223"/>
  <c r="O12" i="223"/>
  <c r="N12" i="223"/>
  <c r="M17" i="223"/>
  <c r="L17" i="223"/>
  <c r="M9" i="223"/>
  <c r="L9" i="223"/>
  <c r="M14" i="223"/>
  <c r="L14" i="223"/>
  <c r="P14" i="223"/>
  <c r="P9" i="223"/>
  <c r="P17" i="223"/>
  <c r="M12" i="223"/>
  <c r="L12" i="223"/>
  <c r="M10" i="223"/>
  <c r="L10" i="223"/>
  <c r="M15" i="223"/>
  <c r="L15" i="223"/>
  <c r="M16" i="223"/>
  <c r="L16" i="223"/>
  <c r="M13" i="223"/>
  <c r="L13" i="223"/>
  <c r="P6" i="223"/>
  <c r="M6" i="223"/>
  <c r="L6" i="223"/>
  <c r="M19" i="223"/>
  <c r="L19" i="223"/>
  <c r="M18" i="223"/>
  <c r="L18" i="223"/>
  <c r="M20" i="223"/>
  <c r="L20" i="223"/>
  <c r="M11" i="223"/>
  <c r="L11" i="223"/>
  <c r="M8" i="223"/>
  <c r="L8" i="223"/>
  <c r="M7" i="223"/>
  <c r="L7" i="223"/>
  <c r="P13" i="223"/>
  <c r="P16" i="223"/>
  <c r="P8" i="223"/>
  <c r="P11" i="223"/>
  <c r="P20" i="223"/>
  <c r="P18" i="223"/>
  <c r="P19" i="223"/>
  <c r="P7" i="223"/>
  <c r="P15" i="223"/>
  <c r="P10" i="223"/>
  <c r="P12" i="223"/>
  <c r="B8" i="222"/>
  <c r="B9" i="222"/>
  <c r="B10" i="222"/>
  <c r="B11" i="222"/>
  <c r="B12" i="222"/>
  <c r="B13" i="222"/>
  <c r="B14" i="222"/>
  <c r="B15" i="222"/>
  <c r="B16" i="222"/>
  <c r="O13" i="222"/>
  <c r="N13" i="222"/>
  <c r="O10" i="222"/>
  <c r="N10" i="222"/>
  <c r="O12" i="222"/>
  <c r="N12" i="222"/>
  <c r="O7" i="222"/>
  <c r="N7" i="222"/>
  <c r="O16" i="222"/>
  <c r="N16" i="222"/>
  <c r="O15" i="222"/>
  <c r="N15" i="222"/>
  <c r="O9" i="222"/>
  <c r="N9" i="222"/>
  <c r="O6" i="222"/>
  <c r="N6" i="222"/>
  <c r="O14" i="222"/>
  <c r="N14" i="222"/>
  <c r="O8" i="222"/>
  <c r="N8" i="222"/>
  <c r="O11" i="222"/>
  <c r="N11" i="222"/>
  <c r="M12" i="222"/>
  <c r="L12" i="222"/>
  <c r="P12" i="222"/>
  <c r="M16" i="222"/>
  <c r="L16" i="222"/>
  <c r="M11" i="222"/>
  <c r="L11" i="222"/>
  <c r="M14" i="222"/>
  <c r="L14" i="222"/>
  <c r="M15" i="222"/>
  <c r="L15" i="222"/>
  <c r="M13" i="222"/>
  <c r="L13" i="222"/>
  <c r="M7" i="222"/>
  <c r="L7" i="222"/>
  <c r="M9" i="222"/>
  <c r="L9" i="222"/>
  <c r="M8" i="222"/>
  <c r="L8" i="222"/>
  <c r="M10" i="222"/>
  <c r="L10" i="222"/>
  <c r="M6" i="222"/>
  <c r="L6" i="222"/>
  <c r="B6" i="222"/>
  <c r="B7" i="222"/>
  <c r="P10" i="222"/>
  <c r="P14" i="222"/>
  <c r="P16" i="222"/>
  <c r="P11" i="222"/>
  <c r="P13" i="222"/>
  <c r="P15" i="222"/>
  <c r="P9" i="222"/>
  <c r="P6" i="222"/>
  <c r="P8" i="222"/>
  <c r="P7" i="222"/>
  <c r="B7" i="221"/>
  <c r="B8" i="221"/>
  <c r="B9" i="221"/>
  <c r="B10" i="221"/>
  <c r="B11" i="221"/>
  <c r="B12" i="221"/>
  <c r="B13" i="221"/>
  <c r="B14" i="221"/>
  <c r="O9" i="221"/>
  <c r="N9" i="221"/>
  <c r="O6" i="221"/>
  <c r="N6" i="221"/>
  <c r="O11" i="221"/>
  <c r="N11" i="221"/>
  <c r="O8" i="221"/>
  <c r="N8" i="221"/>
  <c r="O12" i="221"/>
  <c r="N12" i="221"/>
  <c r="O7" i="221"/>
  <c r="N7" i="221"/>
  <c r="O14" i="221"/>
  <c r="N14" i="221"/>
  <c r="O13" i="221"/>
  <c r="N13" i="221"/>
  <c r="O10" i="221"/>
  <c r="N10" i="221"/>
  <c r="M11" i="221"/>
  <c r="L11" i="221"/>
  <c r="P11" i="221"/>
  <c r="M13" i="221"/>
  <c r="L13" i="221"/>
  <c r="M7" i="221"/>
  <c r="L7" i="221"/>
  <c r="M12" i="221"/>
  <c r="L12" i="221"/>
  <c r="M14" i="221"/>
  <c r="L14" i="221"/>
  <c r="M10" i="221"/>
  <c r="L10" i="221"/>
  <c r="M8" i="221"/>
  <c r="L8" i="221"/>
  <c r="M9" i="221"/>
  <c r="L9" i="221"/>
  <c r="M6" i="221"/>
  <c r="L6" i="221"/>
  <c r="B6" i="221"/>
  <c r="P9" i="221"/>
  <c r="P8" i="221"/>
  <c r="P10" i="221"/>
  <c r="P14" i="221"/>
  <c r="P12" i="221"/>
  <c r="P7" i="221"/>
  <c r="P13" i="221"/>
  <c r="P6" i="221"/>
  <c r="B7" i="220"/>
  <c r="B8" i="220"/>
  <c r="B9" i="220"/>
  <c r="B10" i="220"/>
  <c r="B11" i="220"/>
  <c r="B12" i="220"/>
  <c r="B13" i="220"/>
  <c r="B14" i="220"/>
  <c r="B15" i="220"/>
  <c r="B16" i="220"/>
  <c r="B6" i="220"/>
  <c r="O13" i="220"/>
  <c r="N13" i="220"/>
  <c r="O10" i="220"/>
  <c r="N10" i="220"/>
  <c r="O16" i="220"/>
  <c r="N16" i="220"/>
  <c r="O15" i="220"/>
  <c r="N15" i="220"/>
  <c r="O8" i="220"/>
  <c r="N8" i="220"/>
  <c r="O6" i="220"/>
  <c r="N6" i="220"/>
  <c r="O12" i="220"/>
  <c r="N12" i="220"/>
  <c r="O11" i="220"/>
  <c r="N11" i="220"/>
  <c r="O7" i="220"/>
  <c r="N7" i="220"/>
  <c r="O14" i="220"/>
  <c r="N14" i="220"/>
  <c r="M13" i="220"/>
  <c r="L13" i="220"/>
  <c r="M7" i="220"/>
  <c r="L7" i="220"/>
  <c r="M12" i="220"/>
  <c r="L12" i="220"/>
  <c r="M11" i="220"/>
  <c r="L11" i="220"/>
  <c r="P7" i="220"/>
  <c r="P11" i="220"/>
  <c r="P13" i="220"/>
  <c r="P12" i="220"/>
  <c r="O9" i="220"/>
  <c r="N9" i="220"/>
  <c r="M9" i="220"/>
  <c r="L9" i="220"/>
  <c r="M16" i="220"/>
  <c r="L16" i="220"/>
  <c r="M14" i="220"/>
  <c r="L14" i="220"/>
  <c r="M15" i="220"/>
  <c r="L15" i="220"/>
  <c r="M8" i="220"/>
  <c r="L8" i="220"/>
  <c r="M10" i="220"/>
  <c r="L10" i="220"/>
  <c r="M6" i="220"/>
  <c r="L6" i="220"/>
  <c r="P8" i="220"/>
  <c r="P15" i="220"/>
  <c r="P6" i="220"/>
  <c r="P10" i="220"/>
  <c r="P14" i="220"/>
  <c r="P16" i="220"/>
  <c r="P9" i="220"/>
  <c r="B8" i="219"/>
  <c r="B9" i="219"/>
  <c r="B10" i="219"/>
  <c r="B11" i="219"/>
  <c r="B12" i="219"/>
  <c r="B13" i="219"/>
  <c r="B7" i="219"/>
  <c r="B6" i="219"/>
  <c r="O10" i="219"/>
  <c r="N10" i="219"/>
  <c r="O8" i="219"/>
  <c r="N8" i="219"/>
  <c r="N12" i="219"/>
  <c r="O12" i="219"/>
  <c r="O11" i="219"/>
  <c r="N11" i="219"/>
  <c r="M11" i="219"/>
  <c r="L11" i="219"/>
  <c r="O9" i="219"/>
  <c r="N9" i="219"/>
  <c r="M9" i="219"/>
  <c r="L9" i="219"/>
  <c r="O7" i="219"/>
  <c r="N7" i="219"/>
  <c r="O6" i="219"/>
  <c r="N6" i="219"/>
  <c r="O13" i="219"/>
  <c r="N13" i="219"/>
  <c r="P11" i="219"/>
  <c r="P9" i="219"/>
  <c r="P8" i="219"/>
  <c r="M8" i="219"/>
  <c r="L8" i="219"/>
  <c r="M13" i="219"/>
  <c r="L13" i="219"/>
  <c r="M10" i="219"/>
  <c r="L10" i="219"/>
  <c r="P12" i="219"/>
  <c r="M12" i="219"/>
  <c r="L12" i="219"/>
  <c r="M6" i="219"/>
  <c r="L6" i="219"/>
  <c r="M7" i="219"/>
  <c r="L7" i="219"/>
  <c r="P6" i="219"/>
  <c r="P10" i="219"/>
  <c r="P13" i="219"/>
  <c r="P7" i="219"/>
  <c r="B7" i="218"/>
  <c r="B8" i="218"/>
  <c r="B9" i="218"/>
  <c r="B10" i="218"/>
  <c r="B11" i="218"/>
  <c r="B12" i="218"/>
  <c r="B13" i="218"/>
  <c r="B14" i="218"/>
  <c r="B15" i="218"/>
  <c r="B6" i="218"/>
  <c r="O9" i="218"/>
  <c r="N9" i="218"/>
  <c r="O14" i="218"/>
  <c r="N14" i="218"/>
  <c r="O12" i="218"/>
  <c r="N12" i="218"/>
  <c r="O7" i="218"/>
  <c r="N7" i="218"/>
  <c r="P7" i="218"/>
  <c r="O8" i="218"/>
  <c r="N8" i="218"/>
  <c r="O11" i="218"/>
  <c r="N11" i="218"/>
  <c r="P11" i="218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/>
  <c r="P8" i="218"/>
  <c r="P10" i="218"/>
  <c r="M15" i="218"/>
  <c r="L15" i="218"/>
  <c r="P15" i="218"/>
  <c r="P13" i="218"/>
  <c r="M13" i="218"/>
  <c r="L13" i="218"/>
  <c r="M14" i="218"/>
  <c r="L14" i="218"/>
  <c r="M6" i="218"/>
  <c r="L6" i="218"/>
  <c r="M9" i="218"/>
  <c r="L9" i="218"/>
  <c r="P9" i="218"/>
  <c r="P6" i="218"/>
  <c r="P14" i="218"/>
  <c r="B7" i="217"/>
  <c r="B8" i="217"/>
  <c r="B9" i="217"/>
  <c r="B10" i="217"/>
  <c r="B11" i="217"/>
  <c r="B12" i="217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/>
  <c r="N8" i="217"/>
  <c r="P9" i="217"/>
  <c r="M9" i="217"/>
  <c r="L9" i="217"/>
  <c r="P6" i="217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/>
  <c r="P11" i="217"/>
  <c r="B7" i="216"/>
  <c r="B8" i="216"/>
  <c r="B9" i="216"/>
  <c r="B10" i="216"/>
  <c r="B11" i="216"/>
  <c r="B12" i="216"/>
  <c r="B13" i="216"/>
  <c r="B14" i="216"/>
  <c r="B15" i="216"/>
  <c r="B16" i="216"/>
  <c r="B17" i="216"/>
  <c r="B18" i="216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/>
  <c r="M14" i="216"/>
  <c r="L14" i="216"/>
  <c r="M12" i="216"/>
  <c r="L12" i="216"/>
  <c r="P12" i="216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/>
  <c r="P13" i="216"/>
  <c r="P6" i="216"/>
  <c r="P15" i="216"/>
  <c r="P10" i="216"/>
  <c r="P17" i="216"/>
  <c r="P16" i="216"/>
  <c r="P18" i="216"/>
  <c r="P8" i="216"/>
  <c r="P9" i="216"/>
  <c r="B7" i="215"/>
  <c r="B8" i="215"/>
  <c r="B9" i="215"/>
  <c r="B10" i="215"/>
  <c r="B11" i="215"/>
  <c r="B12" i="215"/>
  <c r="B13" i="215"/>
  <c r="B14" i="215"/>
  <c r="B15" i="215"/>
  <c r="B16" i="215"/>
  <c r="B17" i="215"/>
  <c r="B18" i="215"/>
  <c r="B19" i="215"/>
  <c r="B20" i="215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/>
  <c r="L14" i="215"/>
  <c r="P14" i="215"/>
  <c r="M12" i="215"/>
  <c r="L12" i="215"/>
  <c r="P12" i="215"/>
  <c r="M15" i="215"/>
  <c r="L15" i="215"/>
  <c r="P15" i="215"/>
  <c r="M13" i="215"/>
  <c r="L13" i="215"/>
  <c r="M10" i="215"/>
  <c r="L10" i="215"/>
  <c r="P10" i="215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/>
  <c r="P20" i="215"/>
  <c r="P11" i="215"/>
  <c r="P9" i="215"/>
  <c r="P7" i="215"/>
  <c r="P6" i="215"/>
  <c r="P19" i="215"/>
  <c r="P17" i="215"/>
  <c r="P16" i="215"/>
  <c r="P18" i="215"/>
  <c r="B7" i="214"/>
  <c r="B8" i="214"/>
  <c r="B9" i="214"/>
  <c r="B10" i="214"/>
  <c r="B11" i="214"/>
  <c r="B12" i="214"/>
  <c r="B13" i="214"/>
  <c r="B14" i="214"/>
  <c r="B15" i="214"/>
  <c r="B16" i="214"/>
  <c r="B17" i="214"/>
  <c r="B18" i="214"/>
  <c r="B19" i="214"/>
  <c r="B20" i="214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/>
  <c r="M9" i="214"/>
  <c r="P9" i="214"/>
  <c r="P12" i="214"/>
  <c r="M12" i="214"/>
  <c r="L12" i="214"/>
  <c r="P19" i="214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/>
  <c r="P11" i="214"/>
  <c r="P13" i="214"/>
  <c r="P20" i="214"/>
  <c r="P8" i="214"/>
  <c r="B7" i="213"/>
  <c r="B8" i="213"/>
  <c r="B9" i="213"/>
  <c r="B10" i="213"/>
  <c r="B11" i="213"/>
  <c r="B12" i="213"/>
  <c r="B13" i="213"/>
  <c r="B14" i="213"/>
  <c r="B15" i="213"/>
  <c r="B16" i="213"/>
  <c r="B17" i="213"/>
  <c r="B18" i="213"/>
  <c r="B19" i="213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/>
  <c r="P12" i="213"/>
  <c r="P18" i="213"/>
  <c r="P15" i="213"/>
  <c r="P16" i="213"/>
  <c r="P9" i="213"/>
  <c r="P6" i="213"/>
  <c r="P13" i="213"/>
  <c r="P17" i="213"/>
  <c r="P8" i="213"/>
  <c r="P11" i="213"/>
  <c r="B8" i="212"/>
  <c r="B9" i="212"/>
  <c r="B10" i="212"/>
  <c r="B11" i="212"/>
  <c r="B12" i="212"/>
  <c r="B13" i="212"/>
  <c r="B14" i="212"/>
  <c r="B15" i="212"/>
  <c r="B16" i="212"/>
  <c r="B17" i="212"/>
  <c r="B18" i="212"/>
  <c r="B19" i="212"/>
  <c r="B20" i="212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/>
  <c r="M11" i="212"/>
  <c r="L11" i="212"/>
  <c r="M14" i="212"/>
  <c r="L14" i="212"/>
  <c r="P14" i="212"/>
  <c r="M19" i="212"/>
  <c r="L19" i="212"/>
  <c r="P16" i="212"/>
  <c r="M16" i="212"/>
  <c r="L16" i="212"/>
  <c r="M17" i="212"/>
  <c r="L17" i="212"/>
  <c r="M18" i="212"/>
  <c r="L18" i="212"/>
  <c r="B6" i="212"/>
  <c r="B7" i="212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/>
  <c r="B9" i="211"/>
  <c r="B10" i="211"/>
  <c r="B11" i="211"/>
  <c r="B12" i="211"/>
  <c r="B13" i="211"/>
  <c r="B14" i="211"/>
  <c r="B15" i="211"/>
  <c r="B16" i="211"/>
  <c r="B17" i="211"/>
  <c r="B18" i="211"/>
  <c r="B19" i="21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/>
  <c r="L19" i="211"/>
  <c r="P19" i="211"/>
  <c r="M15" i="211"/>
  <c r="L15" i="211"/>
  <c r="P17" i="211"/>
  <c r="M17" i="211"/>
  <c r="L17" i="211"/>
  <c r="M16" i="211"/>
  <c r="L16" i="211"/>
  <c r="P16" i="21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/>
  <c r="P9" i="211"/>
  <c r="P8" i="211"/>
  <c r="P10" i="211"/>
  <c r="P14" i="211"/>
  <c r="P13" i="211"/>
  <c r="P11" i="211"/>
  <c r="P18" i="211"/>
  <c r="P6" i="211"/>
  <c r="P7" i="211"/>
  <c r="B7" i="210"/>
  <c r="B8" i="210"/>
  <c r="B9" i="210"/>
  <c r="B10" i="210"/>
  <c r="B11" i="210"/>
  <c r="B12" i="210"/>
  <c r="B13" i="210"/>
  <c r="B14" i="210"/>
  <c r="B15" i="210"/>
  <c r="B16" i="210"/>
  <c r="B17" i="210"/>
  <c r="B18" i="210"/>
  <c r="B19" i="210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/>
  <c r="L19" i="210"/>
  <c r="P19" i="210"/>
  <c r="M18" i="210"/>
  <c r="L18" i="210"/>
  <c r="P14" i="210"/>
  <c r="M14" i="210"/>
  <c r="L14" i="210"/>
  <c r="P18" i="210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/>
  <c r="P13" i="210"/>
  <c r="P11" i="210"/>
  <c r="P17" i="210"/>
  <c r="P7" i="210"/>
  <c r="P6" i="210"/>
  <c r="P8" i="210"/>
  <c r="P15" i="210"/>
  <c r="P16" i="210"/>
  <c r="B7" i="209"/>
  <c r="B8" i="209"/>
  <c r="B9" i="209"/>
  <c r="B10" i="209"/>
  <c r="B11" i="209"/>
  <c r="B12" i="209"/>
  <c r="B13" i="209"/>
  <c r="B14" i="209"/>
  <c r="B15" i="209"/>
  <c r="B16" i="209"/>
  <c r="B17" i="209"/>
  <c r="B18" i="209"/>
  <c r="B19" i="209"/>
  <c r="B20" i="209"/>
  <c r="B21" i="209"/>
  <c r="B22" i="209"/>
  <c r="B23" i="209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/>
  <c r="M17" i="209"/>
  <c r="L17" i="209"/>
  <c r="M16" i="209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/>
  <c r="P20" i="209"/>
  <c r="P13" i="209"/>
  <c r="P15" i="209"/>
  <c r="P19" i="209"/>
  <c r="P16" i="209"/>
  <c r="P9" i="209"/>
  <c r="P6" i="209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/>
  <c r="P12" i="209"/>
  <c r="P8" i="209"/>
  <c r="P7" i="209"/>
  <c r="P11" i="209"/>
  <c r="P14" i="209"/>
  <c r="P23" i="209"/>
  <c r="P10" i="209"/>
  <c r="P21" i="209"/>
  <c r="B8" i="208"/>
  <c r="B9" i="208"/>
  <c r="B10" i="208"/>
  <c r="B11" i="208"/>
  <c r="B12" i="208"/>
  <c r="B13" i="208"/>
  <c r="B14" i="208"/>
  <c r="B15" i="208"/>
  <c r="B16" i="208"/>
  <c r="B17" i="208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/>
  <c r="O17" i="208"/>
  <c r="N17" i="208"/>
  <c r="O12" i="208"/>
  <c r="N12" i="208"/>
  <c r="O13" i="208"/>
  <c r="N13" i="208"/>
  <c r="M11" i="208"/>
  <c r="L11" i="208"/>
  <c r="P11" i="208"/>
  <c r="M17" i="208"/>
  <c r="L17" i="208"/>
  <c r="P17" i="208"/>
  <c r="M16" i="208"/>
  <c r="L16" i="208"/>
  <c r="P14" i="208"/>
  <c r="M14" i="208"/>
  <c r="L14" i="208"/>
  <c r="P13" i="208"/>
  <c r="M13" i="208"/>
  <c r="L13" i="208"/>
  <c r="P16" i="208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/>
  <c r="P12" i="208"/>
  <c r="P10" i="208"/>
  <c r="P6" i="208"/>
  <c r="B7" i="207"/>
  <c r="B8" i="207"/>
  <c r="B9" i="207"/>
  <c r="B10" i="207"/>
  <c r="B11" i="207"/>
  <c r="B12" i="207"/>
  <c r="B13" i="207"/>
  <c r="B14" i="207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/>
  <c r="M14" i="207"/>
  <c r="L14" i="207"/>
  <c r="P11" i="207"/>
  <c r="M11" i="207"/>
  <c r="L11" i="207"/>
  <c r="P12" i="207"/>
  <c r="M12" i="207"/>
  <c r="L12" i="207"/>
  <c r="P6" i="207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<sst xmlns="http://schemas.openxmlformats.org/spreadsheetml/2006/main" count="1329" uniqueCount="137">
  <si>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</si>
  <si>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</si>
  <si>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</si>
  <si>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</si>
  <si>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</si>
  <si>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</si>
  <si>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</si>
  <si>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</si>
  <si>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</si>
  <si>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</si>
  <si>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</si>
  <si>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</si>
  <si>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</si>
  <si>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</si>
  <si>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</si>
  <si>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</si>
  <si>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</si>
  <si>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</si>
  <si>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</si>
  <si>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</si>
  <si>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</si>
  <si>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</si>
  <si>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</si>
  <si>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</si>
  <si>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</si>
  <si>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</si>
  <si>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</si>
  <si>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</si>
  <si>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</si>
  <si>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</si>
  <si>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</si>
  <si>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</si>
  <si>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</si>
  <si>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</si>
  <si>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</si>
  <si>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</si>
  <si>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</si>
  <si>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</si>
  <si>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</si>
  <si>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</si>
  <si>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</si>
  <si>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</si>
  <si>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</si>
  <si>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</si>
  <si>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</si>
  <si>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</si>
  <si>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</si>
  <si>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</si>
  <si>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</si>
  <si>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</si>
  <si>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</si>
  <si>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</si>
  <si>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</si>
  <si>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</si>
  <si>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</si>
  <si>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</si>
  <si>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</si>
  <si>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</si>
  <si>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</si>
  <si>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</si>
  <si>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</si>
  <si>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</si>
  <si>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</si>
  <si>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</si>
  <si>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</si>
  <si>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</si>
  <si>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</si>
  <si>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</si>
  <si>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</si>
  <si>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</si>
  <si>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</si>
  <si>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</si>
  <si>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</si>
  <si>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</si>
  <si>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</si>
  <si>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</si>
  <si>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</si>
  <si>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</si>
  <si>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</si>
  <si>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</si>
  <si>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</si>
  <si>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</si>
  <si>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</si>
  <si>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</si>
  <si>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</si>
  <si>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</si>
  <si>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</si>
  <si>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</si>
  <si>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</si>
  <si>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</si>
  <si>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</si>
  <si>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</si>
  <si>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</si>
  <si>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</si>
  <si>
    <t>2020 / 28</t>
  </si>
  <si>
    <t>10 - 16 Temmuz 2020</t>
  </si>
  <si>
    <t>KIZIM GİBİ KOKUYORSUN</t>
  </si>
  <si>
    <t>SARGONA FİLM</t>
  </si>
  <si>
    <t>2020 / 29</t>
  </si>
  <si>
    <t>17 - 23 Temmuz 2020</t>
  </si>
  <si>
    <t>TIME FREAK</t>
  </si>
  <si>
    <t>ADOPT A DADDY</t>
  </si>
  <si>
    <t>2020 / 30</t>
  </si>
  <si>
    <t>24 - 30 Temmuz 2020</t>
  </si>
  <si>
    <t>JULIET, NAKED</t>
  </si>
  <si>
    <t>2020 / 31</t>
  </si>
  <si>
    <t>31 Temmuz - 06 Ağustos 2020</t>
  </si>
  <si>
    <t>BEAUTIFUL BOY</t>
  </si>
  <si>
    <t>2020 / 32</t>
  </si>
  <si>
    <t>07 - 13 Ağustos 2020</t>
  </si>
  <si>
    <t>47 METERS DOWN: UNCAGED</t>
  </si>
  <si>
    <t>CHILD REMAINS, THE</t>
  </si>
  <si>
    <t>2020 / 33</t>
  </si>
  <si>
    <t>14 - 20 Ağustos 2020</t>
  </si>
  <si>
    <t>WHITE CROW, THE</t>
  </si>
  <si>
    <t>2020 / 34</t>
  </si>
  <si>
    <t>21 - 27 Ağustos 2020</t>
  </si>
  <si>
    <t>PALM SPRINGS</t>
  </si>
  <si>
    <t>IT FOLLOWS</t>
  </si>
  <si>
    <t>MOONLIGHT</t>
  </si>
  <si>
    <t>2020 / 35</t>
  </si>
  <si>
    <t>28 Ağustos - 03 Eylül 2020</t>
  </si>
  <si>
    <t>2020 / 36</t>
  </si>
  <si>
    <t>04 - 10 Eylül 2020</t>
  </si>
  <si>
    <t>ANTEBELLUM</t>
  </si>
  <si>
    <t>RADIOACTIVE</t>
  </si>
  <si>
    <t>2020 / 37</t>
  </si>
  <si>
    <t>11 - 17 Eylül 2020</t>
  </si>
  <si>
    <t>GUNS AKIMBO</t>
  </si>
  <si>
    <t>CAROL</t>
  </si>
  <si>
    <t>2020 / 38</t>
  </si>
  <si>
    <t>18 - 24 Eylül 2020</t>
  </si>
  <si>
    <t>2020 / 39</t>
  </si>
  <si>
    <t>25 Eylül - 01 Ekim 2020</t>
  </si>
  <si>
    <t>RANDIMAN</t>
  </si>
  <si>
    <t>KİM YAPIM</t>
  </si>
  <si>
    <t>PERSONAL HISTORY OF DAVID COPPERFIELD,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</si>
</sst>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8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132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133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134</v>
      </c>
      <c r="D6" s="30">
        <v>44099</v>
      </c>
      <c r="E6" s="31" t="s">
        <v>15</v>
      </c>
      <c r="F6" s="31" t="s">
        <v>135</v>
      </c>
      <c r="G6" s="32">
        <v>140</v>
      </c>
      <c r="H6" s="32">
        <v>140</v>
      </c>
      <c r="I6" s="33">
        <v>1</v>
      </c>
      <c r="J6" s="34">
        <v>70853.5</v>
      </c>
      <c r="K6" s="35">
        <v>4007</v>
      </c>
      <c r="L6" s="36">
        <f t="shared" ref="L6" si="0">K6/H6</f>
        <v>28.62142857142857</v>
      </c>
      <c r="M6" s="37">
        <f t="shared" ref="M6" si="1">+J6/K6</f>
        <v>17.682430746194161</v>
      </c>
      <c r="N6" s="38">
        <f>70853.5</f>
        <v>70853.5</v>
      </c>
      <c r="O6" s="39">
        <f>4007</f>
        <v>4007</v>
      </c>
      <c r="P6" s="40">
        <f t="shared" ref="P6" si="2">N6/O6</f>
        <v>17.682430746194161</v>
      </c>
      <c r="Q6" s="2"/>
      <c r="R6" s="2"/>
      <c r="S6" s="2"/>
    </row>
    <row r="7" spans="1:19" s="8" customFormat="1" ht="22.5" customHeight="1" x14ac:dyDescent="0.25">
      <c r="B7" s="9">
        <f t="shared" ref="B7:B12" si="3">B6+1</f>
        <v>2</v>
      </c>
      <c r="C7" s="18" t="s">
        <v>136</v>
      </c>
      <c r="D7" s="19">
        <v>44099</v>
      </c>
      <c r="E7" s="20" t="s">
        <v>15</v>
      </c>
      <c r="F7" s="20" t="s">
        <v>15</v>
      </c>
      <c r="G7" s="21">
        <v>40</v>
      </c>
      <c r="H7" s="21">
        <v>40</v>
      </c>
      <c r="I7" s="22">
        <v>1</v>
      </c>
      <c r="J7" s="10">
        <v>25457.5</v>
      </c>
      <c r="K7" s="11">
        <v>1033</v>
      </c>
      <c r="L7" s="23">
        <f t="shared" ref="L7" si="4">K7/H7</f>
        <v>25.824999999999999</v>
      </c>
      <c r="M7" s="24">
        <f t="shared" ref="M7" si="5">+J7/K7</f>
        <v>24.644240077444337</v>
      </c>
      <c r="N7" s="25">
        <v>25457.5</v>
      </c>
      <c r="O7" s="26">
        <v>1033</v>
      </c>
      <c r="P7" s="27">
        <f t="shared" ref="P7" si="6">N7/O7</f>
        <v>24.644240077444337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125</v>
      </c>
      <c r="D8" s="19">
        <v>44092</v>
      </c>
      <c r="E8" s="20" t="s">
        <v>15</v>
      </c>
      <c r="F8" s="20" t="s">
        <v>15</v>
      </c>
      <c r="G8" s="21">
        <v>50</v>
      </c>
      <c r="H8" s="21">
        <v>50</v>
      </c>
      <c r="I8" s="22">
        <v>2</v>
      </c>
      <c r="J8" s="10">
        <v>22921.5</v>
      </c>
      <c r="K8" s="11">
        <v>1026</v>
      </c>
      <c r="L8" s="23">
        <f t="shared" ref="L8" si="7">K8/H8</f>
        <v>20.52</v>
      </c>
      <c r="M8" s="24">
        <f t="shared" ref="M8" si="8">+J8/K8</f>
        <v>22.3406432748538</v>
      </c>
      <c r="N8" s="25">
        <f>590+58629.5+22921.5</f>
        <v>82141</v>
      </c>
      <c r="O8" s="26">
        <f>32+2671+1026</f>
        <v>3729</v>
      </c>
      <c r="P8" s="27">
        <f t="shared" ref="P8" si="9">N8/O8</f>
        <v>22.027621346205418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45</v>
      </c>
      <c r="D9" s="19">
        <v>43854</v>
      </c>
      <c r="E9" s="20" t="s">
        <v>15</v>
      </c>
      <c r="F9" s="20" t="s">
        <v>15</v>
      </c>
      <c r="G9" s="21">
        <v>1</v>
      </c>
      <c r="H9" s="21">
        <v>1</v>
      </c>
      <c r="I9" s="22">
        <v>13</v>
      </c>
      <c r="J9" s="10">
        <v>5000</v>
      </c>
      <c r="K9" s="11">
        <v>100</v>
      </c>
      <c r="L9" s="23">
        <f t="shared" ref="L9" si="10">K9/H9</f>
        <v>100</v>
      </c>
      <c r="M9" s="24">
        <f t="shared" ref="M9" si="11">+J9/K9</f>
        <v>50</v>
      </c>
      <c r="N9" s="25">
        <f>5439+1652+94419+26989+8240+1167+3409.2+2970+335+40+160+60+170+90+5000</f>
        <v>150140.20000000001</v>
      </c>
      <c r="O9" s="26">
        <f>337+106+4328+1517+645+137+353+297+19+4+16+6+17+9+100</f>
        <v>7891</v>
      </c>
      <c r="P9" s="27">
        <f t="shared" ref="P9" si="12">N9/O9</f>
        <v>19.026764668609811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75</v>
      </c>
      <c r="D10" s="19">
        <v>43882</v>
      </c>
      <c r="E10" s="20" t="s">
        <v>15</v>
      </c>
      <c r="F10" s="20" t="s">
        <v>15</v>
      </c>
      <c r="G10" s="21">
        <v>1</v>
      </c>
      <c r="H10" s="21">
        <v>1</v>
      </c>
      <c r="I10" s="22">
        <v>5</v>
      </c>
      <c r="J10" s="10">
        <v>720</v>
      </c>
      <c r="K10" s="11">
        <v>38</v>
      </c>
      <c r="L10" s="23">
        <f>K10/H10</f>
        <v>38</v>
      </c>
      <c r="M10" s="24">
        <f>+J10/K10</f>
        <v>18.94736842105263</v>
      </c>
      <c r="N10" s="25">
        <f>12428+2344+11742+5956+720</f>
        <v>33190</v>
      </c>
      <c r="O10" s="26">
        <f>789+118+573+404+38</f>
        <v>1922</v>
      </c>
      <c r="P10" s="27">
        <f>N10/O10</f>
        <v>17.268470343392298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110</v>
      </c>
      <c r="D11" s="19">
        <v>44050</v>
      </c>
      <c r="E11" s="20" t="s">
        <v>15</v>
      </c>
      <c r="F11" s="20" t="s">
        <v>15</v>
      </c>
      <c r="G11" s="21">
        <v>2</v>
      </c>
      <c r="H11" s="21">
        <v>2</v>
      </c>
      <c r="I11" s="22">
        <v>7</v>
      </c>
      <c r="J11" s="10">
        <v>590</v>
      </c>
      <c r="K11" s="11">
        <v>34</v>
      </c>
      <c r="L11" s="23">
        <f>K11/H11</f>
        <v>17</v>
      </c>
      <c r="M11" s="24">
        <f>+J11/K11</f>
        <v>17.352941176470587</v>
      </c>
      <c r="N11" s="25">
        <f>82318.5+76828+45512.5+15630.5+2567.5+1130+700+590</f>
        <v>225277</v>
      </c>
      <c r="O11" s="26">
        <f>4533+4117+2548+861+121+64+40+34</f>
        <v>12318</v>
      </c>
      <c r="P11" s="27">
        <f>N11/O11</f>
        <v>18.288439681766519</v>
      </c>
      <c r="Q11" s="2"/>
      <c r="R11" s="2"/>
      <c r="S11" s="2"/>
    </row>
    <row r="12" spans="1:19" s="8" customFormat="1" ht="22.5" customHeight="1" thickBot="1" x14ac:dyDescent="0.3">
      <c r="B12" s="41">
        <f t="shared" si="3"/>
        <v>7</v>
      </c>
      <c r="C12" s="42" t="s">
        <v>24</v>
      </c>
      <c r="D12" s="43">
        <v>43798</v>
      </c>
      <c r="E12" s="44" t="s">
        <v>15</v>
      </c>
      <c r="F12" s="44" t="s">
        <v>25</v>
      </c>
      <c r="G12" s="45">
        <v>1</v>
      </c>
      <c r="H12" s="45">
        <v>1</v>
      </c>
      <c r="I12" s="46">
        <v>13</v>
      </c>
      <c r="J12" s="47">
        <v>194</v>
      </c>
      <c r="K12" s="48">
        <v>10</v>
      </c>
      <c r="L12" s="49">
        <f>K12/H12</f>
        <v>10</v>
      </c>
      <c r="M12" s="50">
        <f>+J12/K12</f>
        <v>19.399999999999999</v>
      </c>
      <c r="N12" s="51">
        <f>35291.5+48192+38988+17228+262+15638+12162+3564+2306+3564+4752+2376+194</f>
        <v>184517.5</v>
      </c>
      <c r="O12" s="52">
        <f>2413+3488+2602+1575+14+1533+1204+356+144+356+475+238+10</f>
        <v>14408</v>
      </c>
      <c r="P12" s="53">
        <f>N12/O12</f>
        <v>12.806600499722377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17</v>
      </c>
      <c r="H6" s="32">
        <v>17</v>
      </c>
      <c r="I6" s="33">
        <v>5</v>
      </c>
      <c r="J6" s="34">
        <v>7046</v>
      </c>
      <c r="K6" s="35">
        <v>516</v>
      </c>
      <c r="L6" s="36">
        <f t="shared" ref="L6:L12" si="0">K6/H6</f>
        <v>30.352941176470587</v>
      </c>
      <c r="M6" s="37">
        <f t="shared" ref="M6:M12" si="1">+J6/K6</f>
        <v>13.655038759689923</v>
      </c>
      <c r="N6" s="38">
        <f>209269+2420+3159+5695+7046</f>
        <v>227589</v>
      </c>
      <c r="O6" s="39">
        <f>11877+152+220+415+516</f>
        <v>13180</v>
      </c>
      <c r="P6" s="40">
        <f t="shared" ref="P6:P12" si="2">N6/O6</f>
        <v>17.267754172989378</v>
      </c>
      <c r="Q6" s="2"/>
      <c r="R6" s="2"/>
      <c r="S6" s="2"/>
    </row>
    <row r="7" spans="1:19" s="8" customFormat="1" ht="22.5" customHeight="1" x14ac:dyDescent="0.25">
      <c r="B7" s="9">
        <f t="shared" ref="B7:B14" si="3">B6+1</f>
        <v>2</v>
      </c>
      <c r="C7" s="18" t="s">
        <v>44</v>
      </c>
      <c r="D7" s="19">
        <v>43770</v>
      </c>
      <c r="E7" s="20" t="s">
        <v>15</v>
      </c>
      <c r="F7" s="20" t="s">
        <v>16</v>
      </c>
      <c r="G7" s="21">
        <v>1</v>
      </c>
      <c r="H7" s="21">
        <v>1</v>
      </c>
      <c r="I7" s="22">
        <v>10</v>
      </c>
      <c r="J7" s="10">
        <v>1200</v>
      </c>
      <c r="K7" s="11">
        <v>80</v>
      </c>
      <c r="L7" s="23">
        <f t="shared" si="0"/>
        <v>80</v>
      </c>
      <c r="M7" s="24">
        <f t="shared" si="1"/>
        <v>15</v>
      </c>
      <c r="N7" s="25">
        <f>609662.5+131067+15933+4836+875+910+542+6309.6+300+1200</f>
        <v>771635.1</v>
      </c>
      <c r="O7" s="26">
        <f>34810+8470+1105+335+81+87+51+629+29+80</f>
        <v>45677</v>
      </c>
      <c r="P7" s="27">
        <f t="shared" si="2"/>
        <v>16.89329640738227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4</v>
      </c>
      <c r="H8" s="21">
        <v>4</v>
      </c>
      <c r="I8" s="22">
        <v>7</v>
      </c>
      <c r="J8" s="10">
        <v>1123</v>
      </c>
      <c r="K8" s="11">
        <v>79</v>
      </c>
      <c r="L8" s="23">
        <f t="shared" si="0"/>
        <v>19.75</v>
      </c>
      <c r="M8" s="24">
        <f t="shared" si="1"/>
        <v>14.215189873417721</v>
      </c>
      <c r="N8" s="25">
        <f>42933.5+11236+9203+3099+234+798+1123</f>
        <v>68626.5</v>
      </c>
      <c r="O8" s="26">
        <f>2608+685+538+176+14+46+79</f>
        <v>4146</v>
      </c>
      <c r="P8" s="27">
        <f t="shared" si="2"/>
        <v>16.552460202604919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2</v>
      </c>
      <c r="H9" s="21">
        <v>2</v>
      </c>
      <c r="I9" s="22">
        <v>3</v>
      </c>
      <c r="J9" s="10">
        <v>831</v>
      </c>
      <c r="K9" s="11">
        <v>45</v>
      </c>
      <c r="L9" s="23">
        <f t="shared" si="0"/>
        <v>22.5</v>
      </c>
      <c r="M9" s="24">
        <f t="shared" si="1"/>
        <v>18.466666666666665</v>
      </c>
      <c r="N9" s="25">
        <f>1613+832+831</f>
        <v>3276</v>
      </c>
      <c r="O9" s="26">
        <f>125+56+45</f>
        <v>226</v>
      </c>
      <c r="P9" s="27">
        <f t="shared" si="2"/>
        <v>14.495575221238939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24</v>
      </c>
      <c r="J10" s="10">
        <v>665</v>
      </c>
      <c r="K10" s="11">
        <v>51</v>
      </c>
      <c r="L10" s="23">
        <f t="shared" si="0"/>
        <v>51</v>
      </c>
      <c r="M10" s="24">
        <f t="shared" si="1"/>
        <v>13.03921568627451</v>
      </c>
      <c r="N10" s="25">
        <f>27204+550044+312325+331653+234959.2+204582.5+144904+128591.5+68901.5+76727+73179.5+86760.8+102319.5+89592+64930.5+628549+1455046.5+981957+747644+394027.5+70399+9194+2414+612+665</f>
        <v>6787182</v>
      </c>
      <c r="O10" s="26">
        <f>1873+26223+14137+14500+11472+10085+6575+6015+3308+3477+3326+4437+4671+4097+2926+45580+108273+74395+48685+25493+4405+820+114+47+51</f>
        <v>424985</v>
      </c>
      <c r="P10" s="27">
        <f t="shared" si="2"/>
        <v>15.970403661305694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104</v>
      </c>
      <c r="D11" s="19">
        <v>43553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180</v>
      </c>
      <c r="K11" s="11">
        <v>18</v>
      </c>
      <c r="L11" s="23">
        <f t="shared" si="0"/>
        <v>18</v>
      </c>
      <c r="M11" s="24">
        <f t="shared" si="1"/>
        <v>10</v>
      </c>
      <c r="N11" s="25">
        <f>168079.31+16344.15+4752+3892+6058.8+912+180</f>
        <v>200218.25999999998</v>
      </c>
      <c r="O11" s="26">
        <f>9102+943+475+384+606+65+18</f>
        <v>11593</v>
      </c>
      <c r="P11" s="27">
        <f t="shared" si="2"/>
        <v>17.270616751487964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45</v>
      </c>
      <c r="D12" s="19">
        <v>43854</v>
      </c>
      <c r="E12" s="20" t="s">
        <v>15</v>
      </c>
      <c r="F12" s="20" t="s">
        <v>15</v>
      </c>
      <c r="G12" s="21">
        <v>1</v>
      </c>
      <c r="H12" s="21">
        <v>1</v>
      </c>
      <c r="I12" s="22">
        <v>9</v>
      </c>
      <c r="J12" s="10">
        <v>160</v>
      </c>
      <c r="K12" s="11">
        <v>16</v>
      </c>
      <c r="L12" s="23">
        <f t="shared" si="0"/>
        <v>16</v>
      </c>
      <c r="M12" s="24">
        <f t="shared" si="1"/>
        <v>10</v>
      </c>
      <c r="N12" s="25">
        <f>5439+1652+94419+26989+8240+1167+3409.2+2970+335+40+160</f>
        <v>144820.20000000001</v>
      </c>
      <c r="O12" s="26">
        <f>337+106+4328+1517+645+137+353+297+19+4+16</f>
        <v>7759</v>
      </c>
      <c r="P12" s="27">
        <f t="shared" si="2"/>
        <v>18.664802165227478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84</v>
      </c>
      <c r="D13" s="19">
        <v>43721</v>
      </c>
      <c r="E13" s="20" t="s">
        <v>15</v>
      </c>
      <c r="F13" s="20" t="s">
        <v>16</v>
      </c>
      <c r="G13" s="21">
        <v>1</v>
      </c>
      <c r="H13" s="21">
        <v>1</v>
      </c>
      <c r="I13" s="22">
        <v>13</v>
      </c>
      <c r="J13" s="10">
        <v>100</v>
      </c>
      <c r="K13" s="11">
        <v>10</v>
      </c>
      <c r="L13" s="23">
        <f t="shared" ref="L13" si="4">K13/H13</f>
        <v>10</v>
      </c>
      <c r="M13" s="24">
        <f t="shared" ref="M13" si="5">+J13/K13</f>
        <v>10</v>
      </c>
      <c r="N13" s="25">
        <f>1189575.5+908177.5+623160.5+325667+65052+1396+8874.8+7840.8+10692+2376+2376+1325+100</f>
        <v>3146613.0999999996</v>
      </c>
      <c r="O13" s="26">
        <f>63951+49598+33178+16470+2937+78+929+784+1070+238+238+72+10</f>
        <v>169553</v>
      </c>
      <c r="P13" s="27">
        <f t="shared" ref="P13" si="6">N13/O13</f>
        <v>18.558286199595404</v>
      </c>
      <c r="Q13" s="2"/>
      <c r="R13" s="2"/>
      <c r="S13" s="2"/>
    </row>
    <row r="14" spans="1:19" s="8" customFormat="1" ht="22.5" customHeight="1" thickBot="1" x14ac:dyDescent="0.3">
      <c r="B14" s="41">
        <f t="shared" si="3"/>
        <v>9</v>
      </c>
      <c r="C14" s="42" t="s">
        <v>28</v>
      </c>
      <c r="D14" s="43">
        <v>43833</v>
      </c>
      <c r="E14" s="44" t="s">
        <v>15</v>
      </c>
      <c r="F14" s="44" t="s">
        <v>15</v>
      </c>
      <c r="G14" s="45">
        <v>1</v>
      </c>
      <c r="H14" s="45">
        <v>1</v>
      </c>
      <c r="I14" s="46">
        <v>12</v>
      </c>
      <c r="J14" s="47">
        <v>60</v>
      </c>
      <c r="K14" s="48">
        <v>6</v>
      </c>
      <c r="L14" s="49">
        <f>K14/H14</f>
        <v>6</v>
      </c>
      <c r="M14" s="50">
        <f>+J14/K14</f>
        <v>10</v>
      </c>
      <c r="N14" s="51">
        <f>2396+241386.5+98796.5+39896+13025+3620+9820+13166.5+27977+165+7095+40+60</f>
        <v>457443.5</v>
      </c>
      <c r="O14" s="52">
        <f>125+9946+4192+2079+536+139+417+654+2168+11+658+4+6</f>
        <v>20935</v>
      </c>
      <c r="P14" s="53">
        <f>N14/O14</f>
        <v>21.850656794841175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14</v>
      </c>
      <c r="H6" s="32">
        <v>14</v>
      </c>
      <c r="I6" s="33">
        <v>4</v>
      </c>
      <c r="J6" s="34">
        <v>5695</v>
      </c>
      <c r="K6" s="35">
        <v>415</v>
      </c>
      <c r="L6" s="36">
        <f>K6/H6</f>
        <v>29.642857142857142</v>
      </c>
      <c r="M6" s="37">
        <f>+J6/K6</f>
        <v>13.72289156626506</v>
      </c>
      <c r="N6" s="38">
        <f>209269+2420+3159+5695</f>
        <v>220543</v>
      </c>
      <c r="O6" s="39">
        <f>11877+152+220+415</f>
        <v>12664</v>
      </c>
      <c r="P6" s="40">
        <f>N6/O6</f>
        <v>17.414955780164245</v>
      </c>
      <c r="Q6" s="2"/>
      <c r="R6" s="2"/>
      <c r="S6" s="2"/>
    </row>
    <row r="7" spans="1:19" s="8" customFormat="1" ht="22.5" customHeight="1" x14ac:dyDescent="0.25">
      <c r="B7" s="9">
        <f t="shared" ref="B7:B16" si="0">B6+1</f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1</v>
      </c>
      <c r="H7" s="21">
        <v>1</v>
      </c>
      <c r="I7" s="22">
        <v>8</v>
      </c>
      <c r="J7" s="10">
        <v>1125</v>
      </c>
      <c r="K7" s="11">
        <v>75</v>
      </c>
      <c r="L7" s="23">
        <f t="shared" ref="L7" si="1">K7/H7</f>
        <v>75</v>
      </c>
      <c r="M7" s="24">
        <f t="shared" ref="M7" si="2">+J7/K7</f>
        <v>15</v>
      </c>
      <c r="N7" s="25">
        <f>9454+241951+37013+20887.8+15951+12475+6548.6+1125</f>
        <v>345405.39999999997</v>
      </c>
      <c r="O7" s="26">
        <f>556+13027+2254+1944+1245+1075+759+75</f>
        <v>20935</v>
      </c>
      <c r="P7" s="27">
        <f t="shared" ref="P7" si="3">N7/O7</f>
        <v>16.498944351564365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2</v>
      </c>
      <c r="J8" s="10">
        <v>832</v>
      </c>
      <c r="K8" s="11">
        <v>56</v>
      </c>
      <c r="L8" s="23">
        <f>K8/H8</f>
        <v>9.3333333333333339</v>
      </c>
      <c r="M8" s="24">
        <f>+J8/K8</f>
        <v>14.857142857142858</v>
      </c>
      <c r="N8" s="25">
        <f>1613+832</f>
        <v>2445</v>
      </c>
      <c r="O8" s="26">
        <f>125+56</f>
        <v>181</v>
      </c>
      <c r="P8" s="27">
        <f>N8/O8</f>
        <v>13.508287292817679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2</v>
      </c>
      <c r="H9" s="21">
        <v>2</v>
      </c>
      <c r="I9" s="22">
        <v>6</v>
      </c>
      <c r="J9" s="10">
        <v>798</v>
      </c>
      <c r="K9" s="11">
        <v>46</v>
      </c>
      <c r="L9" s="23">
        <f>K9/H9</f>
        <v>23</v>
      </c>
      <c r="M9" s="24">
        <f>+J9/K9</f>
        <v>17.347826086956523</v>
      </c>
      <c r="N9" s="25">
        <f>42933.5+11236+9203+3099+234+798</f>
        <v>67503.5</v>
      </c>
      <c r="O9" s="26">
        <f>2608+685+538+176+14+46</f>
        <v>4067</v>
      </c>
      <c r="P9" s="27">
        <f>N9/O9</f>
        <v>16.597860831079419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23</v>
      </c>
      <c r="J10" s="10">
        <v>612</v>
      </c>
      <c r="K10" s="11">
        <v>47</v>
      </c>
      <c r="L10" s="23">
        <f>K10/H10</f>
        <v>47</v>
      </c>
      <c r="M10" s="24">
        <f>+J10/K10</f>
        <v>13.021276595744681</v>
      </c>
      <c r="N10" s="25">
        <f>27204+550044+312325+331653+234959.2+204582.5+144904+128591.5+68901.5+76727+73179.5+86760.8+102319.5+89592+64930.5+628549+1455046.5+981957+747644+394027.5+70399+9194+2414+612</f>
        <v>6786517</v>
      </c>
      <c r="O10" s="26">
        <f>1873+26223+14137+14500+11472+10085+6575+6015+3308+3477+3326+4437+4671+4097+2926+45580+108273+74395+48685+25493+4405+820+114+47</f>
        <v>424934</v>
      </c>
      <c r="P10" s="27">
        <f>N10/O10</f>
        <v>15.970755458494731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100</v>
      </c>
      <c r="D11" s="19">
        <v>43490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150</v>
      </c>
      <c r="K11" s="11">
        <v>15</v>
      </c>
      <c r="L11" s="23">
        <f t="shared" ref="L11" si="4">K11/H11</f>
        <v>15</v>
      </c>
      <c r="M11" s="24">
        <f t="shared" ref="M11" si="5">+J11/K11</f>
        <v>10</v>
      </c>
      <c r="N11" s="25">
        <f>68073.6+12313+11192+2391+2851.2+4752+150</f>
        <v>101722.8</v>
      </c>
      <c r="O11" s="26">
        <f>4864+882+771+148+285+475+15</f>
        <v>7440</v>
      </c>
      <c r="P11" s="27">
        <f t="shared" ref="P11" si="6">N11/O11</f>
        <v>13.672419354838709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101</v>
      </c>
      <c r="D12" s="19">
        <v>43700</v>
      </c>
      <c r="E12" s="20" t="s">
        <v>15</v>
      </c>
      <c r="F12" s="20" t="s">
        <v>15</v>
      </c>
      <c r="G12" s="21">
        <v>1</v>
      </c>
      <c r="H12" s="21">
        <v>1</v>
      </c>
      <c r="I12" s="22">
        <v>6</v>
      </c>
      <c r="J12" s="10">
        <v>120</v>
      </c>
      <c r="K12" s="11">
        <v>12</v>
      </c>
      <c r="L12" s="23">
        <f>K12/H12</f>
        <v>12</v>
      </c>
      <c r="M12" s="24">
        <f>+J12/K12</f>
        <v>10</v>
      </c>
      <c r="N12" s="25">
        <f>4154.4+23363+3982+4144.6+2392+2970+120</f>
        <v>41126</v>
      </c>
      <c r="O12" s="26">
        <f>390+1110+255+416+196+297+12</f>
        <v>2676</v>
      </c>
      <c r="P12" s="27">
        <f>N12/O12</f>
        <v>15.368460388639761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28</v>
      </c>
      <c r="D13" s="19">
        <v>43833</v>
      </c>
      <c r="E13" s="20" t="s">
        <v>15</v>
      </c>
      <c r="F13" s="20" t="s">
        <v>15</v>
      </c>
      <c r="G13" s="21">
        <v>1</v>
      </c>
      <c r="H13" s="21">
        <v>1</v>
      </c>
      <c r="I13" s="22">
        <v>11</v>
      </c>
      <c r="J13" s="10">
        <v>40</v>
      </c>
      <c r="K13" s="11">
        <v>4</v>
      </c>
      <c r="L13" s="23">
        <f>K13/H13</f>
        <v>4</v>
      </c>
      <c r="M13" s="24">
        <f>+J13/K13</f>
        <v>10</v>
      </c>
      <c r="N13" s="25">
        <f>2396+241386.5+98796.5+39896+13025+3620+9820+13166.5+27977+165+7095+40</f>
        <v>457383.5</v>
      </c>
      <c r="O13" s="26">
        <f>125+9946+4192+2079+536+139+417+654+2168+11+658+4</f>
        <v>20929</v>
      </c>
      <c r="P13" s="27">
        <f>N13/O13</f>
        <v>21.854054183190787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45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8</v>
      </c>
      <c r="J14" s="10">
        <v>40</v>
      </c>
      <c r="K14" s="11">
        <v>4</v>
      </c>
      <c r="L14" s="23">
        <f>K14/H14</f>
        <v>4</v>
      </c>
      <c r="M14" s="24">
        <f>+J14/K14</f>
        <v>10</v>
      </c>
      <c r="N14" s="25">
        <f>5439+1652+94419+26989+8240+1167+3409.2+2970+335+40</f>
        <v>144660.20000000001</v>
      </c>
      <c r="O14" s="26">
        <f>337+106+4328+1517+645+137+353+297+19+4</f>
        <v>7743</v>
      </c>
      <c r="P14" s="27">
        <f>N14/O14</f>
        <v>18.682706961126179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47</v>
      </c>
      <c r="J15" s="10">
        <v>40</v>
      </c>
      <c r="K15" s="11">
        <v>3</v>
      </c>
      <c r="L15" s="23">
        <f>K15/H15</f>
        <v>3</v>
      </c>
      <c r="M15" s="24">
        <f>+J15/K15</f>
        <v>13.333333333333334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</f>
        <v>964762.74000000022</v>
      </c>
      <c r="O15" s="26">
        <f>42973+17328+5998+6197+1033+414+245+22+235+417+156+153+996+870+1003+1031+681+3392+1258+183+43+1293+337+105+234+760+597+618+39+238+102+190+273+32+22+190+297+297+202+297+1128+238+238+594+49+45+3</f>
        <v>93046</v>
      </c>
      <c r="P15" s="27">
        <f>N15/O15</f>
        <v>10.3686643165746</v>
      </c>
      <c r="Q15" s="2"/>
      <c r="R15" s="2"/>
      <c r="S15" s="2"/>
    </row>
    <row r="16" spans="1:19" s="8" customFormat="1" ht="22.5" customHeight="1" thickBot="1" x14ac:dyDescent="0.3">
      <c r="B16" s="41">
        <f t="shared" si="0"/>
        <v>11</v>
      </c>
      <c r="C16" s="42" t="s">
        <v>92</v>
      </c>
      <c r="D16" s="43">
        <v>41964</v>
      </c>
      <c r="E16" s="44" t="s">
        <v>15</v>
      </c>
      <c r="F16" s="44" t="s">
        <v>15</v>
      </c>
      <c r="G16" s="45">
        <v>1</v>
      </c>
      <c r="H16" s="45">
        <v>1</v>
      </c>
      <c r="I16" s="46">
        <v>43</v>
      </c>
      <c r="J16" s="47">
        <v>0</v>
      </c>
      <c r="K16" s="48">
        <v>9</v>
      </c>
      <c r="L16" s="49">
        <f t="shared" ref="L16" si="7">K16/H16</f>
        <v>9</v>
      </c>
      <c r="M16" s="50">
        <f t="shared" ref="M16" si="8">+J16/K16</f>
        <v>0</v>
      </c>
      <c r="N16" s="51">
        <f>1099708.11+593370.74+224185+52839.5+17039.5+9578+7414+5098+4983.5+10660.5+14194.5+2400+3550+2380.5+7656.5+4091.5+1713+2737+828+128+4019.35+696+742+3681+1237+1911+1320+2988+1801+2002+865+891+666+1977+185+70+1223+424+3730+2222+77+192+0</f>
        <v>2097475.2000000002</v>
      </c>
      <c r="O16" s="52">
        <f>102148+56106+22339+5539+1692+934+809+597+525+1619+1502+226+582+302+1163+486+470+558+154+16+730+93+96+595+155+233+216+393+237+257+118+138+96+381+25+14+245+41+729+400+21+30+9</f>
        <v>203019</v>
      </c>
      <c r="P16" s="53">
        <f t="shared" ref="P16" si="9">N16/O16</f>
        <v>10.331423167289762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94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95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8</v>
      </c>
      <c r="H6" s="32">
        <v>8</v>
      </c>
      <c r="I6" s="33">
        <v>3</v>
      </c>
      <c r="J6" s="34">
        <v>3159</v>
      </c>
      <c r="K6" s="35">
        <v>220</v>
      </c>
      <c r="L6" s="36">
        <f>K6/H6</f>
        <v>27.5</v>
      </c>
      <c r="M6" s="37">
        <f>+J6/K6</f>
        <v>14.359090909090909</v>
      </c>
      <c r="N6" s="38">
        <f>209269+2420+3159</f>
        <v>214848</v>
      </c>
      <c r="O6" s="39">
        <f>11877+152+220</f>
        <v>12249</v>
      </c>
      <c r="P6" s="40">
        <f>N6/O6</f>
        <v>17.540044085231447</v>
      </c>
      <c r="Q6" s="2"/>
      <c r="R6" s="2"/>
      <c r="S6" s="2"/>
    </row>
    <row r="7" spans="1:19" s="8" customFormat="1" ht="22.5" customHeight="1" x14ac:dyDescent="0.25">
      <c r="B7" s="9">
        <f t="shared" ref="B7:B1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22</v>
      </c>
      <c r="J7" s="10">
        <v>2414</v>
      </c>
      <c r="K7" s="11">
        <v>114</v>
      </c>
      <c r="L7" s="23">
        <f>K7/H7</f>
        <v>19</v>
      </c>
      <c r="M7" s="24">
        <f>+J7/K7</f>
        <v>21.17543859649123</v>
      </c>
      <c r="N7" s="25">
        <f>27204+550044+312325+331653+234959.2+204582.5+144904+128591.5+68901.5+76727+73179.5+86760.8+102319.5+89592+64930.5+628549+1455046.5+981957+747644+394027.5+70399+9194+2414</f>
        <v>6785905</v>
      </c>
      <c r="O7" s="26">
        <f>1873+26223+14137+14500+11472+10085+6575+6015+3308+3477+3326+4437+4671+4097+2926+45580+108273+74395+48685+25493+4405+820+114</f>
        <v>424887</v>
      </c>
      <c r="P7" s="27">
        <f>N7/O7</f>
        <v>15.971081722905149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1</v>
      </c>
      <c r="J8" s="10">
        <v>1613</v>
      </c>
      <c r="K8" s="11">
        <v>125</v>
      </c>
      <c r="L8" s="23">
        <f>K8/H8</f>
        <v>20.833333333333332</v>
      </c>
      <c r="M8" s="24">
        <f>+J8/K8</f>
        <v>12.904</v>
      </c>
      <c r="N8" s="25">
        <f>1613</f>
        <v>1613</v>
      </c>
      <c r="O8" s="26">
        <f>125</f>
        <v>125</v>
      </c>
      <c r="P8" s="27">
        <f>N8/O8</f>
        <v>12.904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84</v>
      </c>
      <c r="D9" s="19">
        <v>43721</v>
      </c>
      <c r="E9" s="20" t="s">
        <v>15</v>
      </c>
      <c r="F9" s="20" t="s">
        <v>16</v>
      </c>
      <c r="G9" s="21">
        <v>1</v>
      </c>
      <c r="H9" s="21">
        <v>1</v>
      </c>
      <c r="I9" s="22">
        <v>12</v>
      </c>
      <c r="J9" s="10">
        <v>1325</v>
      </c>
      <c r="K9" s="11">
        <v>72</v>
      </c>
      <c r="L9" s="23">
        <f t="shared" ref="L9" si="1">K9/H9</f>
        <v>72</v>
      </c>
      <c r="M9" s="24">
        <f t="shared" ref="M9" si="2">+J9/K9</f>
        <v>18.402777777777779</v>
      </c>
      <c r="N9" s="25">
        <f>1189575.5+908177.5+623160.5+325667+65052+1396+8874.8+7840.8+10692+2376+2376+1325</f>
        <v>3146513.0999999996</v>
      </c>
      <c r="O9" s="26">
        <f>63951+49598+33178+16470+2937+78+929+784+1070+238+238+72</f>
        <v>169543</v>
      </c>
      <c r="P9" s="27">
        <f t="shared" ref="P9" si="3">N9/O9</f>
        <v>18.558790985177801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53</v>
      </c>
      <c r="D10" s="19">
        <v>43308</v>
      </c>
      <c r="E10" s="20" t="s">
        <v>15</v>
      </c>
      <c r="F10" s="20" t="s">
        <v>15</v>
      </c>
      <c r="G10" s="21">
        <v>4</v>
      </c>
      <c r="H10" s="21">
        <v>4</v>
      </c>
      <c r="I10" s="22">
        <v>46</v>
      </c>
      <c r="J10" s="10">
        <v>364</v>
      </c>
      <c r="K10" s="11">
        <v>45</v>
      </c>
      <c r="L10" s="23">
        <f>K10/H10</f>
        <v>11.25</v>
      </c>
      <c r="M10" s="24">
        <f>+J10/K10</f>
        <v>8.0888888888888886</v>
      </c>
      <c r="N10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</f>
        <v>964722.74000000022</v>
      </c>
      <c r="O10" s="26">
        <f>42973+17328+5998+6197+1033+414+245+22+235+417+156+153+996+870+1003+1031+681+3392+1258+183+43+1293+337+105+234+760+597+618+39+238+102+190+273+32+22+190+297+297+202+297+1128+238+238+594+49+45</f>
        <v>93043</v>
      </c>
      <c r="P10" s="27">
        <f>N10/O10</f>
        <v>10.368568726287847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335</v>
      </c>
      <c r="K11" s="11">
        <v>19</v>
      </c>
      <c r="L11" s="23">
        <f>K11/H11</f>
        <v>19</v>
      </c>
      <c r="M11" s="24">
        <f>+J11/K11</f>
        <v>17.631578947368421</v>
      </c>
      <c r="N11" s="25">
        <f>5439+1652+94419+26989+8240+1167+3409.2+2970+335</f>
        <v>144620.20000000001</v>
      </c>
      <c r="O11" s="26">
        <f>337+106+4328+1517+645+137+353+297+19</f>
        <v>7739</v>
      </c>
      <c r="P11" s="27">
        <f>N11/O11</f>
        <v>18.687194728001035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6</v>
      </c>
      <c r="J12" s="10">
        <v>251</v>
      </c>
      <c r="K12" s="11">
        <v>15</v>
      </c>
      <c r="L12" s="23">
        <f t="shared" ref="L12" si="4">K12/H12</f>
        <v>7.5</v>
      </c>
      <c r="M12" s="24">
        <f t="shared" ref="M12" si="5">+J12/K12</f>
        <v>16.733333333333334</v>
      </c>
      <c r="N12" s="25">
        <f>82437+7412+130+30+417+251</f>
        <v>90677</v>
      </c>
      <c r="O12" s="26">
        <f>4900+460+10+2+28+15</f>
        <v>5415</v>
      </c>
      <c r="P12" s="27">
        <f t="shared" ref="P12" si="6">N12/O12</f>
        <v>16.745521698984302</v>
      </c>
      <c r="Q12" s="2"/>
      <c r="R12" s="2"/>
      <c r="S12" s="2"/>
    </row>
    <row r="13" spans="1:19" s="8" customFormat="1" ht="22.5" customHeight="1" thickBot="1" x14ac:dyDescent="0.3">
      <c r="B13" s="41">
        <f t="shared" si="0"/>
        <v>8</v>
      </c>
      <c r="C13" s="42" t="s">
        <v>92</v>
      </c>
      <c r="D13" s="43">
        <v>41964</v>
      </c>
      <c r="E13" s="44" t="s">
        <v>15</v>
      </c>
      <c r="F13" s="65" t="s">
        <v>15</v>
      </c>
      <c r="G13" s="45">
        <v>2</v>
      </c>
      <c r="H13" s="45">
        <v>2</v>
      </c>
      <c r="I13" s="58">
        <v>42</v>
      </c>
      <c r="J13" s="47">
        <v>192</v>
      </c>
      <c r="K13" s="48">
        <v>30</v>
      </c>
      <c r="L13" s="59">
        <f t="shared" ref="L13" si="7">K13/H13</f>
        <v>15</v>
      </c>
      <c r="M13" s="60">
        <f t="shared" ref="M13" si="8">+J13/K13</f>
        <v>6.4</v>
      </c>
      <c r="N13" s="61">
        <f>1099708.11+593370.74+224185+52839.5+17039.5+9578+7414+5098+4983.5+10660.5+14194.5+2400+3550+2380.5+7656.5+4091.5+1713+2737+828+128+4019.35+696+742+3681+1237+1911+1320+2988+1801+2002+865+891+666+1977+185+70+1223+424+3730+2222+77+192</f>
        <v>2097475.2000000002</v>
      </c>
      <c r="O13" s="62">
        <f>102148+56106+22339+5539+1692+934+809+597+525+1619+1502+226+582+302+1163+486+470+558+154+16+730+93+96+595+155+233+216+393+237+257+118+138+96+381+25+14+245+41+729+400+21+30</f>
        <v>203010</v>
      </c>
      <c r="P13" s="63">
        <f t="shared" ref="P13" si="9">N13/O13</f>
        <v>10.331881188118812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65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66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74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6.425781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130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131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125</v>
      </c>
      <c r="D6" s="30">
        <v>44092</v>
      </c>
      <c r="E6" s="31" t="s">
        <v>15</v>
      </c>
      <c r="F6" s="31" t="s">
        <v>15</v>
      </c>
      <c r="G6" s="32">
        <v>70</v>
      </c>
      <c r="H6" s="32">
        <v>70</v>
      </c>
      <c r="I6" s="33">
        <v>1</v>
      </c>
      <c r="J6" s="34">
        <v>58629.5</v>
      </c>
      <c r="K6" s="35">
        <v>2671</v>
      </c>
      <c r="L6" s="36">
        <f t="shared" ref="L6" si="0">K6/H6</f>
        <v>38.157142857142858</v>
      </c>
      <c r="M6" s="37">
        <f t="shared" ref="M6" si="1">+J6/K6</f>
        <v>21.950393111194309</v>
      </c>
      <c r="N6" s="38">
        <f>590+58629.5</f>
        <v>59219.5</v>
      </c>
      <c r="O6" s="39">
        <f>32+2671</f>
        <v>2703</v>
      </c>
      <c r="P6" s="40">
        <f t="shared" ref="P6" si="2">N6/O6</f>
        <v>21.908805031446541</v>
      </c>
      <c r="Q6" s="2"/>
      <c r="R6" s="2"/>
      <c r="S6" s="2"/>
    </row>
    <row r="7" spans="1:19" s="8" customFormat="1" ht="22.5" customHeight="1" x14ac:dyDescent="0.25">
      <c r="B7" s="9">
        <f t="shared" ref="B7:B12" si="3">B6+1</f>
        <v>2</v>
      </c>
      <c r="C7" s="18" t="s">
        <v>75</v>
      </c>
      <c r="D7" s="19">
        <v>43882</v>
      </c>
      <c r="E7" s="20" t="s">
        <v>15</v>
      </c>
      <c r="F7" s="20" t="s">
        <v>15</v>
      </c>
      <c r="G7" s="21">
        <v>14</v>
      </c>
      <c r="H7" s="21">
        <v>14</v>
      </c>
      <c r="I7" s="22">
        <v>4</v>
      </c>
      <c r="J7" s="10">
        <v>5956</v>
      </c>
      <c r="K7" s="11">
        <v>404</v>
      </c>
      <c r="L7" s="23">
        <f>K7/H7</f>
        <v>28.857142857142858</v>
      </c>
      <c r="M7" s="24">
        <f>+J7/K7</f>
        <v>14.742574257425742</v>
      </c>
      <c r="N7" s="25">
        <f>12428+2344+11742+5956</f>
        <v>32470</v>
      </c>
      <c r="O7" s="26">
        <f>789+118+573+404</f>
        <v>1884</v>
      </c>
      <c r="P7" s="27">
        <f>N7/O7</f>
        <v>17.234607218683653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129</v>
      </c>
      <c r="D8" s="19">
        <v>42405</v>
      </c>
      <c r="E8" s="20" t="s">
        <v>15</v>
      </c>
      <c r="F8" s="20" t="s">
        <v>16</v>
      </c>
      <c r="G8" s="21">
        <v>1</v>
      </c>
      <c r="H8" s="21">
        <v>1</v>
      </c>
      <c r="I8" s="22">
        <v>14</v>
      </c>
      <c r="J8" s="10">
        <v>5000</v>
      </c>
      <c r="K8" s="11">
        <v>100</v>
      </c>
      <c r="L8" s="23">
        <f t="shared" ref="L8" si="4">K8/H8</f>
        <v>100</v>
      </c>
      <c r="M8" s="24">
        <f t="shared" ref="M8" si="5">+J8/K8</f>
        <v>50</v>
      </c>
      <c r="N8" s="25">
        <f>2738+258796.87+116779.5+43678.5+28952.5+15754.5+3243.8+700+356+113+654+360+2376+1701+5000</f>
        <v>481203.67</v>
      </c>
      <c r="O8" s="26">
        <f>252+16712+7314+2180+1504+743+300+184+102+35+55+36+475+203+100</f>
        <v>30195</v>
      </c>
      <c r="P8" s="27">
        <f t="shared" ref="P8" si="6">N8/O8</f>
        <v>15.936534856764364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</v>
      </c>
      <c r="H9" s="21">
        <v>1</v>
      </c>
      <c r="I9" s="22">
        <v>5</v>
      </c>
      <c r="J9" s="10">
        <v>3300</v>
      </c>
      <c r="K9" s="11">
        <v>66</v>
      </c>
      <c r="L9" s="23">
        <f>K9/H9</f>
        <v>66</v>
      </c>
      <c r="M9" s="24">
        <f>+J9/K9</f>
        <v>50</v>
      </c>
      <c r="N9" s="25">
        <f>5065+8285+76168.5+5812+125+510+3300</f>
        <v>99265.5</v>
      </c>
      <c r="O9" s="26">
        <f>379+602+3406+252+13+32+66</f>
        <v>4750</v>
      </c>
      <c r="P9" s="27">
        <f>N9/O9</f>
        <v>20.898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88</v>
      </c>
      <c r="D10" s="19">
        <v>43903</v>
      </c>
      <c r="E10" s="20" t="s">
        <v>15</v>
      </c>
      <c r="F10" s="20" t="s">
        <v>89</v>
      </c>
      <c r="G10" s="21">
        <v>2</v>
      </c>
      <c r="H10" s="21">
        <v>2</v>
      </c>
      <c r="I10" s="22">
        <v>13</v>
      </c>
      <c r="J10" s="10">
        <v>1155</v>
      </c>
      <c r="K10" s="11">
        <v>72</v>
      </c>
      <c r="L10" s="23">
        <f>K10/H10</f>
        <v>36</v>
      </c>
      <c r="M10" s="24">
        <f>+J10/K10</f>
        <v>16.041666666666668</v>
      </c>
      <c r="N10" s="25">
        <f>209269+2420+3159+5695+7046+14446+33246.5+29341.5+25955+12078+2136+1470+1155</f>
        <v>347417</v>
      </c>
      <c r="O10" s="26">
        <f>11877+152+220+415+516+961+2942+2508+2318+1107+143+92+72</f>
        <v>23323</v>
      </c>
      <c r="P10" s="27">
        <f>N10/O10</f>
        <v>14.895896754276894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110</v>
      </c>
      <c r="D11" s="19">
        <v>44050</v>
      </c>
      <c r="E11" s="20" t="s">
        <v>15</v>
      </c>
      <c r="F11" s="20" t="s">
        <v>15</v>
      </c>
      <c r="G11" s="21">
        <v>4</v>
      </c>
      <c r="H11" s="21">
        <v>4</v>
      </c>
      <c r="I11" s="22">
        <v>6</v>
      </c>
      <c r="J11" s="10">
        <v>700</v>
      </c>
      <c r="K11" s="11">
        <v>40</v>
      </c>
      <c r="L11" s="23">
        <f>K11/H11</f>
        <v>10</v>
      </c>
      <c r="M11" s="24">
        <f>+J11/K11</f>
        <v>17.5</v>
      </c>
      <c r="N11" s="25">
        <f>82318.5+76828+45512.5+15630.5+2567.5+1130+700</f>
        <v>224687</v>
      </c>
      <c r="O11" s="26">
        <f>4533+4117+2548+861+121+64+40</f>
        <v>12284</v>
      </c>
      <c r="P11" s="27">
        <f>N11/O11</f>
        <v>18.291028980788017</v>
      </c>
      <c r="Q11" s="2"/>
      <c r="R11" s="2"/>
      <c r="S11" s="2"/>
    </row>
    <row r="12" spans="1:19" s="8" customFormat="1" ht="22.5" customHeight="1" thickBot="1" x14ac:dyDescent="0.3">
      <c r="B12" s="41">
        <f t="shared" si="3"/>
        <v>7</v>
      </c>
      <c r="C12" s="42" t="s">
        <v>96</v>
      </c>
      <c r="D12" s="43">
        <v>44022</v>
      </c>
      <c r="E12" s="44" t="s">
        <v>15</v>
      </c>
      <c r="F12" s="44" t="s">
        <v>97</v>
      </c>
      <c r="G12" s="45">
        <v>1</v>
      </c>
      <c r="H12" s="45">
        <v>1</v>
      </c>
      <c r="I12" s="46">
        <v>6</v>
      </c>
      <c r="J12" s="47">
        <v>92</v>
      </c>
      <c r="K12" s="48">
        <v>5</v>
      </c>
      <c r="L12" s="49">
        <f>K12/H12</f>
        <v>5</v>
      </c>
      <c r="M12" s="50">
        <f>+J12/K12</f>
        <v>18.399999999999999</v>
      </c>
      <c r="N12" s="51">
        <f>1613+832+831+693+1767+92</f>
        <v>5828</v>
      </c>
      <c r="O12" s="52">
        <f>125+56+45+41+141+5</f>
        <v>413</v>
      </c>
      <c r="P12" s="53">
        <f>N12/O12</f>
        <v>14.111380145278451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43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29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30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6.425781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128</v>
      </c>
      <c r="D6" s="30">
        <v>44085</v>
      </c>
      <c r="E6" s="31" t="s">
        <v>15</v>
      </c>
      <c r="F6" s="31" t="s">
        <v>16</v>
      </c>
      <c r="G6" s="32">
        <v>55</v>
      </c>
      <c r="H6" s="32">
        <v>55</v>
      </c>
      <c r="I6" s="33">
        <v>1</v>
      </c>
      <c r="J6" s="34">
        <v>17131</v>
      </c>
      <c r="K6" s="35">
        <v>833</v>
      </c>
      <c r="L6" s="36">
        <f t="shared" ref="L6" si="0">K6/H6</f>
        <v>15.145454545454545</v>
      </c>
      <c r="M6" s="37">
        <f t="shared" ref="M6" si="1">+J6/K6</f>
        <v>20.565426170468186</v>
      </c>
      <c r="N6" s="38">
        <f>17131</f>
        <v>17131</v>
      </c>
      <c r="O6" s="39">
        <f>833</f>
        <v>833</v>
      </c>
      <c r="P6" s="40">
        <f t="shared" ref="P6" si="2">N6/O6</f>
        <v>20.565426170468186</v>
      </c>
      <c r="Q6" s="2"/>
      <c r="R6" s="2"/>
      <c r="S6" s="2"/>
    </row>
    <row r="7" spans="1:19" s="8" customFormat="1" ht="22.5" customHeight="1" x14ac:dyDescent="0.25">
      <c r="B7" s="9">
        <f t="shared" ref="B7:B11" si="3">B6+1</f>
        <v>2</v>
      </c>
      <c r="C7" s="18" t="s">
        <v>75</v>
      </c>
      <c r="D7" s="19">
        <v>43882</v>
      </c>
      <c r="E7" s="20" t="s">
        <v>15</v>
      </c>
      <c r="F7" s="20" t="s">
        <v>15</v>
      </c>
      <c r="G7" s="21">
        <v>3</v>
      </c>
      <c r="H7" s="21">
        <v>3</v>
      </c>
      <c r="I7" s="22">
        <v>3</v>
      </c>
      <c r="J7" s="10">
        <v>11742</v>
      </c>
      <c r="K7" s="11">
        <v>573</v>
      </c>
      <c r="L7" s="23">
        <f>K7/H7</f>
        <v>191</v>
      </c>
      <c r="M7" s="24">
        <f>+J7/K7</f>
        <v>20.492146596858639</v>
      </c>
      <c r="N7" s="25">
        <f>12428+2344+11742</f>
        <v>26514</v>
      </c>
      <c r="O7" s="26">
        <f>789+118+573</f>
        <v>1480</v>
      </c>
      <c r="P7" s="27">
        <f>N7/O7</f>
        <v>17.914864864864864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124</v>
      </c>
      <c r="D8" s="19">
        <v>44078</v>
      </c>
      <c r="E8" s="20" t="s">
        <v>15</v>
      </c>
      <c r="F8" s="20" t="s">
        <v>15</v>
      </c>
      <c r="G8" s="21">
        <v>30</v>
      </c>
      <c r="H8" s="21">
        <v>30</v>
      </c>
      <c r="I8" s="22">
        <v>2</v>
      </c>
      <c r="J8" s="10">
        <v>7946</v>
      </c>
      <c r="K8" s="11">
        <v>408</v>
      </c>
      <c r="L8" s="23">
        <f t="shared" ref="L8" si="4">K8/H8</f>
        <v>13.6</v>
      </c>
      <c r="M8" s="24">
        <f t="shared" ref="M8" si="5">+J8/K8</f>
        <v>19.475490196078432</v>
      </c>
      <c r="N8" s="25">
        <f>46917.5+7946</f>
        <v>54863.5</v>
      </c>
      <c r="O8" s="26">
        <f>2543+408</f>
        <v>2951</v>
      </c>
      <c r="P8" s="27">
        <f t="shared" ref="P8" si="6">N8/O8</f>
        <v>18.591494408675025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21</v>
      </c>
      <c r="D9" s="19">
        <v>43770</v>
      </c>
      <c r="E9" s="20" t="s">
        <v>15</v>
      </c>
      <c r="F9" s="20" t="s">
        <v>15</v>
      </c>
      <c r="G9" s="21">
        <v>1</v>
      </c>
      <c r="H9" s="21">
        <v>1</v>
      </c>
      <c r="I9" s="22">
        <v>31</v>
      </c>
      <c r="J9" s="10">
        <v>5000</v>
      </c>
      <c r="K9" s="11">
        <v>100</v>
      </c>
      <c r="L9" s="23">
        <f>K9/H9</f>
        <v>100</v>
      </c>
      <c r="M9" s="24">
        <f>+J9/K9</f>
        <v>50</v>
      </c>
      <c r="N9" s="25">
        <f>27204+550044+312325+331653+234959.2+204582.5+144904+128591.5+68901.5+76727+73179.5+86760.8+102319.5+89592+64930.5+628549+1455046.5+981957+747644+394027.5+70399+9194+2414+612+665+4070+21994+10756+1480+1146+720+5000</f>
        <v>6832348</v>
      </c>
      <c r="O9" s="26">
        <f>1873+26223+14137+14500+11472+10085+6575+6015+3308+3477+3326+4437+4671+4097+2926+45580+108273+74395+48685+25493+4405+820+114+47+51+225+2105+1023+148+84+44+100</f>
        <v>428714</v>
      </c>
      <c r="P9" s="27">
        <f>N9/O9</f>
        <v>15.936843676670227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88</v>
      </c>
      <c r="D10" s="19">
        <v>43903</v>
      </c>
      <c r="E10" s="20" t="s">
        <v>15</v>
      </c>
      <c r="F10" s="20" t="s">
        <v>89</v>
      </c>
      <c r="G10" s="21">
        <v>2</v>
      </c>
      <c r="H10" s="21">
        <v>2</v>
      </c>
      <c r="I10" s="22">
        <v>12</v>
      </c>
      <c r="J10" s="10">
        <v>1470</v>
      </c>
      <c r="K10" s="11">
        <v>92</v>
      </c>
      <c r="L10" s="23">
        <f>K10/H10</f>
        <v>46</v>
      </c>
      <c r="M10" s="24">
        <f>+J10/K10</f>
        <v>15.978260869565217</v>
      </c>
      <c r="N10" s="25">
        <f>209269+2420+3159+5695+7046+14446+33246.5+29341.5+25955+12078+2136+1470</f>
        <v>346262</v>
      </c>
      <c r="O10" s="26">
        <f>11877+152+220+415+516+961+2942+2508+2318+1107+143+92</f>
        <v>23251</v>
      </c>
      <c r="P10" s="27">
        <f>N10/O10</f>
        <v>14.89234871618425</v>
      </c>
      <c r="Q10" s="2"/>
      <c r="R10" s="2"/>
      <c r="S10" s="2"/>
    </row>
    <row r="11" spans="1:19" s="8" customFormat="1" ht="22.5" customHeight="1" thickBot="1" x14ac:dyDescent="0.3">
      <c r="B11" s="41">
        <f t="shared" si="3"/>
        <v>6</v>
      </c>
      <c r="C11" s="42" t="s">
        <v>110</v>
      </c>
      <c r="D11" s="43">
        <v>44050</v>
      </c>
      <c r="E11" s="44" t="s">
        <v>15</v>
      </c>
      <c r="F11" s="44" t="s">
        <v>15</v>
      </c>
      <c r="G11" s="45">
        <v>4</v>
      </c>
      <c r="H11" s="45">
        <v>4</v>
      </c>
      <c r="I11" s="46">
        <v>5</v>
      </c>
      <c r="J11" s="47">
        <v>1130</v>
      </c>
      <c r="K11" s="48">
        <v>64</v>
      </c>
      <c r="L11" s="49">
        <f>K11/H11</f>
        <v>16</v>
      </c>
      <c r="M11" s="50">
        <f>+J11/K11</f>
        <v>17.65625</v>
      </c>
      <c r="N11" s="51">
        <f>82318.5+76828+45512.5+15630.5+2567.5+1130</f>
        <v>223987</v>
      </c>
      <c r="O11" s="52">
        <f>4533+4117+2548+861+121+64</f>
        <v>12244</v>
      </c>
      <c r="P11" s="53">
        <f>N11/O11</f>
        <v>18.293613198301209</v>
      </c>
      <c r="Q11" s="2"/>
      <c r="R11" s="2"/>
      <c r="S11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124</v>
      </c>
      <c r="D6" s="30">
        <v>44078</v>
      </c>
      <c r="E6" s="31" t="s">
        <v>15</v>
      </c>
      <c r="F6" s="31" t="s">
        <v>15</v>
      </c>
      <c r="G6" s="32">
        <v>113</v>
      </c>
      <c r="H6" s="32">
        <v>113</v>
      </c>
      <c r="I6" s="33">
        <v>1</v>
      </c>
      <c r="J6" s="34">
        <v>46917.5</v>
      </c>
      <c r="K6" s="35">
        <v>2543</v>
      </c>
      <c r="L6" s="36">
        <f t="shared" ref="L6" si="0">K6/H6</f>
        <v>22.504424778761063</v>
      </c>
      <c r="M6" s="37">
        <f t="shared" ref="M6" si="1">+J6/K6</f>
        <v>18.449665749115219</v>
      </c>
      <c r="N6" s="38">
        <f>46917.5</f>
        <v>46917.5</v>
      </c>
      <c r="O6" s="39">
        <f>2543</f>
        <v>2543</v>
      </c>
      <c r="P6" s="40">
        <f t="shared" ref="P6" si="2">N6/O6</f>
        <v>18.449665749115219</v>
      </c>
      <c r="Q6" s="2"/>
      <c r="R6" s="2"/>
      <c r="S6" s="2"/>
    </row>
    <row r="7" spans="1:19" s="8" customFormat="1" ht="22.5" customHeight="1" x14ac:dyDescent="0.25">
      <c r="B7" s="9">
        <f t="shared" ref="B7:B15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7</v>
      </c>
      <c r="H7" s="21">
        <v>7</v>
      </c>
      <c r="I7" s="22">
        <v>5</v>
      </c>
      <c r="J7" s="10">
        <v>2567.5</v>
      </c>
      <c r="K7" s="11">
        <v>121</v>
      </c>
      <c r="L7" s="23">
        <f>K7/H7</f>
        <v>17.285714285714285</v>
      </c>
      <c r="M7" s="24">
        <f>+J7/K7</f>
        <v>21.219008264462811</v>
      </c>
      <c r="N7" s="25">
        <f>82318.5+76828+45512.5+15630.5+2567.5</f>
        <v>222857</v>
      </c>
      <c r="O7" s="26">
        <f>4533+4117+2548+861+121</f>
        <v>12180</v>
      </c>
      <c r="P7" s="27">
        <f>N7/O7</f>
        <v>18.296962233169129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75</v>
      </c>
      <c r="D8" s="19">
        <v>43882</v>
      </c>
      <c r="E8" s="20" t="s">
        <v>15</v>
      </c>
      <c r="F8" s="20" t="s">
        <v>15</v>
      </c>
      <c r="G8" s="21">
        <v>1</v>
      </c>
      <c r="H8" s="21">
        <v>1</v>
      </c>
      <c r="I8" s="22">
        <v>2</v>
      </c>
      <c r="J8" s="10">
        <v>2344</v>
      </c>
      <c r="K8" s="11">
        <v>118</v>
      </c>
      <c r="L8" s="23">
        <f>K8/H8</f>
        <v>118</v>
      </c>
      <c r="M8" s="24">
        <f>+J8/K8</f>
        <v>19.864406779661017</v>
      </c>
      <c r="N8" s="25">
        <f>12428+2344</f>
        <v>14772</v>
      </c>
      <c r="O8" s="26">
        <f>789+118</f>
        <v>907</v>
      </c>
      <c r="P8" s="27">
        <f>N8/O8</f>
        <v>16.286659316427784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11</v>
      </c>
      <c r="J9" s="10">
        <v>2136</v>
      </c>
      <c r="K9" s="11">
        <v>143</v>
      </c>
      <c r="L9" s="23">
        <f>K9/H9</f>
        <v>20.428571428571427</v>
      </c>
      <c r="M9" s="24">
        <f>+J9/K9</f>
        <v>14.937062937062937</v>
      </c>
      <c r="N9" s="25">
        <f>209269+2420+3159+5695+7046+14446+33246.5+29341.5+25955+12078+2136</f>
        <v>344792</v>
      </c>
      <c r="O9" s="26">
        <f>11877+152+220+415+516+961+2942+2508+2318+1107+143</f>
        <v>23159</v>
      </c>
      <c r="P9" s="27">
        <f>N9/O9</f>
        <v>14.888034889243922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117</v>
      </c>
      <c r="D10" s="19">
        <v>44064</v>
      </c>
      <c r="E10" s="20" t="s">
        <v>15</v>
      </c>
      <c r="F10" s="20" t="s">
        <v>15</v>
      </c>
      <c r="G10" s="21">
        <v>5</v>
      </c>
      <c r="H10" s="21">
        <v>5</v>
      </c>
      <c r="I10" s="22">
        <v>3</v>
      </c>
      <c r="J10" s="10">
        <v>1971.5</v>
      </c>
      <c r="K10" s="11">
        <v>89</v>
      </c>
      <c r="L10" s="23">
        <f t="shared" ref="L10" si="4">K10/H10</f>
        <v>17.8</v>
      </c>
      <c r="M10" s="24">
        <f t="shared" ref="M10" si="5">+J10/K10</f>
        <v>22.151685393258425</v>
      </c>
      <c r="N10" s="25">
        <f>58701+21335+1971.5</f>
        <v>82007.5</v>
      </c>
      <c r="O10" s="26">
        <f>2715+1347+89</f>
        <v>4151</v>
      </c>
      <c r="P10" s="27">
        <f t="shared" ref="P10" si="6">N10/O10</f>
        <v>19.756082871597204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18</v>
      </c>
      <c r="J11" s="10">
        <v>1560</v>
      </c>
      <c r="K11" s="11">
        <v>156</v>
      </c>
      <c r="L11" s="23">
        <f>K11/H11</f>
        <v>15.6</v>
      </c>
      <c r="M11" s="24">
        <f>+J11/K11</f>
        <v>10</v>
      </c>
      <c r="N11" s="25">
        <f>378926+79846+19515+14964+8765+3960+2220+272+2008+6448+472+200+936+464+672+809+1110+1560</f>
        <v>523147</v>
      </c>
      <c r="O11" s="26">
        <f>21844+4905+1778+1322+907+396+268+34+254+806+59+25+116+58+84+87+138+156</f>
        <v>33237</v>
      </c>
      <c r="P11" s="27">
        <f>N11/O11</f>
        <v>15.739898306104642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21</v>
      </c>
      <c r="D12" s="19">
        <v>43770</v>
      </c>
      <c r="E12" s="20" t="s">
        <v>15</v>
      </c>
      <c r="F12" s="20" t="s">
        <v>15</v>
      </c>
      <c r="G12" s="21">
        <v>1</v>
      </c>
      <c r="H12" s="21">
        <v>1</v>
      </c>
      <c r="I12" s="22">
        <v>30</v>
      </c>
      <c r="J12" s="10">
        <v>720</v>
      </c>
      <c r="K12" s="11">
        <v>44</v>
      </c>
      <c r="L12" s="23">
        <f>K12/H12</f>
        <v>44</v>
      </c>
      <c r="M12" s="24">
        <f>+J12/K12</f>
        <v>16.363636363636363</v>
      </c>
      <c r="N12" s="25">
        <f>27204+550044+312325+331653+234959.2+204582.5+144904+128591.5+68901.5+76727+73179.5+86760.8+102319.5+89592+64930.5+628549+1455046.5+981957+747644+394027.5+70399+9194+2414+612+665+4070+21994+10756+1480+1146+720</f>
        <v>6827348</v>
      </c>
      <c r="O12" s="26">
        <f>1873+26223+14137+14500+11472+10085+6575+6015+3308+3477+3326+4437+4671+4097+2926+45580+108273+74395+48685+25493+4405+820+114+47+51+225+2105+1023+148+84+44</f>
        <v>428614</v>
      </c>
      <c r="P12" s="27">
        <f>N12/O12</f>
        <v>15.928896396291302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125</v>
      </c>
      <c r="D13" s="19">
        <v>44092</v>
      </c>
      <c r="E13" s="20" t="s">
        <v>15</v>
      </c>
      <c r="F13" s="20" t="s">
        <v>15</v>
      </c>
      <c r="G13" s="21">
        <v>1</v>
      </c>
      <c r="H13" s="21">
        <v>1</v>
      </c>
      <c r="I13" s="22">
        <v>0</v>
      </c>
      <c r="J13" s="10">
        <v>590</v>
      </c>
      <c r="K13" s="11">
        <v>32</v>
      </c>
      <c r="L13" s="23">
        <f t="shared" ref="L13:L14" si="7">K13/H13</f>
        <v>32</v>
      </c>
      <c r="M13" s="24">
        <f t="shared" ref="M13:M14" si="8">+J13/K13</f>
        <v>18.4375</v>
      </c>
      <c r="N13" s="25">
        <f>590</f>
        <v>590</v>
      </c>
      <c r="O13" s="26">
        <f>32</f>
        <v>32</v>
      </c>
      <c r="P13" s="27">
        <f t="shared" ref="P13:P14" si="9">N13/O13</f>
        <v>18.4375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83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6</v>
      </c>
      <c r="J14" s="10">
        <v>179</v>
      </c>
      <c r="K14" s="11">
        <v>13</v>
      </c>
      <c r="L14" s="23">
        <f t="shared" si="7"/>
        <v>13</v>
      </c>
      <c r="M14" s="24">
        <f t="shared" si="8"/>
        <v>13.76923076923077</v>
      </c>
      <c r="N14" s="25">
        <f>137757.5+2211+330+75+68+179</f>
        <v>140620.5</v>
      </c>
      <c r="O14" s="26">
        <f>7791+153+22+5+5+13</f>
        <v>7989</v>
      </c>
      <c r="P14" s="27">
        <f t="shared" si="9"/>
        <v>17.601764926774315</v>
      </c>
      <c r="Q14" s="2"/>
      <c r="R14" s="2"/>
      <c r="S14" s="2"/>
    </row>
    <row r="15" spans="1:19" s="8" customFormat="1" ht="22.5" customHeight="1" thickBot="1" x14ac:dyDescent="0.3">
      <c r="B15" s="41">
        <f t="shared" si="3"/>
        <v>10</v>
      </c>
      <c r="C15" s="42" t="s">
        <v>52</v>
      </c>
      <c r="D15" s="43">
        <v>43854</v>
      </c>
      <c r="E15" s="44" t="s">
        <v>15</v>
      </c>
      <c r="F15" s="44" t="s">
        <v>15</v>
      </c>
      <c r="G15" s="45">
        <v>1</v>
      </c>
      <c r="H15" s="45">
        <v>1</v>
      </c>
      <c r="I15" s="46">
        <v>13</v>
      </c>
      <c r="J15" s="47">
        <v>81</v>
      </c>
      <c r="K15" s="48">
        <v>6</v>
      </c>
      <c r="L15" s="49">
        <f t="shared" ref="L15" si="10">K15/H15</f>
        <v>6</v>
      </c>
      <c r="M15" s="50">
        <f t="shared" ref="M15" si="11">+J15/K15</f>
        <v>13.5</v>
      </c>
      <c r="N15" s="51">
        <f>42933.5+11236+9203+3099+234+798+1123+2078+962+140+56+48+81</f>
        <v>71991.5</v>
      </c>
      <c r="O15" s="52">
        <f>2608+685+538+176+14+46+79+129+63+10+4+4+6</f>
        <v>4362</v>
      </c>
      <c r="P15" s="53">
        <f t="shared" ref="P15" si="12">N15/O15</f>
        <v>16.504241173773497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117</v>
      </c>
      <c r="D6" s="30">
        <v>44064</v>
      </c>
      <c r="E6" s="31" t="s">
        <v>15</v>
      </c>
      <c r="F6" s="31" t="s">
        <v>15</v>
      </c>
      <c r="G6" s="32">
        <v>55</v>
      </c>
      <c r="H6" s="32">
        <v>55</v>
      </c>
      <c r="I6" s="33">
        <v>2</v>
      </c>
      <c r="J6" s="34">
        <v>21335</v>
      </c>
      <c r="K6" s="35">
        <v>1347</v>
      </c>
      <c r="L6" s="36">
        <f t="shared" ref="L6:L8" si="0">K6/H6</f>
        <v>24.490909090909092</v>
      </c>
      <c r="M6" s="37">
        <f t="shared" ref="M6:M8" si="1">+J6/K6</f>
        <v>15.838901262063846</v>
      </c>
      <c r="N6" s="38">
        <f>58701+21335</f>
        <v>80036</v>
      </c>
      <c r="O6" s="39">
        <f>2715+1347</f>
        <v>4062</v>
      </c>
      <c r="P6" s="40">
        <f t="shared" ref="P6:P8" si="2">N6/O6</f>
        <v>19.703594288527817</v>
      </c>
      <c r="Q6" s="2"/>
      <c r="R6" s="2"/>
      <c r="S6" s="2"/>
    </row>
    <row r="7" spans="1:19" s="8" customFormat="1" ht="22.5" customHeight="1" x14ac:dyDescent="0.25">
      <c r="B7" s="9">
        <f t="shared" ref="B7:B13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28</v>
      </c>
      <c r="H7" s="21">
        <v>28</v>
      </c>
      <c r="I7" s="22">
        <v>4</v>
      </c>
      <c r="J7" s="10">
        <v>15630.5</v>
      </c>
      <c r="K7" s="11">
        <v>861</v>
      </c>
      <c r="L7" s="23">
        <f t="shared" si="0"/>
        <v>30.75</v>
      </c>
      <c r="M7" s="24">
        <f t="shared" si="1"/>
        <v>18.153890824622533</v>
      </c>
      <c r="N7" s="25">
        <f>82318.5+76828+45512.5+15630.5</f>
        <v>220289.5</v>
      </c>
      <c r="O7" s="26">
        <f>4533+4117+2548+861</f>
        <v>12059</v>
      </c>
      <c r="P7" s="27">
        <f t="shared" si="2"/>
        <v>18.267642424745002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88</v>
      </c>
      <c r="D8" s="19">
        <v>43903</v>
      </c>
      <c r="E8" s="20" t="s">
        <v>15</v>
      </c>
      <c r="F8" s="20" t="s">
        <v>89</v>
      </c>
      <c r="G8" s="21">
        <v>31</v>
      </c>
      <c r="H8" s="21">
        <v>31</v>
      </c>
      <c r="I8" s="22">
        <v>10</v>
      </c>
      <c r="J8" s="10">
        <v>12078</v>
      </c>
      <c r="K8" s="11">
        <v>1107</v>
      </c>
      <c r="L8" s="23">
        <f t="shared" si="0"/>
        <v>35.70967741935484</v>
      </c>
      <c r="M8" s="24">
        <f t="shared" si="1"/>
        <v>10.910569105691057</v>
      </c>
      <c r="N8" s="25">
        <f>209269+2420+3159+5695+7046+14446+33246.5+29341.5+25955+12078</f>
        <v>342656</v>
      </c>
      <c r="O8" s="26">
        <f>11877+152+220+415+516+961+2942+2508+2318+1107</f>
        <v>23016</v>
      </c>
      <c r="P8" s="27">
        <f t="shared" si="2"/>
        <v>14.887730274591588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21</v>
      </c>
      <c r="D9" s="19">
        <v>43770</v>
      </c>
      <c r="E9" s="20" t="s">
        <v>15</v>
      </c>
      <c r="F9" s="20" t="s">
        <v>15</v>
      </c>
      <c r="G9" s="21">
        <v>2</v>
      </c>
      <c r="H9" s="21">
        <v>2</v>
      </c>
      <c r="I9" s="22">
        <v>29</v>
      </c>
      <c r="J9" s="10">
        <v>1146</v>
      </c>
      <c r="K9" s="11">
        <v>84</v>
      </c>
      <c r="L9" s="23">
        <f>K9/H9</f>
        <v>42</v>
      </c>
      <c r="M9" s="24">
        <f>+J9/K9</f>
        <v>13.642857142857142</v>
      </c>
      <c r="N9" s="25">
        <f>27204+550044+312325+331653+234959.2+204582.5+144904+128591.5+68901.5+76727+73179.5+86760.8+102319.5+89592+64930.5+628549+1455046.5+981957+747644+394027.5+70399+9194+2414+612+665+4070+21994+10756+1480+1146</f>
        <v>6826628</v>
      </c>
      <c r="O9" s="26">
        <f>1873+26223+14137+14500+11472+10085+6575+6015+3308+3477+3326+4437+4671+4097+2926+45580+108273+74395+48685+25493+4405+820+114+47+51+225+2105+1023+148+84</f>
        <v>428570</v>
      </c>
      <c r="P9" s="27">
        <f>N9/O9</f>
        <v>15.92885176283921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26</v>
      </c>
      <c r="D10" s="19">
        <v>43770</v>
      </c>
      <c r="E10" s="20" t="s">
        <v>15</v>
      </c>
      <c r="F10" s="20" t="s">
        <v>27</v>
      </c>
      <c r="G10" s="21">
        <v>9</v>
      </c>
      <c r="H10" s="21">
        <v>9</v>
      </c>
      <c r="I10" s="22">
        <v>17</v>
      </c>
      <c r="J10" s="10">
        <v>1110</v>
      </c>
      <c r="K10" s="11">
        <v>138</v>
      </c>
      <c r="L10" s="23">
        <f>K10/H10</f>
        <v>15.333333333333334</v>
      </c>
      <c r="M10" s="24">
        <f>+J10/K10</f>
        <v>8.0434782608695645</v>
      </c>
      <c r="N10" s="25">
        <f>378926+79846+19515+14964+8765+3960+2220+272+2008+6448+472+200+936+464+672+809+1110</f>
        <v>521587</v>
      </c>
      <c r="O10" s="26">
        <f>21844+4905+1778+1322+907+396+268+34+254+806+59+25+116+58+84+87+138</f>
        <v>33081</v>
      </c>
      <c r="P10" s="27">
        <f>N10/O10</f>
        <v>15.766965932106043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12</v>
      </c>
      <c r="J11" s="10">
        <v>90</v>
      </c>
      <c r="K11" s="11">
        <v>9</v>
      </c>
      <c r="L11" s="23">
        <f t="shared" ref="L11" si="4">K11/H11</f>
        <v>9</v>
      </c>
      <c r="M11" s="24">
        <f t="shared" ref="M11" si="5">+J11/K11</f>
        <v>10</v>
      </c>
      <c r="N11" s="25">
        <f>5439+1652+94419+26989+8240+1167+3409.2+2970+335+40+160+60+170+90</f>
        <v>145140.20000000001</v>
      </c>
      <c r="O11" s="26">
        <f>337+106+4328+1517+645+137+353+297+19+4+16+6+17+9</f>
        <v>7791</v>
      </c>
      <c r="P11" s="27">
        <f t="shared" ref="P11" si="6">N11/O11</f>
        <v>18.629213194711848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83</v>
      </c>
      <c r="D12" s="19">
        <v>43896</v>
      </c>
      <c r="E12" s="20" t="s">
        <v>15</v>
      </c>
      <c r="F12" s="20" t="s">
        <v>15</v>
      </c>
      <c r="G12" s="21">
        <v>1</v>
      </c>
      <c r="H12" s="21">
        <v>1</v>
      </c>
      <c r="I12" s="22">
        <v>5</v>
      </c>
      <c r="J12" s="10">
        <v>68</v>
      </c>
      <c r="K12" s="11">
        <v>5</v>
      </c>
      <c r="L12" s="23">
        <f>K12/H12</f>
        <v>5</v>
      </c>
      <c r="M12" s="24">
        <f>+J12/K12</f>
        <v>13.6</v>
      </c>
      <c r="N12" s="25">
        <f>137757.5+2211+330+75+68</f>
        <v>140441.5</v>
      </c>
      <c r="O12" s="26">
        <f>7791+153+22+5+5</f>
        <v>7976</v>
      </c>
      <c r="P12" s="27">
        <f>N12/O12</f>
        <v>17.608011534603811</v>
      </c>
      <c r="Q12" s="2"/>
      <c r="R12" s="2"/>
      <c r="S12" s="2"/>
    </row>
    <row r="13" spans="1:19" s="8" customFormat="1" ht="22.5" customHeight="1" thickBot="1" x14ac:dyDescent="0.3">
      <c r="B13" s="41">
        <f t="shared" si="3"/>
        <v>8</v>
      </c>
      <c r="C13" s="42" t="s">
        <v>52</v>
      </c>
      <c r="D13" s="43">
        <v>43854</v>
      </c>
      <c r="E13" s="44" t="s">
        <v>15</v>
      </c>
      <c r="F13" s="44" t="s">
        <v>15</v>
      </c>
      <c r="G13" s="45">
        <v>1</v>
      </c>
      <c r="H13" s="45">
        <v>1</v>
      </c>
      <c r="I13" s="46">
        <v>12</v>
      </c>
      <c r="J13" s="47">
        <v>48</v>
      </c>
      <c r="K13" s="48">
        <v>4</v>
      </c>
      <c r="L13" s="49">
        <f t="shared" ref="L13" si="7">K13/H13</f>
        <v>4</v>
      </c>
      <c r="M13" s="50">
        <f t="shared" ref="M13" si="8">+J13/K13</f>
        <v>12</v>
      </c>
      <c r="N13" s="51">
        <f>42933.5+11236+9203+3099+234+798+1123+2078+962+140+56+48</f>
        <v>71910.5</v>
      </c>
      <c r="O13" s="52">
        <f>2608+685+538+176+14+46+79+129+63+10+4+4</f>
        <v>4356</v>
      </c>
      <c r="P13" s="53">
        <f t="shared" ref="P13" si="9">N13/O13</f>
        <v>16.508379247015611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115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116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117</v>
      </c>
      <c r="D6" s="30">
        <v>44064</v>
      </c>
      <c r="E6" s="31" t="s">
        <v>15</v>
      </c>
      <c r="F6" s="31" t="s">
        <v>15</v>
      </c>
      <c r="G6" s="32">
        <v>85</v>
      </c>
      <c r="H6" s="32">
        <v>107</v>
      </c>
      <c r="I6" s="33">
        <v>1</v>
      </c>
      <c r="J6" s="34">
        <v>58701</v>
      </c>
      <c r="K6" s="35">
        <v>2715</v>
      </c>
      <c r="L6" s="36">
        <f t="shared" ref="L6" si="0">K6/H6</f>
        <v>25.373831775700936</v>
      </c>
      <c r="M6" s="37">
        <f t="shared" ref="M6" si="1">+J6/K6</f>
        <v>21.620994475138122</v>
      </c>
      <c r="N6" s="38">
        <f>58701</f>
        <v>58701</v>
      </c>
      <c r="O6" s="39">
        <f>2715</f>
        <v>2715</v>
      </c>
      <c r="P6" s="40">
        <f t="shared" ref="P6" si="2">N6/O6</f>
        <v>21.620994475138122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94</v>
      </c>
      <c r="H7" s="21">
        <v>94</v>
      </c>
      <c r="I7" s="22">
        <v>3</v>
      </c>
      <c r="J7" s="10">
        <v>45512.5</v>
      </c>
      <c r="K7" s="11">
        <v>2548</v>
      </c>
      <c r="L7" s="23">
        <f t="shared" ref="L7:L8" si="4">K7/H7</f>
        <v>27.106382978723403</v>
      </c>
      <c r="M7" s="24">
        <f t="shared" ref="M7:M8" si="5">+J7/K7</f>
        <v>17.862048665620094</v>
      </c>
      <c r="N7" s="25">
        <f>82318.5+76828+45512.5</f>
        <v>204659</v>
      </c>
      <c r="O7" s="26">
        <f>4533+4117+2548</f>
        <v>11198</v>
      </c>
      <c r="P7" s="27">
        <f t="shared" ref="P7:P8" si="6">N7/O7</f>
        <v>18.276388640828721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88</v>
      </c>
      <c r="D8" s="19">
        <v>43903</v>
      </c>
      <c r="E8" s="20" t="s">
        <v>15</v>
      </c>
      <c r="F8" s="20" t="s">
        <v>89</v>
      </c>
      <c r="G8" s="21">
        <v>53</v>
      </c>
      <c r="H8" s="21">
        <v>53</v>
      </c>
      <c r="I8" s="22">
        <v>9</v>
      </c>
      <c r="J8" s="10">
        <v>25955</v>
      </c>
      <c r="K8" s="11">
        <v>2318</v>
      </c>
      <c r="L8" s="23">
        <f t="shared" si="4"/>
        <v>43.735849056603776</v>
      </c>
      <c r="M8" s="24">
        <f t="shared" si="5"/>
        <v>11.197152717860224</v>
      </c>
      <c r="N8" s="25">
        <f>209269+2420+3159+5695+7046+14446+33246.5+29341.5+25955</f>
        <v>330578</v>
      </c>
      <c r="O8" s="26">
        <f>11877+152+220+415+516+961+2942+2508+2318</f>
        <v>21909</v>
      </c>
      <c r="P8" s="27">
        <f t="shared" si="6"/>
        <v>15.088685015290521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20</v>
      </c>
      <c r="J9" s="10">
        <v>1842</v>
      </c>
      <c r="K9" s="11">
        <v>148</v>
      </c>
      <c r="L9" s="23">
        <f>K9/H9</f>
        <v>37</v>
      </c>
      <c r="M9" s="24">
        <f>+J9/K9</f>
        <v>12.445945945945946</v>
      </c>
      <c r="N9" s="25">
        <f>269804.79+164384.5+59611.7+14283.71+4947+4540+252+643+343+320+1046+846+115+1058+744+406+1238+2941+2338+1842</f>
        <v>531703.69999999995</v>
      </c>
      <c r="O9" s="26">
        <f>23691+14253+5286+1293+335+376+26+85+43+38+108+91+13+112+77+42+65+233+189+148</f>
        <v>46504</v>
      </c>
      <c r="P9" s="27">
        <f>N9/O9</f>
        <v>11.43350464476174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9</v>
      </c>
      <c r="H10" s="21">
        <v>9</v>
      </c>
      <c r="I10" s="22">
        <v>28</v>
      </c>
      <c r="J10" s="10">
        <v>1480</v>
      </c>
      <c r="K10" s="11">
        <v>148</v>
      </c>
      <c r="L10" s="23">
        <f t="shared" ref="L10:L18" si="7">K10/H10</f>
        <v>16.444444444444443</v>
      </c>
      <c r="M10" s="24">
        <f t="shared" ref="M10:M18" si="8">+J10/K10</f>
        <v>10</v>
      </c>
      <c r="N10" s="25">
        <f>27204+550044+312325+331653+234959.2+204582.5+144904+128591.5+68901.5+76727+73179.5+86760.8+102319.5+89592+64930.5+628549+1455046.5+981957+747644+394027.5+70399+9194+2414+612+665+4070+21994+10756+1480</f>
        <v>6825482</v>
      </c>
      <c r="O10" s="26">
        <f>1873+26223+14137+14500+11472+10085+6575+6015+3308+3477+3326+4437+4671+4097+2926+45580+108273+74395+48685+25493+4405+820+114+47+51+225+2105+1023+148</f>
        <v>428486</v>
      </c>
      <c r="P10" s="27">
        <f t="shared" ref="P10:P18" si="9">N10/O10</f>
        <v>15.929299907114817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7</v>
      </c>
      <c r="H11" s="21">
        <v>7</v>
      </c>
      <c r="I11" s="22">
        <v>16</v>
      </c>
      <c r="J11" s="10">
        <v>809</v>
      </c>
      <c r="K11" s="11">
        <v>87</v>
      </c>
      <c r="L11" s="23">
        <f t="shared" si="7"/>
        <v>12.428571428571429</v>
      </c>
      <c r="M11" s="24">
        <f t="shared" si="8"/>
        <v>9.2988505747126435</v>
      </c>
      <c r="N11" s="25">
        <f>378926+79846+19515+14964+8765+3960+2220+272+2008+6448+472+200+936+464+672+809</f>
        <v>520477</v>
      </c>
      <c r="O11" s="26">
        <f>21844+4905+1778+1322+907+396+268+34+254+806+59+25+116+58+84+87</f>
        <v>32943</v>
      </c>
      <c r="P11" s="27">
        <f t="shared" si="9"/>
        <v>15.799320037640774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</v>
      </c>
      <c r="H12" s="21">
        <v>2</v>
      </c>
      <c r="I12" s="22">
        <v>12</v>
      </c>
      <c r="J12" s="10">
        <v>363</v>
      </c>
      <c r="K12" s="11">
        <v>27</v>
      </c>
      <c r="L12" s="23">
        <f t="shared" si="7"/>
        <v>13.5</v>
      </c>
      <c r="M12" s="24">
        <f t="shared" si="8"/>
        <v>13.444444444444445</v>
      </c>
      <c r="N12" s="25">
        <f>9454+241951+37013+20887.8+15951+12475+6548.6+1125+220+180+480+363</f>
        <v>346648.39999999997</v>
      </c>
      <c r="O12" s="26">
        <f>556+13027+2254+1944+1245+1075+759+75+22+18+24+27</f>
        <v>21026</v>
      </c>
      <c r="P12" s="27">
        <f t="shared" si="9"/>
        <v>16.486654618091883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119</v>
      </c>
      <c r="D13" s="19">
        <v>42783</v>
      </c>
      <c r="E13" s="20" t="s">
        <v>15</v>
      </c>
      <c r="F13" s="20" t="s">
        <v>16</v>
      </c>
      <c r="G13" s="21">
        <v>1</v>
      </c>
      <c r="H13" s="21">
        <v>1</v>
      </c>
      <c r="I13" s="22">
        <v>20</v>
      </c>
      <c r="J13" s="10">
        <v>312</v>
      </c>
      <c r="K13" s="11">
        <v>16</v>
      </c>
      <c r="L13" s="23">
        <f>K13/H13</f>
        <v>16</v>
      </c>
      <c r="M13" s="24">
        <f>+J13/K13</f>
        <v>19.5</v>
      </c>
      <c r="N13" s="25">
        <f>234782.36+250779.47+172675.15+104597.46+23572.52+9059+3547+6243+500+2376+2679+2376+2376+7128.01+300+2376+2376+1541+2376+312</f>
        <v>831971.97</v>
      </c>
      <c r="O13" s="26">
        <f>15060+16517+12206+7566+1387+672+293+1112+55+475+515+475+475+1426+30+475+475+151+475+16</f>
        <v>59856</v>
      </c>
      <c r="P13" s="27">
        <f>N13/O13</f>
        <v>13.899558440256616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114</v>
      </c>
      <c r="D14" s="19">
        <v>43637</v>
      </c>
      <c r="E14" s="20" t="s">
        <v>15</v>
      </c>
      <c r="F14" s="20" t="s">
        <v>15</v>
      </c>
      <c r="G14" s="21">
        <v>1</v>
      </c>
      <c r="H14" s="21">
        <v>1</v>
      </c>
      <c r="I14" s="22">
        <v>13</v>
      </c>
      <c r="J14" s="10">
        <v>90</v>
      </c>
      <c r="K14" s="11">
        <v>9</v>
      </c>
      <c r="L14" s="23">
        <f t="shared" ref="L14" si="10">K14/H14</f>
        <v>9</v>
      </c>
      <c r="M14" s="24">
        <f t="shared" ref="M14" si="11">+J14/K14</f>
        <v>10</v>
      </c>
      <c r="N14" s="25">
        <f>5144.6+1119+77357.69+38363.33+15289.5+7386+2758+15+3801.6+1185+6534+672+1782+90+90</f>
        <v>161587.72</v>
      </c>
      <c r="O14" s="26">
        <f>414+68+4046+2280+676+314+131+1+380+88+653+120+178+9+9</f>
        <v>9367</v>
      </c>
      <c r="P14" s="27">
        <f t="shared" ref="P14" si="12">N14/O14</f>
        <v>17.250744101633394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83</v>
      </c>
      <c r="D15" s="19">
        <v>43896</v>
      </c>
      <c r="E15" s="20" t="s">
        <v>15</v>
      </c>
      <c r="F15" s="20" t="s">
        <v>15</v>
      </c>
      <c r="G15" s="21">
        <v>1</v>
      </c>
      <c r="H15" s="21">
        <v>1</v>
      </c>
      <c r="I15" s="22">
        <v>4</v>
      </c>
      <c r="J15" s="10">
        <v>75</v>
      </c>
      <c r="K15" s="11">
        <v>5</v>
      </c>
      <c r="L15" s="23">
        <f>K15/H15</f>
        <v>5</v>
      </c>
      <c r="M15" s="24">
        <f>+J15/K15</f>
        <v>15</v>
      </c>
      <c r="N15" s="25">
        <f>137757.5+2211+330+75</f>
        <v>140373.5</v>
      </c>
      <c r="O15" s="26">
        <f>7791+153+22+5</f>
        <v>7971</v>
      </c>
      <c r="P15" s="27">
        <f>N15/O15</f>
        <v>17.610525655501192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3"/>
        <v>11</v>
      </c>
      <c r="C16" s="18" t="s">
        <v>118</v>
      </c>
      <c r="D16" s="19">
        <v>42132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15</v>
      </c>
      <c r="J16" s="10">
        <v>58</v>
      </c>
      <c r="K16" s="11">
        <v>3</v>
      </c>
      <c r="L16" s="23">
        <f>K16/H16</f>
        <v>3</v>
      </c>
      <c r="M16" s="24">
        <f>+J16/K16</f>
        <v>19.333333333333332</v>
      </c>
      <c r="N16" s="25">
        <f>150395.08+52946.08+3011.5+1726+142+1745+755+1765+153+184+678+326+2013.56+500+58</f>
        <v>216398.21999999997</v>
      </c>
      <c r="O16" s="26">
        <f>14539+4867+346+172+14+208+97+169+19+28+90+42+403+20+3</f>
        <v>21017</v>
      </c>
      <c r="P16" s="27">
        <f>N16/O16</f>
        <v>10.296342008849978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52</v>
      </c>
      <c r="D17" s="19">
        <v>43854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56</v>
      </c>
      <c r="K17" s="11">
        <v>4</v>
      </c>
      <c r="L17" s="23">
        <f t="shared" si="7"/>
        <v>4</v>
      </c>
      <c r="M17" s="24">
        <f t="shared" si="8"/>
        <v>14</v>
      </c>
      <c r="N17" s="25">
        <f>42933.5+11236+9203+3099+234+798+1123+2078+962+140+56</f>
        <v>71862.5</v>
      </c>
      <c r="O17" s="26">
        <f>2608+685+538+176+14+46+79+129+63+10+4</f>
        <v>4352</v>
      </c>
      <c r="P17" s="27">
        <f t="shared" si="9"/>
        <v>16.512522977941178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104</v>
      </c>
      <c r="D18" s="19">
        <v>43553</v>
      </c>
      <c r="E18" s="20" t="s">
        <v>15</v>
      </c>
      <c r="F18" s="20" t="s">
        <v>15</v>
      </c>
      <c r="G18" s="21">
        <v>1</v>
      </c>
      <c r="H18" s="21">
        <v>1</v>
      </c>
      <c r="I18" s="22">
        <v>8</v>
      </c>
      <c r="J18" s="10">
        <v>40</v>
      </c>
      <c r="K18" s="11">
        <v>4</v>
      </c>
      <c r="L18" s="23">
        <f t="shared" si="7"/>
        <v>4</v>
      </c>
      <c r="M18" s="24">
        <f t="shared" si="8"/>
        <v>10</v>
      </c>
      <c r="N18" s="25">
        <f>168079.31+16344.15+4752+3892+6058.8+912+180+40</f>
        <v>200258.25999999998</v>
      </c>
      <c r="O18" s="26">
        <f>9102+943+475+384+606+65+18+4</f>
        <v>11597</v>
      </c>
      <c r="P18" s="27">
        <f t="shared" si="9"/>
        <v>17.268108993705265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23</v>
      </c>
      <c r="D19" s="19">
        <v>43784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15</v>
      </c>
      <c r="J19" s="10">
        <v>30</v>
      </c>
      <c r="K19" s="11">
        <v>3</v>
      </c>
      <c r="L19" s="23">
        <f>K19/H19</f>
        <v>3</v>
      </c>
      <c r="M19" s="24">
        <f>+J19/K19</f>
        <v>10</v>
      </c>
      <c r="N19" s="25">
        <f>1245183.5+169614.5+71865.8+29102.5+19785+3392+8359+7998.6+13914.4+4053+8569.4+1782+990+555+30</f>
        <v>1585194.7</v>
      </c>
      <c r="O19" s="26">
        <f>74795+11280+5220+2328+1564+254+823+805+1562+445+868+178+66+37+3</f>
        <v>100228</v>
      </c>
      <c r="P19" s="27">
        <f>N19/O19</f>
        <v>15.815886778145828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1</v>
      </c>
      <c r="H20" s="45">
        <v>1</v>
      </c>
      <c r="I20" s="46">
        <v>8</v>
      </c>
      <c r="J20" s="47">
        <v>28</v>
      </c>
      <c r="K20" s="48">
        <v>2</v>
      </c>
      <c r="L20" s="49">
        <f t="shared" ref="L20" si="13">K20/H20</f>
        <v>2</v>
      </c>
      <c r="M20" s="50">
        <f t="shared" ref="M20" si="14">+J20/K20</f>
        <v>14</v>
      </c>
      <c r="N20" s="51">
        <f>82437+7412+130+30+417+251+33+28</f>
        <v>90738</v>
      </c>
      <c r="O20" s="52">
        <f>4900+460+10+2+28+15+3+2</f>
        <v>5420</v>
      </c>
      <c r="P20" s="53">
        <f t="shared" ref="P20" si="15">N20/O20</f>
        <v>16.741328413284133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112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113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113</v>
      </c>
      <c r="H6" s="32">
        <v>114</v>
      </c>
      <c r="I6" s="33">
        <v>2</v>
      </c>
      <c r="J6" s="34">
        <v>76828</v>
      </c>
      <c r="K6" s="35">
        <v>4117</v>
      </c>
      <c r="L6" s="36">
        <f t="shared" ref="L6:L7" si="0">K6/H6</f>
        <v>36.114035087719301</v>
      </c>
      <c r="M6" s="37">
        <f t="shared" ref="M6:M7" si="1">+J6/K6</f>
        <v>18.661161039591935</v>
      </c>
      <c r="N6" s="38">
        <f>82318.5+76828</f>
        <v>159146.5</v>
      </c>
      <c r="O6" s="39">
        <f>4533+4117</f>
        <v>8650</v>
      </c>
      <c r="P6" s="40">
        <f t="shared" ref="P6:P7" si="2">N6/O6</f>
        <v>18.39843930635838</v>
      </c>
      <c r="Q6" s="2"/>
      <c r="R6" s="2"/>
      <c r="S6" s="2"/>
    </row>
    <row r="7" spans="1:19" s="8" customFormat="1" ht="22.5" customHeight="1" x14ac:dyDescent="0.25">
      <c r="B7" s="9">
        <f t="shared" ref="B7:B17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61</v>
      </c>
      <c r="H7" s="21">
        <v>61</v>
      </c>
      <c r="I7" s="22">
        <v>8</v>
      </c>
      <c r="J7" s="10">
        <v>29341.5</v>
      </c>
      <c r="K7" s="11">
        <v>2508</v>
      </c>
      <c r="L7" s="23">
        <f t="shared" si="0"/>
        <v>41.114754098360656</v>
      </c>
      <c r="M7" s="24">
        <f t="shared" si="1"/>
        <v>11.699162679425838</v>
      </c>
      <c r="N7" s="25">
        <f>209269+2420+3159+5695+7046+14446+33246.5+29341.5</f>
        <v>304623</v>
      </c>
      <c r="O7" s="26">
        <f>11877+152+220+415+516+961+2942+2508</f>
        <v>19591</v>
      </c>
      <c r="P7" s="27">
        <f t="shared" si="2"/>
        <v>15.549129702414374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51</v>
      </c>
      <c r="H8" s="21">
        <v>51</v>
      </c>
      <c r="I8" s="22">
        <v>27</v>
      </c>
      <c r="J8" s="10">
        <v>10756</v>
      </c>
      <c r="K8" s="11">
        <v>1023</v>
      </c>
      <c r="L8" s="23">
        <f>K8/H8</f>
        <v>20.058823529411764</v>
      </c>
      <c r="M8" s="24">
        <f>+J8/K8</f>
        <v>10.514173998044965</v>
      </c>
      <c r="N8" s="25">
        <f>27204+550044+312325+331653+234959.2+204582.5+144904+128591.5+68901.5+76727+73179.5+86760.8+102319.5+89592+64930.5+628549+1455046.5+981957+747644+394027.5+70399+9194+2414+612+665+4070+21994+10756</f>
        <v>6824002</v>
      </c>
      <c r="O8" s="26">
        <f>1873+26223+14137+14500+11472+10085+6575+6015+3308+3477+3326+4437+4671+4097+2926+45580+108273+74395+48685+25493+4405+820+114+47+51+225+2105+1023</f>
        <v>428338</v>
      </c>
      <c r="P8" s="27">
        <f>N8/O8</f>
        <v>15.931348607875089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19</v>
      </c>
      <c r="J9" s="10">
        <v>2338</v>
      </c>
      <c r="K9" s="11">
        <v>189</v>
      </c>
      <c r="L9" s="23">
        <f>K9/H9</f>
        <v>47.25</v>
      </c>
      <c r="M9" s="24">
        <f>+J9/K9</f>
        <v>12.37037037037037</v>
      </c>
      <c r="N9" s="25">
        <f>269804.79+164384.5+59611.7+14283.71+4947+4540+252+643+343+320+1046+846+115+1058+744+406+1238+2941+2338</f>
        <v>529861.69999999995</v>
      </c>
      <c r="O9" s="26">
        <f>23691+14253+5286+1293+335+376+26+85+43+38+108+91+13+112+77+42+65+233+189</f>
        <v>46356</v>
      </c>
      <c r="P9" s="27">
        <f>N9/O9</f>
        <v>11.430272240918111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96</v>
      </c>
      <c r="D10" s="19">
        <v>44022</v>
      </c>
      <c r="E10" s="20" t="s">
        <v>15</v>
      </c>
      <c r="F10" s="20" t="s">
        <v>97</v>
      </c>
      <c r="G10" s="21">
        <v>11</v>
      </c>
      <c r="H10" s="21">
        <v>11</v>
      </c>
      <c r="I10" s="22">
        <v>5</v>
      </c>
      <c r="J10" s="10">
        <v>1767</v>
      </c>
      <c r="K10" s="11">
        <v>141</v>
      </c>
      <c r="L10" s="23">
        <f>K10/H10</f>
        <v>12.818181818181818</v>
      </c>
      <c r="M10" s="24">
        <f>+J10/K10</f>
        <v>12.531914893617021</v>
      </c>
      <c r="N10" s="25">
        <f>1613+832+831+693+1767</f>
        <v>5736</v>
      </c>
      <c r="O10" s="26">
        <f>125+56+45+41+141</f>
        <v>408</v>
      </c>
      <c r="P10" s="27">
        <f>N10/O10</f>
        <v>14.058823529411764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4</v>
      </c>
      <c r="H11" s="21">
        <v>4</v>
      </c>
      <c r="I11" s="22">
        <v>15</v>
      </c>
      <c r="J11" s="10">
        <v>672</v>
      </c>
      <c r="K11" s="11">
        <v>84</v>
      </c>
      <c r="L11" s="23">
        <f>K11/H11</f>
        <v>21</v>
      </c>
      <c r="M11" s="24">
        <f>+J11/K11</f>
        <v>8</v>
      </c>
      <c r="N11" s="25">
        <f>378926+79846+19515+14964+8765+3960+2220+272+2008+6448+472+200+936+464+672</f>
        <v>519668</v>
      </c>
      <c r="O11" s="26">
        <f>21844+4905+1778+1322+907+396+268+34+254+806+59+25+116+58+84</f>
        <v>32856</v>
      </c>
      <c r="P11" s="27">
        <f>N11/O11</f>
        <v>15.816532748965182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</v>
      </c>
      <c r="H12" s="21">
        <v>2</v>
      </c>
      <c r="I12" s="22">
        <v>11</v>
      </c>
      <c r="J12" s="10">
        <v>480</v>
      </c>
      <c r="K12" s="11">
        <v>24</v>
      </c>
      <c r="L12" s="23">
        <f>K12/H12</f>
        <v>12</v>
      </c>
      <c r="M12" s="24">
        <f>+J12/K12</f>
        <v>20</v>
      </c>
      <c r="N12" s="25">
        <f>9454+241951+37013+20887.8+15951+12475+6548.6+1125+220+180+480</f>
        <v>346285.39999999997</v>
      </c>
      <c r="O12" s="26">
        <f>556+13027+2254+1944+1245+1075+759+75+22+18+24</f>
        <v>20999</v>
      </c>
      <c r="P12" s="27">
        <f>N12/O12</f>
        <v>16.490566217438925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79</v>
      </c>
      <c r="D13" s="19">
        <v>42769</v>
      </c>
      <c r="E13" s="20" t="s">
        <v>15</v>
      </c>
      <c r="F13" s="20" t="s">
        <v>16</v>
      </c>
      <c r="G13" s="21">
        <v>1</v>
      </c>
      <c r="H13" s="21">
        <v>1</v>
      </c>
      <c r="I13" s="22">
        <v>19</v>
      </c>
      <c r="J13" s="10">
        <v>466</v>
      </c>
      <c r="K13" s="11">
        <v>25</v>
      </c>
      <c r="L13" s="23">
        <f t="shared" ref="L13" si="4">K13/H13</f>
        <v>25</v>
      </c>
      <c r="M13" s="24">
        <f t="shared" ref="M13" si="5">+J13/K13</f>
        <v>18.64</v>
      </c>
      <c r="N13" s="25">
        <f>257368.92+170584.28+60590.22+51924.44+52099.69+37257.14+2254+594+2376+2376+1334+2376+3406+2376+2376+1663.2+4240+294+466</f>
        <v>655955.89</v>
      </c>
      <c r="O13" s="26">
        <f>17433+10994+4313+2817+3665+2503+464+119+475+475+117+475+565+475+475+333+220+15+25</f>
        <v>45958</v>
      </c>
      <c r="P13" s="27">
        <f t="shared" ref="P13" si="6">N13/O13</f>
        <v>14.272942469211019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52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10</v>
      </c>
      <c r="J14" s="10">
        <v>140</v>
      </c>
      <c r="K14" s="11">
        <v>10</v>
      </c>
      <c r="L14" s="23">
        <f>K14/H14</f>
        <v>10</v>
      </c>
      <c r="M14" s="24">
        <f>+J14/K14</f>
        <v>14</v>
      </c>
      <c r="N14" s="25">
        <f>42933.5+11236+9203+3099+234+798+1123+2078+962+140</f>
        <v>71806.5</v>
      </c>
      <c r="O14" s="26">
        <f>2608+685+538+176+14+46+79+129+63+10</f>
        <v>4348</v>
      </c>
      <c r="P14" s="27">
        <f>N14/O14</f>
        <v>16.514834406623734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49</v>
      </c>
      <c r="J15" s="10">
        <v>139</v>
      </c>
      <c r="K15" s="11">
        <v>10</v>
      </c>
      <c r="L15" s="23">
        <f>K15/H15</f>
        <v>10</v>
      </c>
      <c r="M15" s="24">
        <f>+J15/K15</f>
        <v>13.9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+139</f>
        <v>964901.74000000022</v>
      </c>
      <c r="O15" s="26">
        <f>42973+17328+5998+6197+1033+414+245+22+235+417+156+153+996+870+1003+1031+681+3392+1258+183+43+1293+337+105+234+760+597+618+39+238+102+190+273+32+22+190+297+297+202+297+1128+238+238+594+49+45+3+4+10</f>
        <v>93060</v>
      </c>
      <c r="P15" s="27">
        <f>N15/O15</f>
        <v>10.368598108747047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114</v>
      </c>
      <c r="D16" s="19">
        <v>43637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90</v>
      </c>
      <c r="K16" s="11">
        <v>9</v>
      </c>
      <c r="L16" s="23">
        <f t="shared" ref="L16" si="7">K16/H16</f>
        <v>9</v>
      </c>
      <c r="M16" s="24">
        <f t="shared" ref="M16" si="8">+J16/K16</f>
        <v>10</v>
      </c>
      <c r="N16" s="25">
        <f>5144.6+1119+77357.69+38363.33+15289.5+7386+2758+15+3801.6+1185+6534+672+1782+90</f>
        <v>161497.72</v>
      </c>
      <c r="O16" s="26">
        <f>414+68+4046+2280+676+314+131+1+380+88+653+120+178+9</f>
        <v>9358</v>
      </c>
      <c r="P16" s="27">
        <f t="shared" ref="P16" si="9">N16/O16</f>
        <v>17.257717460995938</v>
      </c>
      <c r="Q16" s="2"/>
      <c r="R16" s="2"/>
      <c r="S16" s="2"/>
    </row>
    <row r="17" spans="2:19" s="8" customFormat="1" ht="22.5" customHeight="1" thickBot="1" x14ac:dyDescent="0.3">
      <c r="B17" s="41">
        <f t="shared" si="3"/>
        <v>12</v>
      </c>
      <c r="C17" s="42" t="s">
        <v>28</v>
      </c>
      <c r="D17" s="43">
        <v>43833</v>
      </c>
      <c r="E17" s="44" t="s">
        <v>15</v>
      </c>
      <c r="F17" s="44" t="s">
        <v>15</v>
      </c>
      <c r="G17" s="45">
        <v>1</v>
      </c>
      <c r="H17" s="45">
        <v>1</v>
      </c>
      <c r="I17" s="46">
        <v>14</v>
      </c>
      <c r="J17" s="47">
        <v>40</v>
      </c>
      <c r="K17" s="48">
        <v>4</v>
      </c>
      <c r="L17" s="49">
        <f>K17/H17</f>
        <v>4</v>
      </c>
      <c r="M17" s="50">
        <f>+J17/K17</f>
        <v>10</v>
      </c>
      <c r="N17" s="51">
        <f>2396+241386.5+98796.5+39896+13025+3620+9820+13166.5+27977+165+7095+40+60+1120+40</f>
        <v>458603.5</v>
      </c>
      <c r="O17" s="52">
        <f>125+9946+4192+2079+536+139+417+654+2168+11+658+4+6+66+4</f>
        <v>21005</v>
      </c>
      <c r="P17" s="53">
        <f>N17/O17</f>
        <v>21.833063556296121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117</v>
      </c>
      <c r="H6" s="32">
        <v>117</v>
      </c>
      <c r="I6" s="33">
        <v>1</v>
      </c>
      <c r="J6" s="34">
        <v>82318.5</v>
      </c>
      <c r="K6" s="35">
        <v>4533</v>
      </c>
      <c r="L6" s="36">
        <f t="shared" ref="L6" si="0">K6/H6</f>
        <v>38.743589743589745</v>
      </c>
      <c r="M6" s="37">
        <f t="shared" ref="M6" si="1">+J6/K6</f>
        <v>18.159827928524155</v>
      </c>
      <c r="N6" s="38">
        <f>82318.5</f>
        <v>82318.5</v>
      </c>
      <c r="O6" s="39">
        <f>4533</f>
        <v>4533</v>
      </c>
      <c r="P6" s="40">
        <f t="shared" ref="P6" si="2">N6/O6</f>
        <v>18.159827928524155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79</v>
      </c>
      <c r="H7" s="21">
        <v>79</v>
      </c>
      <c r="I7" s="22">
        <v>7</v>
      </c>
      <c r="J7" s="10">
        <v>33246.5</v>
      </c>
      <c r="K7" s="11">
        <v>2942</v>
      </c>
      <c r="L7" s="23">
        <f t="shared" ref="L7" si="4">K7/H7</f>
        <v>37.240506329113927</v>
      </c>
      <c r="M7" s="24">
        <f t="shared" ref="M7" si="5">+J7/K7</f>
        <v>11.300645819170633</v>
      </c>
      <c r="N7" s="25">
        <f>209269+2420+3159+5695+7046+14446+33246.5</f>
        <v>275281.5</v>
      </c>
      <c r="O7" s="26">
        <f>11877+152+220+415+516+961+2942</f>
        <v>17083</v>
      </c>
      <c r="P7" s="27">
        <f t="shared" ref="P7" si="6">N7/O7</f>
        <v>16.11435345079904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92</v>
      </c>
      <c r="H8" s="21">
        <v>93</v>
      </c>
      <c r="I8" s="22">
        <v>26</v>
      </c>
      <c r="J8" s="10">
        <v>21994</v>
      </c>
      <c r="K8" s="11">
        <v>2105</v>
      </c>
      <c r="L8" s="23">
        <f>K8/H8</f>
        <v>22.634408602150536</v>
      </c>
      <c r="M8" s="24">
        <f>+J8/K8</f>
        <v>10.448456057007126</v>
      </c>
      <c r="N8" s="25">
        <f>27204+550044+312325+331653+234959.2+204582.5+144904+128591.5+68901.5+76727+73179.5+86760.8+102319.5+89592+64930.5+628549+1455046.5+981957+747644+394027.5+70399+9194+2414+612+665+4070+21994</f>
        <v>6813246</v>
      </c>
      <c r="O8" s="26">
        <f>1873+26223+14137+14500+11472+10085+6575+6015+3308+3477+3326+4437+4671+4097+2926+45580+108273+74395+48685+25493+4405+820+114+47+51+225+2105</f>
        <v>427315</v>
      </c>
      <c r="P8" s="27">
        <f>N8/O8</f>
        <v>15.944317423914443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18</v>
      </c>
      <c r="J9" s="10">
        <v>2941</v>
      </c>
      <c r="K9" s="11">
        <v>233</v>
      </c>
      <c r="L9" s="23">
        <f>K9/H9</f>
        <v>58.25</v>
      </c>
      <c r="M9" s="24">
        <f>+J9/K9</f>
        <v>12.622317596566523</v>
      </c>
      <c r="N9" s="25">
        <f>269804.79+164384.5+59611.7+14283.71+4947+4540+252+643+343+320+1046+846+115+1058+744+406+1238+2941</f>
        <v>527523.69999999995</v>
      </c>
      <c r="O9" s="26">
        <f>23691+14253+5286+1293+335+376+26+85+43+38+108+91+13+112+77+42+65+233</f>
        <v>46167</v>
      </c>
      <c r="P9" s="27">
        <f>N9/O9</f>
        <v>11.426423635930426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1120</v>
      </c>
      <c r="K10" s="11">
        <v>66</v>
      </c>
      <c r="L10" s="23">
        <f>K10/H10</f>
        <v>66</v>
      </c>
      <c r="M10" s="24">
        <f>+J10/K10</f>
        <v>16.969696969696969</v>
      </c>
      <c r="N10" s="25">
        <f>2396+241386.5+98796.5+39896+13025+3620+9820+13166.5+27977+165+7095+40+60+1120</f>
        <v>458563.5</v>
      </c>
      <c r="O10" s="26">
        <f>125+9946+4192+2079+536+139+417+654+2168+11+658+4+6+66</f>
        <v>21001</v>
      </c>
      <c r="P10" s="27">
        <f>N10/O10</f>
        <v>21.835317365839721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3</v>
      </c>
      <c r="H11" s="21">
        <v>3</v>
      </c>
      <c r="I11" s="22">
        <v>9</v>
      </c>
      <c r="J11" s="10">
        <v>962</v>
      </c>
      <c r="K11" s="11">
        <v>63</v>
      </c>
      <c r="L11" s="23">
        <f>K11/H11</f>
        <v>21</v>
      </c>
      <c r="M11" s="24">
        <f>+J11/K11</f>
        <v>15.269841269841271</v>
      </c>
      <c r="N11" s="25">
        <f>42933.5+11236+9203+3099+234+798+1123+2078+962</f>
        <v>71666.5</v>
      </c>
      <c r="O11" s="26">
        <f>2608+685+538+176+14+46+79+129+63</f>
        <v>4338</v>
      </c>
      <c r="P11" s="27">
        <f>N11/O11</f>
        <v>16.5206316274781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23</v>
      </c>
      <c r="D12" s="19">
        <v>43784</v>
      </c>
      <c r="E12" s="20" t="s">
        <v>15</v>
      </c>
      <c r="F12" s="20" t="s">
        <v>15</v>
      </c>
      <c r="G12" s="21">
        <v>1</v>
      </c>
      <c r="H12" s="21">
        <v>1</v>
      </c>
      <c r="I12" s="22">
        <v>14</v>
      </c>
      <c r="J12" s="10">
        <v>555</v>
      </c>
      <c r="K12" s="11">
        <v>37</v>
      </c>
      <c r="L12" s="23">
        <f t="shared" ref="L12:L19" si="7">K12/H12</f>
        <v>37</v>
      </c>
      <c r="M12" s="24">
        <f t="shared" ref="M12:M19" si="8">+J12/K12</f>
        <v>15</v>
      </c>
      <c r="N12" s="25">
        <f>1245183.5+169614.5+71865.8+29102.5+19785+3392+8359+7998.6+13914.4+4053+8569.4+1782+990+555</f>
        <v>1585164.7</v>
      </c>
      <c r="O12" s="26">
        <f>74795+11280+5220+2328+1564+254+823+805+1562+445+868+178+66+37</f>
        <v>100225</v>
      </c>
      <c r="P12" s="27">
        <f t="shared" ref="P12:P19" si="9">N12/O12</f>
        <v>15.816060863058119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69</v>
      </c>
      <c r="D13" s="19">
        <v>43896</v>
      </c>
      <c r="E13" s="20" t="s">
        <v>15</v>
      </c>
      <c r="F13" s="20" t="s">
        <v>15</v>
      </c>
      <c r="G13" s="21">
        <v>1</v>
      </c>
      <c r="H13" s="21">
        <v>1</v>
      </c>
      <c r="I13" s="22">
        <v>4</v>
      </c>
      <c r="J13" s="10">
        <v>510</v>
      </c>
      <c r="K13" s="11">
        <v>32</v>
      </c>
      <c r="L13" s="23">
        <f>K13/H13</f>
        <v>32</v>
      </c>
      <c r="M13" s="24">
        <f>+J13/K13</f>
        <v>15.9375</v>
      </c>
      <c r="N13" s="25">
        <f>5065+8285+76168.5+5812+125+510</f>
        <v>95965.5</v>
      </c>
      <c r="O13" s="26">
        <f>379+602+3406+252+13+32</f>
        <v>4684</v>
      </c>
      <c r="P13" s="27">
        <f>N13/O13</f>
        <v>20.487937660119556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111</v>
      </c>
      <c r="D14" s="19">
        <v>43756</v>
      </c>
      <c r="E14" s="20" t="s">
        <v>15</v>
      </c>
      <c r="F14" s="20" t="s">
        <v>15</v>
      </c>
      <c r="G14" s="21">
        <v>1</v>
      </c>
      <c r="H14" s="21">
        <v>1</v>
      </c>
      <c r="I14" s="22">
        <v>7</v>
      </c>
      <c r="J14" s="10">
        <v>478</v>
      </c>
      <c r="K14" s="11">
        <v>34</v>
      </c>
      <c r="L14" s="23">
        <f>K14/H14</f>
        <v>34</v>
      </c>
      <c r="M14" s="24">
        <f>+J14/K14</f>
        <v>14.058823529411764</v>
      </c>
      <c r="N14" s="25">
        <f>56797+54070.5+1828+1478+532+188+478</f>
        <v>115371.5</v>
      </c>
      <c r="O14" s="26">
        <f>3217+3472+106+78+38+13+34</f>
        <v>6958</v>
      </c>
      <c r="P14" s="27">
        <f>N14/O14</f>
        <v>16.581129634952571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4</v>
      </c>
      <c r="H15" s="21">
        <v>4</v>
      </c>
      <c r="I15" s="22">
        <v>14</v>
      </c>
      <c r="J15" s="10">
        <v>464</v>
      </c>
      <c r="K15" s="11">
        <v>58</v>
      </c>
      <c r="L15" s="23">
        <f>K15/H15</f>
        <v>14.5</v>
      </c>
      <c r="M15" s="24">
        <f>+J15/K15</f>
        <v>8</v>
      </c>
      <c r="N15" s="25">
        <f>378926+79846+19515+14964+8765+3960+2220+272+2008+6448+472+200+936+464</f>
        <v>518996</v>
      </c>
      <c r="O15" s="26">
        <f>21844+4905+1778+1322+907+396+268+34+254+806+59+25+116+58</f>
        <v>32772</v>
      </c>
      <c r="P15" s="27">
        <f>N15/O15</f>
        <v>15.836567801782008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83</v>
      </c>
      <c r="D16" s="19">
        <v>43896</v>
      </c>
      <c r="E16" s="20" t="s">
        <v>15</v>
      </c>
      <c r="F16" s="20" t="s">
        <v>15</v>
      </c>
      <c r="G16" s="21">
        <v>1</v>
      </c>
      <c r="H16" s="21">
        <v>1</v>
      </c>
      <c r="I16" s="22">
        <v>3</v>
      </c>
      <c r="J16" s="10">
        <v>330</v>
      </c>
      <c r="K16" s="11">
        <v>22</v>
      </c>
      <c r="L16" s="23">
        <f t="shared" ref="L16" si="10">K16/H16</f>
        <v>22</v>
      </c>
      <c r="M16" s="24">
        <f t="shared" ref="M16" si="11">+J16/K16</f>
        <v>15</v>
      </c>
      <c r="N16" s="25">
        <f>137757.5+2211+330</f>
        <v>140298.5</v>
      </c>
      <c r="O16" s="26">
        <f>7791+153+22</f>
        <v>7966</v>
      </c>
      <c r="P16" s="27">
        <f t="shared" ref="P16" si="12">N16/O16</f>
        <v>17.612164197840823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79</v>
      </c>
      <c r="D17" s="19">
        <v>42769</v>
      </c>
      <c r="E17" s="20" t="s">
        <v>15</v>
      </c>
      <c r="F17" s="20" t="s">
        <v>16</v>
      </c>
      <c r="G17" s="21">
        <v>1</v>
      </c>
      <c r="H17" s="21">
        <v>1</v>
      </c>
      <c r="I17" s="22">
        <v>18</v>
      </c>
      <c r="J17" s="10">
        <v>294</v>
      </c>
      <c r="K17" s="11">
        <v>15</v>
      </c>
      <c r="L17" s="23">
        <f t="shared" si="7"/>
        <v>15</v>
      </c>
      <c r="M17" s="24">
        <f t="shared" si="8"/>
        <v>19.600000000000001</v>
      </c>
      <c r="N17" s="25">
        <f>257368.92+170584.28+60590.22+51924.44+52099.69+37257.14+2254+594+2376+2376+1334+2376+3406+2376+2376+1663.2+4240+294</f>
        <v>655489.89</v>
      </c>
      <c r="O17" s="26">
        <f>17433+10994+4313+2817+3665+2503+464+119+475+475+117+475+565+475+475+333+220+15</f>
        <v>45933</v>
      </c>
      <c r="P17" s="27">
        <f t="shared" si="9"/>
        <v>14.270565606426752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57</v>
      </c>
      <c r="D18" s="19">
        <v>43861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10</v>
      </c>
      <c r="J18" s="10">
        <v>180</v>
      </c>
      <c r="K18" s="11">
        <v>18</v>
      </c>
      <c r="L18" s="23">
        <f>K18/H18</f>
        <v>18</v>
      </c>
      <c r="M18" s="24">
        <f>+J18/K18</f>
        <v>10</v>
      </c>
      <c r="N18" s="25">
        <f>9454+241951+37013+20887.8+15951+12475+6548.6+1125+220+180</f>
        <v>345805.39999999997</v>
      </c>
      <c r="O18" s="26">
        <f>556+13027+2254+1944+1245+1075+759+75+22+18</f>
        <v>20975</v>
      </c>
      <c r="P18" s="27">
        <f>N18/O18</f>
        <v>16.48655065554231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45</v>
      </c>
      <c r="D19" s="19">
        <v>43854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11</v>
      </c>
      <c r="J19" s="10">
        <v>170</v>
      </c>
      <c r="K19" s="11">
        <v>17</v>
      </c>
      <c r="L19" s="23">
        <f t="shared" si="7"/>
        <v>17</v>
      </c>
      <c r="M19" s="24">
        <f t="shared" si="8"/>
        <v>10</v>
      </c>
      <c r="N19" s="25">
        <f>5439+1652+94419+26989+8240+1167+3409.2+2970+335+40+160+60+170</f>
        <v>145050.20000000001</v>
      </c>
      <c r="O19" s="26">
        <f>337+106+4328+1517+645+137+353+297+19+4+16+6+17</f>
        <v>7782</v>
      </c>
      <c r="P19" s="27">
        <f t="shared" si="9"/>
        <v>18.639193009509125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44</v>
      </c>
      <c r="D20" s="43">
        <v>43770</v>
      </c>
      <c r="E20" s="44" t="s">
        <v>15</v>
      </c>
      <c r="F20" s="44" t="s">
        <v>16</v>
      </c>
      <c r="G20" s="45">
        <v>2</v>
      </c>
      <c r="H20" s="45">
        <v>2</v>
      </c>
      <c r="I20" s="46">
        <v>12</v>
      </c>
      <c r="J20" s="47">
        <v>127</v>
      </c>
      <c r="K20" s="48">
        <v>9</v>
      </c>
      <c r="L20" s="49">
        <f>K20/H20</f>
        <v>4.5</v>
      </c>
      <c r="M20" s="50">
        <f>+J20/K20</f>
        <v>14.111111111111111</v>
      </c>
      <c r="N20" s="51">
        <f>609662.5+131067+15933+4836+875+910+542+6309.6+300+1200+526+127</f>
        <v>772288.1</v>
      </c>
      <c r="O20" s="52">
        <f>34810+8470+1105+335+81+87+51+629+29+80+29+9</f>
        <v>45715</v>
      </c>
      <c r="P20" s="53">
        <f>N20/O20</f>
        <v>16.893538225965219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20</v>
      </c>
      <c r="H6" s="32">
        <v>20</v>
      </c>
      <c r="I6" s="33">
        <v>6</v>
      </c>
      <c r="J6" s="34">
        <v>14446</v>
      </c>
      <c r="K6" s="35">
        <v>961</v>
      </c>
      <c r="L6" s="36">
        <f t="shared" ref="L6:L10" si="0">K6/H6</f>
        <v>48.05</v>
      </c>
      <c r="M6" s="37">
        <f t="shared" ref="M6:M10" si="1">+J6/K6</f>
        <v>15.03225806451613</v>
      </c>
      <c r="N6" s="38">
        <f>209269+2420+3159+5695+7046+14446</f>
        <v>242035</v>
      </c>
      <c r="O6" s="39">
        <f>11877+152+220+415+516+961</f>
        <v>14141</v>
      </c>
      <c r="P6" s="40">
        <f t="shared" ref="P6:P10" si="2">N6/O6</f>
        <v>17.115833392263632</v>
      </c>
      <c r="Q6" s="2"/>
      <c r="R6" s="2"/>
      <c r="S6" s="2"/>
    </row>
    <row r="7" spans="1:19" s="8" customFormat="1" ht="22.5" customHeight="1" x14ac:dyDescent="0.25">
      <c r="B7" s="9">
        <f t="shared" ref="B7:B16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25</v>
      </c>
      <c r="J7" s="10">
        <v>4070</v>
      </c>
      <c r="K7" s="11">
        <v>225</v>
      </c>
      <c r="L7" s="23">
        <f>K7/H7</f>
        <v>37.5</v>
      </c>
      <c r="M7" s="24">
        <f>+J7/K7</f>
        <v>18.088888888888889</v>
      </c>
      <c r="N7" s="25">
        <f>27204+550044+312325+331653+234959.2+204582.5+144904+128591.5+68901.5+76727+73179.5+86760.8+102319.5+89592+64930.5+628549+1455046.5+981957+747644+394027.5+70399+9194+2414+612+665+4070</f>
        <v>6791252</v>
      </c>
      <c r="O7" s="26">
        <f>1873+26223+14137+14500+11472+10085+6575+6015+3308+3477+3326+4437+4671+4097+2926+45580+108273+74395+48685+25493+4405+820+114+47+51+225</f>
        <v>425210</v>
      </c>
      <c r="P7" s="27">
        <f>N7/O7</f>
        <v>15.971524658404082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7</v>
      </c>
      <c r="H8" s="21">
        <v>7</v>
      </c>
      <c r="I8" s="22">
        <v>8</v>
      </c>
      <c r="J8" s="10">
        <v>2078</v>
      </c>
      <c r="K8" s="11">
        <v>129</v>
      </c>
      <c r="L8" s="23">
        <f>K8/H8</f>
        <v>18.428571428571427</v>
      </c>
      <c r="M8" s="24">
        <f>+J8/K8</f>
        <v>16.108527131782946</v>
      </c>
      <c r="N8" s="25">
        <f>42933.5+11236+9203+3099+234+798+1123+2078</f>
        <v>70704.5</v>
      </c>
      <c r="O8" s="26">
        <f>2608+685+538+176+14+46+79+129</f>
        <v>4275</v>
      </c>
      <c r="P8" s="27">
        <f>N8/O8</f>
        <v>16.539064327485381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1</v>
      </c>
      <c r="H9" s="21">
        <v>1</v>
      </c>
      <c r="I9" s="22">
        <v>4</v>
      </c>
      <c r="J9" s="10">
        <v>693</v>
      </c>
      <c r="K9" s="11">
        <v>41</v>
      </c>
      <c r="L9" s="23">
        <f>K9/H9</f>
        <v>41</v>
      </c>
      <c r="M9" s="24">
        <f>+J9/K9</f>
        <v>16.902439024390244</v>
      </c>
      <c r="N9" s="25">
        <f>1613+832+831+693</f>
        <v>3969</v>
      </c>
      <c r="O9" s="26">
        <f>125+56+45+41</f>
        <v>267</v>
      </c>
      <c r="P9" s="27">
        <f>N9/O9</f>
        <v>14.865168539325843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3</v>
      </c>
      <c r="H10" s="21">
        <v>3</v>
      </c>
      <c r="I10" s="22">
        <v>11</v>
      </c>
      <c r="J10" s="10">
        <v>526</v>
      </c>
      <c r="K10" s="11">
        <v>29</v>
      </c>
      <c r="L10" s="23">
        <f t="shared" si="0"/>
        <v>9.6666666666666661</v>
      </c>
      <c r="M10" s="24">
        <f t="shared" si="1"/>
        <v>18.137931034482758</v>
      </c>
      <c r="N10" s="25">
        <f>609662.5+131067+15933+4836+875+910+542+6309.6+300+1200+526</f>
        <v>772161.1</v>
      </c>
      <c r="O10" s="26">
        <f>34810+8470+1105+335+81+87+51+629+29+80+29</f>
        <v>45706</v>
      </c>
      <c r="P10" s="27">
        <f t="shared" si="2"/>
        <v>16.894086115608452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57</v>
      </c>
      <c r="D11" s="19">
        <v>43861</v>
      </c>
      <c r="E11" s="20" t="s">
        <v>15</v>
      </c>
      <c r="F11" s="20" t="s">
        <v>15</v>
      </c>
      <c r="G11" s="21">
        <v>1</v>
      </c>
      <c r="H11" s="21">
        <v>1</v>
      </c>
      <c r="I11" s="22">
        <v>9</v>
      </c>
      <c r="J11" s="10">
        <v>220</v>
      </c>
      <c r="K11" s="11">
        <v>22</v>
      </c>
      <c r="L11" s="23">
        <f>K11/H11</f>
        <v>22</v>
      </c>
      <c r="M11" s="24">
        <f>+J11/K11</f>
        <v>10</v>
      </c>
      <c r="N11" s="25">
        <f>9454+241951+37013+20887.8+15951+12475+6548.6+1125+220</f>
        <v>345625.39999999997</v>
      </c>
      <c r="O11" s="26">
        <f>556+13027+2254+1944+1245+1075+759+75+22</f>
        <v>20957</v>
      </c>
      <c r="P11" s="27">
        <f>N11/O11</f>
        <v>16.492121964021567</v>
      </c>
      <c r="Q11" s="2"/>
      <c r="R11" s="2"/>
      <c r="S11" s="2"/>
    </row>
    <row r="12" spans="1:19" s="8" customFormat="1" ht="22.5" customHeight="1" x14ac:dyDescent="0.25">
      <c r="A12" s="6"/>
      <c r="B12" s="9">
        <f t="shared" si="3"/>
        <v>7</v>
      </c>
      <c r="C12" s="18" t="s">
        <v>107</v>
      </c>
      <c r="D12" s="19">
        <v>43539</v>
      </c>
      <c r="E12" s="20" t="s">
        <v>15</v>
      </c>
      <c r="F12" s="20" t="s">
        <v>15</v>
      </c>
      <c r="G12" s="21">
        <v>1</v>
      </c>
      <c r="H12" s="21">
        <v>1</v>
      </c>
      <c r="I12" s="22">
        <v>10</v>
      </c>
      <c r="J12" s="10">
        <v>200</v>
      </c>
      <c r="K12" s="11">
        <v>20</v>
      </c>
      <c r="L12" s="23">
        <f>K12/H12</f>
        <v>20</v>
      </c>
      <c r="M12" s="24">
        <f>+J12/K12</f>
        <v>10</v>
      </c>
      <c r="N12" s="25">
        <f>41898.2+7070+5058+94771.6+26673.54+6769.3+7498+1180+7130+4040+3326.4+2138.4+200</f>
        <v>207753.43999999997</v>
      </c>
      <c r="O12" s="26">
        <f>2730+494+604+5333+1979+499+417+133+713+404+333+214+20</f>
        <v>13873</v>
      </c>
      <c r="P12" s="27">
        <f>N12/O12</f>
        <v>14.975379514164201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1</v>
      </c>
      <c r="H13" s="21">
        <v>1</v>
      </c>
      <c r="I13" s="22">
        <v>10</v>
      </c>
      <c r="J13" s="10">
        <v>60</v>
      </c>
      <c r="K13" s="11">
        <v>6</v>
      </c>
      <c r="L13" s="23">
        <f>K13/H13</f>
        <v>6</v>
      </c>
      <c r="M13" s="24">
        <f>+J13/K13</f>
        <v>10</v>
      </c>
      <c r="N13" s="25">
        <f>5439+1652+94419+26989+8240+1167+3409.2+2970+335+40+160+60</f>
        <v>144880.20000000001</v>
      </c>
      <c r="O13" s="26">
        <f>337+106+4328+1517+645+137+353+297+19+4+16+6</f>
        <v>7765</v>
      </c>
      <c r="P13" s="27">
        <f>N13/O13</f>
        <v>18.658106889890536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67</v>
      </c>
      <c r="D14" s="19">
        <v>43875</v>
      </c>
      <c r="E14" s="20" t="s">
        <v>15</v>
      </c>
      <c r="F14" s="20" t="s">
        <v>68</v>
      </c>
      <c r="G14" s="21">
        <v>1</v>
      </c>
      <c r="H14" s="21">
        <v>1</v>
      </c>
      <c r="I14" s="22">
        <v>7</v>
      </c>
      <c r="J14" s="10">
        <v>33</v>
      </c>
      <c r="K14" s="11">
        <v>3</v>
      </c>
      <c r="L14" s="23">
        <f t="shared" ref="L14" si="4">K14/H14</f>
        <v>3</v>
      </c>
      <c r="M14" s="24">
        <f t="shared" ref="M14" si="5">+J14/K14</f>
        <v>11</v>
      </c>
      <c r="N14" s="25">
        <f>82437+7412+130+30+417+251+33</f>
        <v>90710</v>
      </c>
      <c r="O14" s="26">
        <f>4900+460+10+2+28+15+3</f>
        <v>5418</v>
      </c>
      <c r="P14" s="27">
        <f t="shared" ref="P14" si="6">N14/O14</f>
        <v>16.742340346991512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1</v>
      </c>
      <c r="H15" s="21">
        <v>1</v>
      </c>
      <c r="I15" s="22">
        <v>3</v>
      </c>
      <c r="J15" s="10">
        <v>20</v>
      </c>
      <c r="K15" s="11">
        <v>2</v>
      </c>
      <c r="L15" s="23">
        <f>K15/H15</f>
        <v>2</v>
      </c>
      <c r="M15" s="24">
        <f>+J15/K15</f>
        <v>10</v>
      </c>
      <c r="N15" s="25">
        <f>798+73600+822+20</f>
        <v>75240</v>
      </c>
      <c r="O15" s="26">
        <f>42+3691+39+2</f>
        <v>3774</v>
      </c>
      <c r="P15" s="27">
        <f>N15/O15</f>
        <v>19.936406995230524</v>
      </c>
      <c r="Q15" s="2"/>
      <c r="R15" s="2"/>
      <c r="S15" s="2"/>
    </row>
    <row r="16" spans="1:19" s="8" customFormat="1" ht="22.5" customHeight="1" thickBot="1" x14ac:dyDescent="0.3">
      <c r="B16" s="41">
        <f t="shared" si="3"/>
        <v>11</v>
      </c>
      <c r="C16" s="42" t="s">
        <v>53</v>
      </c>
      <c r="D16" s="43">
        <v>43308</v>
      </c>
      <c r="E16" s="44" t="s">
        <v>15</v>
      </c>
      <c r="F16" s="44" t="s">
        <v>15</v>
      </c>
      <c r="G16" s="45">
        <v>1</v>
      </c>
      <c r="H16" s="45">
        <v>1</v>
      </c>
      <c r="I16" s="46">
        <v>48</v>
      </c>
      <c r="J16" s="47">
        <v>0</v>
      </c>
      <c r="K16" s="48">
        <v>4</v>
      </c>
      <c r="L16" s="49">
        <f>K16/H16</f>
        <v>4</v>
      </c>
      <c r="M16" s="50">
        <f>+J16/K16</f>
        <v>0</v>
      </c>
      <c r="N16" s="51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</f>
        <v>964762.74000000022</v>
      </c>
      <c r="O16" s="52">
        <f>42973+17328+5998+6197+1033+414+245+22+235+417+156+153+996+870+1003+1031+681+3392+1258+183+43+1293+337+105+234+760+597+618+39+238+102+190+273+32+22+190+297+297+202+297+1128+238+238+594+49+45+3+4</f>
        <v>93050</v>
      </c>
      <c r="P16" s="53">
        <f>N16/O16</f>
        <v>10.368218592154758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2020_39_25.09-01.10</vt:lpstr>
      <vt:lpstr>2020_38_18-24.09</vt:lpstr>
      <vt:lpstr>2020_37_11-17.09</vt:lpstr>
      <vt:lpstr>2020_36_04-10.09</vt:lpstr>
      <vt:lpstr>2020_35_28.08-03.09</vt:lpstr>
      <vt:lpstr>2020_34_21-27.08</vt:lpstr>
      <vt:lpstr>2020_33_14-20.08</vt:lpstr>
      <vt:lpstr>2020_32_07-13.08</vt:lpstr>
      <vt:lpstr>2020_31_31.07-06.08</vt:lpstr>
      <vt:lpstr>2020_30_24-30.07</vt:lpstr>
      <vt:lpstr>2020_29_17-23.07</vt:lpstr>
      <vt:lpstr>2020_28_10-16.07</vt:lpstr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2020-10-02T14:57:10Z</dcterms:modified>
</cp:coreProperties>
</file>