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2\company\1Film_Theatrical\M3-Başka Sinema\BoxOffice\"/>
    </mc:Choice>
  </mc:AlternateContent>
  <bookViews>
    <workbookView xWindow="0" yWindow="0" windowWidth="18810" windowHeight="6840" tabRatio="857"/>
  </bookViews>
  <sheets>
    <sheet name="2020_32" sheetId="224" r:id="rId1"/>
    <sheet name="2020_31" sheetId="223" r:id="rId2"/>
    <sheet name="2020_30" sheetId="222" r:id="rId3"/>
    <sheet name="2020_29" sheetId="221" r:id="rId4"/>
    <sheet name="2020_28" sheetId="220" r:id="rId5"/>
    <sheet name="2020_27" sheetId="219" r:id="rId6"/>
    <sheet name="2020_11" sheetId="218" r:id="rId7"/>
    <sheet name="2020_10" sheetId="217" r:id="rId8"/>
    <sheet name="2020_09" sheetId="216" r:id="rId9"/>
    <sheet name="2020_08" sheetId="215" r:id="rId10"/>
    <sheet name="2020_07" sheetId="214" r:id="rId11"/>
    <sheet name="2020_06" sheetId="213" r:id="rId12"/>
    <sheet name="2020_05" sheetId="212" r:id="rId13"/>
    <sheet name="2020_04" sheetId="211" r:id="rId14"/>
    <sheet name="2020_03" sheetId="210" r:id="rId15"/>
    <sheet name="2020_02" sheetId="209" r:id="rId16"/>
    <sheet name="2020_01" sheetId="208" r:id="rId17"/>
  </sheets>
  <externalReferences>
    <externalReference r:id="rId18"/>
  </externalReferences>
  <definedNames>
    <definedName name="_xlnm._FilterDatabase" localSheetId="16" hidden="1">'2020_01'!$A$1:$O$13</definedName>
    <definedName name="_xlnm._FilterDatabase" localSheetId="15" hidden="1">'2020_02'!$A$1:$O$10</definedName>
    <definedName name="_xlnm._FilterDatabase" localSheetId="14" hidden="1">'2020_03'!$A$1:$O$15</definedName>
    <definedName name="_xlnm._FilterDatabase" localSheetId="13" hidden="1">'2020_04'!$A$1:$O$10</definedName>
    <definedName name="_xlnm._FilterDatabase" localSheetId="12" hidden="1">'2020_05'!$A$1:$O$12</definedName>
    <definedName name="_xlnm._FilterDatabase" localSheetId="11" hidden="1">'2020_06'!$A$1:$O$11</definedName>
    <definedName name="_xlnm._FilterDatabase" localSheetId="10" hidden="1">'2020_07'!$A$1:$O$16</definedName>
    <definedName name="_xlnm._FilterDatabase" localSheetId="9" hidden="1">'2020_08'!$A$1:$O$13</definedName>
    <definedName name="_xlnm._FilterDatabase" localSheetId="8" hidden="1">'2020_09'!$A$1:$O$13</definedName>
    <definedName name="_xlnm._FilterDatabase" localSheetId="7" hidden="1">'2020_10'!$A$1:$O$18</definedName>
    <definedName name="_xlnm._FilterDatabase" localSheetId="6" hidden="1">'2020_11'!$A$1:$O$11</definedName>
    <definedName name="_xlnm._FilterDatabase" localSheetId="5" hidden="1">'2020_27'!$A$1:$O$13</definedName>
    <definedName name="_xlnm._FilterDatabase" localSheetId="4" hidden="1">'2020_28'!$A$1:$O$5</definedName>
    <definedName name="_xlnm._FilterDatabase" localSheetId="3" hidden="1">'2020_29'!$A$1:$O$3</definedName>
    <definedName name="_xlnm._FilterDatabase" localSheetId="2" hidden="1">'2020_30'!$A$1:$O$3</definedName>
    <definedName name="_xlnm._FilterDatabase" localSheetId="1" hidden="1">'2020_31'!$A$1:$O$3</definedName>
    <definedName name="_xlnm._FilterDatabase" localSheetId="0" hidden="1">'2020_32'!$A$1:$O$3</definedName>
    <definedName name="öngh">[1]Hafta1!$N$69</definedName>
    <definedName name="öngk">[1]Hafta1!$N$68</definedName>
  </definedNames>
  <calcPr calcId="162913"/>
</workbook>
</file>

<file path=xl/calcChain.xml><?xml version="1.0" encoding="utf-8"?>
<calcChain xmlns="http://schemas.openxmlformats.org/spreadsheetml/2006/main">
  <c r="A6" i="224" l="1"/>
  <c r="A7" i="224" s="1"/>
  <c r="A5" i="224"/>
  <c r="N7" i="224"/>
  <c r="M7" i="224"/>
  <c r="N4" i="224"/>
  <c r="M4" i="224"/>
  <c r="N5" i="224"/>
  <c r="M5" i="224"/>
  <c r="N6" i="224"/>
  <c r="M6" i="224"/>
  <c r="L7" i="224" l="1"/>
  <c r="K7" i="224"/>
  <c r="O6" i="224"/>
  <c r="L6" i="224"/>
  <c r="K6" i="224"/>
  <c r="O7" i="224" l="1"/>
  <c r="L4" i="224"/>
  <c r="K4" i="224"/>
  <c r="O5" i="224"/>
  <c r="L5" i="224"/>
  <c r="K5" i="224"/>
  <c r="O4" i="224" l="1"/>
  <c r="A5" i="223"/>
  <c r="A6" i="223" s="1"/>
  <c r="A7" i="223" s="1"/>
  <c r="A8" i="223" s="1"/>
  <c r="A9" i="223" s="1"/>
  <c r="N8" i="223"/>
  <c r="N10" i="221"/>
  <c r="N12" i="217"/>
  <c r="M8" i="223"/>
  <c r="M10" i="221"/>
  <c r="M12" i="217"/>
  <c r="N6" i="223"/>
  <c r="M6" i="223"/>
  <c r="N7" i="223"/>
  <c r="M7" i="223"/>
  <c r="N9" i="223"/>
  <c r="M9" i="223"/>
  <c r="N5" i="223"/>
  <c r="M5" i="223"/>
  <c r="O8" i="223"/>
  <c r="L8" i="223"/>
  <c r="K8" i="223"/>
  <c r="N4" i="223"/>
  <c r="M4" i="223"/>
  <c r="O9" i="223" l="1"/>
  <c r="L9" i="223"/>
  <c r="K9" i="223"/>
  <c r="O4" i="223" l="1"/>
  <c r="L4" i="223"/>
  <c r="K4" i="223"/>
  <c r="O6" i="223"/>
  <c r="L6" i="223"/>
  <c r="K6" i="223"/>
  <c r="O7" i="223"/>
  <c r="L7" i="223"/>
  <c r="K7" i="223"/>
  <c r="L5" i="223"/>
  <c r="K5" i="223"/>
  <c r="O5" i="223" l="1"/>
  <c r="A5" i="222"/>
  <c r="A6" i="222" s="1"/>
  <c r="A7" i="222" s="1"/>
  <c r="A8" i="222" s="1"/>
  <c r="A9" i="222" s="1"/>
  <c r="N8" i="222"/>
  <c r="M8" i="222"/>
  <c r="N4" i="222"/>
  <c r="M4" i="222"/>
  <c r="N7" i="222"/>
  <c r="M7" i="222"/>
  <c r="N6" i="222"/>
  <c r="M6" i="222"/>
  <c r="N5" i="222"/>
  <c r="M5" i="222"/>
  <c r="N9" i="222"/>
  <c r="M9" i="222"/>
  <c r="O9" i="222" s="1"/>
  <c r="L9" i="222"/>
  <c r="K9" i="222"/>
  <c r="L4" i="222"/>
  <c r="K4" i="222"/>
  <c r="L6" i="222"/>
  <c r="K6" i="222"/>
  <c r="L8" i="222"/>
  <c r="K8" i="222"/>
  <c r="L7" i="222"/>
  <c r="K7" i="222"/>
  <c r="L5" i="222"/>
  <c r="K5" i="222"/>
  <c r="O6" i="222" l="1"/>
  <c r="O4" i="222"/>
  <c r="O7" i="222"/>
  <c r="O5" i="222"/>
  <c r="O8" i="222"/>
  <c r="A5" i="221"/>
  <c r="A6" i="221" s="1"/>
  <c r="A7" i="221" s="1"/>
  <c r="A8" i="221" s="1"/>
  <c r="A9" i="221" s="1"/>
  <c r="A10" i="221" s="1"/>
  <c r="N7" i="221"/>
  <c r="M7" i="221"/>
  <c r="N8" i="221"/>
  <c r="M8" i="221"/>
  <c r="N9" i="221"/>
  <c r="M9" i="221"/>
  <c r="O9" i="221" s="1"/>
  <c r="N5" i="221"/>
  <c r="M5" i="221"/>
  <c r="N6" i="221"/>
  <c r="M6" i="221"/>
  <c r="O6" i="221" s="1"/>
  <c r="N4" i="221"/>
  <c r="M4" i="221"/>
  <c r="O10" i="221"/>
  <c r="L9" i="221"/>
  <c r="K9" i="221"/>
  <c r="L8" i="221"/>
  <c r="K8" i="221"/>
  <c r="L10" i="221"/>
  <c r="K10" i="221"/>
  <c r="L4" i="221"/>
  <c r="K4" i="221"/>
  <c r="L7" i="221"/>
  <c r="K7" i="221"/>
  <c r="L5" i="221"/>
  <c r="K5" i="221"/>
  <c r="L6" i="221"/>
  <c r="K6" i="221"/>
  <c r="O8" i="221" l="1"/>
  <c r="O5" i="221"/>
  <c r="O4" i="221"/>
  <c r="O7" i="221"/>
  <c r="N7" i="220"/>
  <c r="M7" i="220"/>
  <c r="O7" i="220" s="1"/>
  <c r="L7" i="220"/>
  <c r="K7" i="220"/>
  <c r="N4" i="220"/>
  <c r="M4" i="220"/>
  <c r="N10" i="220"/>
  <c r="M10" i="220"/>
  <c r="N6" i="220"/>
  <c r="M6" i="220"/>
  <c r="N9" i="220"/>
  <c r="M9" i="220"/>
  <c r="N8" i="220"/>
  <c r="M8" i="220"/>
  <c r="N5" i="220"/>
  <c r="M5" i="220"/>
  <c r="N11" i="220"/>
  <c r="M11" i="220"/>
  <c r="L6" i="220"/>
  <c r="K6" i="220"/>
  <c r="L5" i="220"/>
  <c r="K5" i="220"/>
  <c r="L4" i="220"/>
  <c r="K4" i="220"/>
  <c r="L11" i="220"/>
  <c r="K11" i="220"/>
  <c r="L9" i="220"/>
  <c r="K9" i="220"/>
  <c r="L10" i="220"/>
  <c r="K10" i="220"/>
  <c r="O10" i="220" l="1"/>
  <c r="O6" i="220"/>
  <c r="O11" i="220"/>
  <c r="O4" i="220"/>
  <c r="O5" i="220"/>
  <c r="O9" i="220"/>
  <c r="O8" i="220"/>
  <c r="L8" i="220"/>
  <c r="K8" i="220"/>
  <c r="A5" i="220" l="1"/>
  <c r="A6" i="220" s="1"/>
  <c r="A7" i="220" s="1"/>
  <c r="A8" i="220" s="1"/>
  <c r="A9" i="220" s="1"/>
  <c r="A10" i="220" s="1"/>
  <c r="A11" i="220" s="1"/>
  <c r="A5" i="219" l="1"/>
  <c r="A6" i="219" s="1"/>
  <c r="A7" i="219" s="1"/>
  <c r="A8" i="219" s="1"/>
  <c r="A9" i="219" s="1"/>
  <c r="A10" i="219" s="1"/>
  <c r="A11" i="219" s="1"/>
  <c r="A12" i="219" s="1"/>
  <c r="A13" i="219" s="1"/>
  <c r="N6" i="219"/>
  <c r="M6" i="219"/>
  <c r="N13" i="219"/>
  <c r="M13" i="219"/>
  <c r="N12" i="219"/>
  <c r="M12" i="219"/>
  <c r="N10" i="219"/>
  <c r="M10" i="219"/>
  <c r="N11" i="219"/>
  <c r="M11" i="219"/>
  <c r="N8" i="219"/>
  <c r="M8" i="219"/>
  <c r="O8" i="219" s="1"/>
  <c r="N5" i="219"/>
  <c r="M5" i="219"/>
  <c r="N9" i="219"/>
  <c r="M9" i="219"/>
  <c r="N4" i="219"/>
  <c r="M4" i="219"/>
  <c r="N7" i="219"/>
  <c r="M7" i="219"/>
  <c r="L8" i="219"/>
  <c r="K8" i="219"/>
  <c r="L9" i="219"/>
  <c r="K9" i="219"/>
  <c r="O9" i="219" l="1"/>
  <c r="O6" i="219"/>
  <c r="L6" i="219"/>
  <c r="K6" i="219"/>
  <c r="O5" i="219"/>
  <c r="L5" i="219"/>
  <c r="K5" i="219"/>
  <c r="O12" i="219" l="1"/>
  <c r="L12" i="219"/>
  <c r="K12" i="219"/>
  <c r="O4" i="219"/>
  <c r="L4" i="219"/>
  <c r="K4" i="219"/>
  <c r="O7" i="219"/>
  <c r="L7" i="219"/>
  <c r="K7" i="219"/>
  <c r="L11" i="219"/>
  <c r="K11" i="219"/>
  <c r="O10" i="219"/>
  <c r="L10" i="219"/>
  <c r="K10" i="219"/>
  <c r="O13" i="219"/>
  <c r="L13" i="219"/>
  <c r="K13" i="219"/>
  <c r="O11" i="219" l="1"/>
  <c r="A5" i="218"/>
  <c r="A6" i="218" s="1"/>
  <c r="A7" i="218" s="1"/>
  <c r="A8" i="218" s="1"/>
  <c r="A9" i="218" s="1"/>
  <c r="A10" i="218" s="1"/>
  <c r="A11" i="218" s="1"/>
  <c r="N9" i="218"/>
  <c r="M9" i="218"/>
  <c r="N7" i="218" l="1"/>
  <c r="M7" i="218"/>
  <c r="N5" i="218"/>
  <c r="M5" i="218"/>
  <c r="N11" i="218"/>
  <c r="M11" i="218"/>
  <c r="N10" i="218"/>
  <c r="M10" i="218"/>
  <c r="N6" i="218"/>
  <c r="M6" i="218"/>
  <c r="N4" i="218"/>
  <c r="M4" i="218"/>
  <c r="O4" i="218" s="1"/>
  <c r="L4" i="218"/>
  <c r="K4" i="218"/>
  <c r="N8" i="218"/>
  <c r="O8" i="218" s="1"/>
  <c r="M8" i="218"/>
  <c r="L8" i="218"/>
  <c r="K8" i="218"/>
  <c r="O9" i="218" l="1"/>
  <c r="L9" i="218"/>
  <c r="K9" i="218"/>
  <c r="L6" i="218" l="1"/>
  <c r="L7" i="218"/>
  <c r="L11" i="218"/>
  <c r="L10" i="218"/>
  <c r="K11" i="218"/>
  <c r="K10" i="218"/>
  <c r="O10" i="218"/>
  <c r="O11" i="218"/>
  <c r="O7" i="218"/>
  <c r="K7" i="218"/>
  <c r="O6" i="218"/>
  <c r="K6" i="218"/>
  <c r="O5" i="218"/>
  <c r="L5" i="218"/>
  <c r="K5" i="218"/>
  <c r="A5" i="217" l="1"/>
  <c r="A6" i="217" s="1"/>
  <c r="A7" i="217" s="1"/>
  <c r="A8" i="217" s="1"/>
  <c r="A9" i="217" s="1"/>
  <c r="A10" i="217" s="1"/>
  <c r="A11" i="217" s="1"/>
  <c r="A12" i="217" s="1"/>
  <c r="A13" i="217" s="1"/>
  <c r="A14" i="217" s="1"/>
  <c r="A15" i="217" s="1"/>
  <c r="A16" i="217" s="1"/>
  <c r="A17" i="217" s="1"/>
  <c r="A18" i="217" s="1"/>
  <c r="N9" i="217"/>
  <c r="M9" i="217"/>
  <c r="N5" i="217"/>
  <c r="M5" i="217"/>
  <c r="N6" i="217"/>
  <c r="M6" i="217"/>
  <c r="N4" i="217"/>
  <c r="M4" i="217"/>
  <c r="N16" i="217"/>
  <c r="M16" i="217"/>
  <c r="N8" i="217"/>
  <c r="M8" i="217"/>
  <c r="N15" i="217"/>
  <c r="M15" i="217"/>
  <c r="N18" i="217"/>
  <c r="M18" i="217"/>
  <c r="N10" i="217"/>
  <c r="M10" i="217"/>
  <c r="N13" i="217"/>
  <c r="M13" i="217"/>
  <c r="N14" i="217"/>
  <c r="M14" i="217"/>
  <c r="N11" i="217"/>
  <c r="M11" i="217"/>
  <c r="N17" i="217"/>
  <c r="M17" i="217"/>
  <c r="N7" i="217"/>
  <c r="M7" i="217"/>
  <c r="O11" i="217" l="1"/>
  <c r="L11" i="217"/>
  <c r="K11" i="217"/>
  <c r="O15" i="217"/>
  <c r="L15" i="217"/>
  <c r="K15" i="217"/>
  <c r="O18" i="217"/>
  <c r="L18" i="217"/>
  <c r="K18" i="217"/>
  <c r="L5" i="217"/>
  <c r="K5" i="217"/>
  <c r="O9" i="217"/>
  <c r="L9" i="217"/>
  <c r="K9" i="217"/>
  <c r="O17" i="217"/>
  <c r="L17" i="217"/>
  <c r="K17" i="217"/>
  <c r="O8" i="217"/>
  <c r="L8" i="217"/>
  <c r="K8" i="217"/>
  <c r="L14" i="217"/>
  <c r="K14" i="217"/>
  <c r="O13" i="217"/>
  <c r="L13" i="217"/>
  <c r="K13" i="217"/>
  <c r="O12" i="217"/>
  <c r="L12" i="217"/>
  <c r="K12" i="217"/>
  <c r="O16" i="217"/>
  <c r="L16" i="217"/>
  <c r="K16" i="217"/>
  <c r="O4" i="217"/>
  <c r="L4" i="217"/>
  <c r="K4" i="217"/>
  <c r="L6" i="217"/>
  <c r="K6" i="217"/>
  <c r="O5" i="217" l="1"/>
  <c r="O14" i="217"/>
  <c r="O6" i="217"/>
  <c r="A5" i="216"/>
  <c r="A6" i="216" s="1"/>
  <c r="A7" i="216" s="1"/>
  <c r="A8" i="216" s="1"/>
  <c r="A9" i="216" s="1"/>
  <c r="A10" i="216" s="1"/>
  <c r="A11" i="216" s="1"/>
  <c r="A12" i="216" s="1"/>
  <c r="A13" i="216" s="1"/>
  <c r="N12" i="216"/>
  <c r="M12" i="216"/>
  <c r="N4" i="216"/>
  <c r="M4" i="216"/>
  <c r="N5" i="216"/>
  <c r="M5" i="216"/>
  <c r="N7" i="216"/>
  <c r="M7" i="216"/>
  <c r="N8" i="216"/>
  <c r="M8" i="216"/>
  <c r="N11" i="216"/>
  <c r="M11" i="216"/>
  <c r="N9" i="216"/>
  <c r="M9" i="216"/>
  <c r="N10" i="216"/>
  <c r="M10" i="216"/>
  <c r="N13" i="216"/>
  <c r="M13" i="216"/>
  <c r="N6" i="216"/>
  <c r="M6" i="216"/>
  <c r="O10" i="216" l="1"/>
  <c r="L10" i="216"/>
  <c r="K10" i="216"/>
  <c r="O12" i="216" l="1"/>
  <c r="L12" i="216"/>
  <c r="K12" i="216"/>
  <c r="O6" i="216"/>
  <c r="L6" i="216"/>
  <c r="K6" i="216"/>
  <c r="O7" i="216"/>
  <c r="L7" i="216"/>
  <c r="K7" i="216"/>
  <c r="O13" i="216"/>
  <c r="L13" i="216"/>
  <c r="K13" i="216"/>
  <c r="O9" i="216"/>
  <c r="L9" i="216"/>
  <c r="K9" i="216"/>
  <c r="O11" i="216"/>
  <c r="L11" i="216"/>
  <c r="K11" i="216"/>
  <c r="O8" i="216"/>
  <c r="L8" i="216"/>
  <c r="K8" i="216"/>
  <c r="O4" i="216"/>
  <c r="L4" i="216"/>
  <c r="K4" i="216"/>
  <c r="O5" i="216"/>
  <c r="L5" i="216"/>
  <c r="K5" i="216"/>
  <c r="A5" i="215" l="1"/>
  <c r="A6" i="215" s="1"/>
  <c r="A7" i="215" s="1"/>
  <c r="A8" i="215" s="1"/>
  <c r="A9" i="215" s="1"/>
  <c r="A10" i="215" s="1"/>
  <c r="A11" i="215" s="1"/>
  <c r="A12" i="215" s="1"/>
  <c r="A13" i="215" s="1"/>
  <c r="N12" i="215"/>
  <c r="M12" i="215"/>
  <c r="N11" i="215"/>
  <c r="M11" i="215"/>
  <c r="N6" i="215"/>
  <c r="M6" i="215"/>
  <c r="N8" i="215"/>
  <c r="M8" i="215"/>
  <c r="N7" i="215"/>
  <c r="M7" i="215"/>
  <c r="N13" i="215"/>
  <c r="M13" i="215"/>
  <c r="N4" i="215"/>
  <c r="M4" i="215"/>
  <c r="N9" i="215"/>
  <c r="M9" i="215"/>
  <c r="N10" i="215"/>
  <c r="M10" i="215"/>
  <c r="N5" i="215"/>
  <c r="M5" i="215"/>
  <c r="L10" i="215"/>
  <c r="K10" i="215"/>
  <c r="O10" i="215" l="1"/>
  <c r="O5" i="215"/>
  <c r="L5" i="215"/>
  <c r="K5" i="215"/>
  <c r="O13" i="215" l="1"/>
  <c r="L13" i="215"/>
  <c r="K13" i="215"/>
  <c r="O7" i="215"/>
  <c r="L7" i="215"/>
  <c r="K7" i="215"/>
  <c r="O9" i="215"/>
  <c r="L9" i="215"/>
  <c r="K9" i="215"/>
  <c r="O11" i="215"/>
  <c r="L11" i="215"/>
  <c r="K11" i="215"/>
  <c r="O8" i="215"/>
  <c r="L8" i="215"/>
  <c r="K8" i="215"/>
  <c r="O12" i="215"/>
  <c r="L12" i="215"/>
  <c r="K12" i="215"/>
  <c r="L6" i="215"/>
  <c r="K6" i="215"/>
  <c r="O4" i="215"/>
  <c r="L4" i="215"/>
  <c r="K4" i="215"/>
  <c r="O6" i="215" l="1"/>
  <c r="A5" i="214"/>
  <c r="A6" i="214" s="1"/>
  <c r="A7" i="214" s="1"/>
  <c r="A8" i="214" s="1"/>
  <c r="A9" i="214" s="1"/>
  <c r="A10" i="214" s="1"/>
  <c r="A11" i="214" s="1"/>
  <c r="A12" i="214" s="1"/>
  <c r="A13" i="214" s="1"/>
  <c r="A14" i="214" s="1"/>
  <c r="A15" i="214" s="1"/>
  <c r="A16" i="214" s="1"/>
  <c r="N6" i="214"/>
  <c r="M6" i="214"/>
  <c r="N9" i="214"/>
  <c r="M9" i="214"/>
  <c r="N5" i="214"/>
  <c r="M5" i="214"/>
  <c r="N8" i="214"/>
  <c r="M8" i="214"/>
  <c r="N7" i="214"/>
  <c r="M7" i="214"/>
  <c r="N13" i="214"/>
  <c r="M13" i="214"/>
  <c r="N12" i="214"/>
  <c r="M12" i="214"/>
  <c r="N11" i="214"/>
  <c r="M11" i="214"/>
  <c r="N16" i="214"/>
  <c r="M16" i="214"/>
  <c r="N15" i="214"/>
  <c r="M15" i="214"/>
  <c r="N10" i="214"/>
  <c r="M10" i="214"/>
  <c r="N14" i="214"/>
  <c r="M14" i="214"/>
  <c r="N4" i="214"/>
  <c r="M4" i="214"/>
  <c r="L11" i="214"/>
  <c r="K11" i="214"/>
  <c r="L14" i="214"/>
  <c r="K14" i="214"/>
  <c r="O11" i="214" l="1"/>
  <c r="O14" i="214"/>
  <c r="O12" i="214"/>
  <c r="L12" i="214"/>
  <c r="K12" i="214"/>
  <c r="O16" i="214"/>
  <c r="L16" i="214"/>
  <c r="K16" i="214"/>
  <c r="O8" i="214"/>
  <c r="L8" i="214"/>
  <c r="K8" i="214"/>
  <c r="O4" i="214"/>
  <c r="L4" i="214"/>
  <c r="K4" i="214"/>
  <c r="O15" i="214"/>
  <c r="L15" i="214"/>
  <c r="K15" i="214"/>
  <c r="O13" i="214"/>
  <c r="L13" i="214"/>
  <c r="K13" i="214"/>
  <c r="O6" i="214"/>
  <c r="L6" i="214"/>
  <c r="K6" i="214"/>
  <c r="O10" i="214"/>
  <c r="L10" i="214"/>
  <c r="K10" i="214"/>
  <c r="L9" i="214"/>
  <c r="K9" i="214"/>
  <c r="O7" i="214"/>
  <c r="L7" i="214"/>
  <c r="K7" i="214"/>
  <c r="O5" i="214"/>
  <c r="L5" i="214"/>
  <c r="K5" i="214"/>
  <c r="O9" i="214" l="1"/>
  <c r="N4" i="213"/>
  <c r="M4" i="213"/>
  <c r="N6" i="213"/>
  <c r="M6" i="213"/>
  <c r="N5" i="213"/>
  <c r="M5" i="213"/>
  <c r="N9" i="213"/>
  <c r="M9" i="213"/>
  <c r="N8" i="213"/>
  <c r="M8" i="213"/>
  <c r="N10" i="213"/>
  <c r="M10" i="213"/>
  <c r="N11" i="213"/>
  <c r="M11" i="213"/>
  <c r="N7" i="213"/>
  <c r="M7" i="213"/>
  <c r="L9" i="213"/>
  <c r="K9" i="213"/>
  <c r="L10" i="213"/>
  <c r="K10" i="213"/>
  <c r="O9" i="213" l="1"/>
  <c r="O10" i="213"/>
  <c r="O6" i="213"/>
  <c r="L6" i="213"/>
  <c r="K6" i="213"/>
  <c r="O8" i="213"/>
  <c r="L8" i="213"/>
  <c r="K8" i="213"/>
  <c r="A5" i="213"/>
  <c r="A6" i="213" s="1"/>
  <c r="A7" i="213" s="1"/>
  <c r="A8" i="213" s="1"/>
  <c r="A9" i="213" s="1"/>
  <c r="A10" i="213" s="1"/>
  <c r="A11" i="213" s="1"/>
  <c r="O11" i="213"/>
  <c r="L11" i="213"/>
  <c r="K11" i="213"/>
  <c r="O7" i="213"/>
  <c r="L7" i="213"/>
  <c r="K7" i="213"/>
  <c r="O5" i="213"/>
  <c r="L5" i="213"/>
  <c r="K5" i="213"/>
  <c r="L4" i="213"/>
  <c r="K4" i="213"/>
  <c r="O4" i="213" l="1"/>
  <c r="N5" i="212"/>
  <c r="M5" i="212"/>
  <c r="N9" i="212"/>
  <c r="M9" i="212"/>
  <c r="N11" i="212"/>
  <c r="M11" i="212"/>
  <c r="N12" i="212"/>
  <c r="M12" i="212"/>
  <c r="N6" i="212"/>
  <c r="M6" i="212"/>
  <c r="N4" i="212"/>
  <c r="M4" i="212"/>
  <c r="L4" i="212"/>
  <c r="K4" i="212"/>
  <c r="N8" i="212"/>
  <c r="M8" i="212"/>
  <c r="N10" i="212"/>
  <c r="M10" i="212"/>
  <c r="N7" i="212"/>
  <c r="M7" i="212"/>
  <c r="O4" i="212" l="1"/>
  <c r="O10" i="212" l="1"/>
  <c r="L10" i="212"/>
  <c r="K10" i="212"/>
  <c r="O12" i="212"/>
  <c r="L12" i="212"/>
  <c r="K12" i="212"/>
  <c r="O8" i="212" l="1"/>
  <c r="L8" i="212"/>
  <c r="K8" i="212"/>
  <c r="O7" i="212" l="1"/>
  <c r="L7" i="212"/>
  <c r="K7" i="212"/>
  <c r="A5" i="212"/>
  <c r="A6" i="212" s="1"/>
  <c r="A7" i="212" s="1"/>
  <c r="A8" i="212" s="1"/>
  <c r="A9" i="212" s="1"/>
  <c r="A10" i="212" s="1"/>
  <c r="A11" i="212" s="1"/>
  <c r="A12" i="212" s="1"/>
  <c r="O11" i="212"/>
  <c r="L11" i="212"/>
  <c r="K11" i="212"/>
  <c r="O9" i="212"/>
  <c r="L9" i="212"/>
  <c r="K9" i="212"/>
  <c r="O6" i="212"/>
  <c r="L6" i="212"/>
  <c r="K6" i="212"/>
  <c r="O5" i="212"/>
  <c r="L5" i="212"/>
  <c r="K5" i="212"/>
  <c r="N4" i="211" l="1"/>
  <c r="M4" i="211"/>
  <c r="N7" i="211"/>
  <c r="M7" i="211"/>
  <c r="N9" i="211"/>
  <c r="M9" i="211"/>
  <c r="N8" i="211"/>
  <c r="M8" i="211"/>
  <c r="N5" i="211"/>
  <c r="M5" i="211"/>
  <c r="N10" i="211"/>
  <c r="M10" i="211"/>
  <c r="N6" i="211"/>
  <c r="M6" i="211"/>
  <c r="O10" i="211" l="1"/>
  <c r="L10" i="211"/>
  <c r="K10" i="211"/>
  <c r="O9" i="211"/>
  <c r="L9" i="211"/>
  <c r="K9" i="211"/>
  <c r="O8" i="211"/>
  <c r="L8" i="211"/>
  <c r="K8" i="211"/>
  <c r="O6" i="211"/>
  <c r="L6" i="211"/>
  <c r="K6" i="211"/>
  <c r="O7" i="211"/>
  <c r="L7" i="211"/>
  <c r="K7" i="211"/>
  <c r="O5" i="211"/>
  <c r="L5" i="211"/>
  <c r="K5" i="211"/>
  <c r="A5" i="211"/>
  <c r="A6" i="211" s="1"/>
  <c r="A7" i="211" s="1"/>
  <c r="A8" i="211" s="1"/>
  <c r="A9" i="211" s="1"/>
  <c r="A10" i="211" s="1"/>
  <c r="O4" i="211"/>
  <c r="L4" i="211"/>
  <c r="K4" i="211"/>
  <c r="N8" i="210" l="1"/>
  <c r="M8" i="210"/>
  <c r="N9" i="210"/>
  <c r="M9" i="210"/>
  <c r="N4" i="210"/>
  <c r="M4" i="210"/>
  <c r="O4" i="210"/>
  <c r="L4" i="210"/>
  <c r="K4" i="210"/>
  <c r="N7" i="210"/>
  <c r="M7" i="210"/>
  <c r="N14" i="210"/>
  <c r="M14" i="210"/>
  <c r="N13" i="210"/>
  <c r="M13" i="210"/>
  <c r="N11" i="210"/>
  <c r="M11" i="210"/>
  <c r="N12" i="210"/>
  <c r="M12" i="210"/>
  <c r="N5" i="210"/>
  <c r="M5" i="210"/>
  <c r="N15" i="210"/>
  <c r="M15" i="210"/>
  <c r="N10" i="210"/>
  <c r="M10" i="210"/>
  <c r="N6" i="210"/>
  <c r="M6" i="210"/>
  <c r="O9" i="210" l="1"/>
  <c r="L9" i="210"/>
  <c r="K9" i="210"/>
  <c r="O8" i="210"/>
  <c r="L8" i="210"/>
  <c r="K8" i="210"/>
  <c r="O6" i="210"/>
  <c r="L6" i="210"/>
  <c r="K6" i="210"/>
  <c r="O10" i="210"/>
  <c r="L10" i="210"/>
  <c r="K10" i="210"/>
  <c r="L11" i="210"/>
  <c r="K11" i="210"/>
  <c r="O11" i="210" l="1"/>
  <c r="O12" i="210"/>
  <c r="L12" i="210"/>
  <c r="K12" i="210"/>
  <c r="O15" i="210"/>
  <c r="L15" i="210"/>
  <c r="K15" i="210"/>
  <c r="O14" i="210"/>
  <c r="L14" i="210"/>
  <c r="K14" i="210"/>
  <c r="O13" i="210"/>
  <c r="L13" i="210"/>
  <c r="K13" i="210"/>
  <c r="O5" i="210"/>
  <c r="L5" i="210"/>
  <c r="K5" i="210"/>
  <c r="O7" i="210"/>
  <c r="L7" i="210"/>
  <c r="K7" i="210"/>
  <c r="A5" i="209" l="1"/>
  <c r="A6" i="209" s="1"/>
  <c r="A7" i="209" s="1"/>
  <c r="A8" i="209" s="1"/>
  <c r="A9" i="209" s="1"/>
  <c r="A10" i="209" s="1"/>
  <c r="N4" i="209"/>
  <c r="M4" i="209"/>
  <c r="N8" i="209"/>
  <c r="M8" i="209"/>
  <c r="N7" i="209"/>
  <c r="M7" i="209"/>
  <c r="N10" i="209"/>
  <c r="M10" i="209"/>
  <c r="N5" i="209"/>
  <c r="M5" i="209"/>
  <c r="N9" i="209"/>
  <c r="M9" i="209"/>
  <c r="N6" i="209"/>
  <c r="M6" i="209"/>
  <c r="O9" i="209" l="1"/>
  <c r="L9" i="209"/>
  <c r="K9" i="209"/>
  <c r="O10" i="209"/>
  <c r="L10" i="209"/>
  <c r="K10" i="209"/>
  <c r="O6" i="209" l="1"/>
  <c r="L6" i="209"/>
  <c r="K6" i="209"/>
  <c r="O8" i="209"/>
  <c r="L8" i="209"/>
  <c r="K8" i="209"/>
  <c r="O4" i="209"/>
  <c r="L4" i="209"/>
  <c r="K4" i="209"/>
  <c r="L7" i="209"/>
  <c r="K7" i="209"/>
  <c r="O5" i="209"/>
  <c r="L5" i="209"/>
  <c r="K5" i="209"/>
  <c r="O7" i="209" l="1"/>
  <c r="N10" i="208"/>
  <c r="M10" i="208"/>
  <c r="N13" i="208" l="1"/>
  <c r="M13" i="208"/>
  <c r="N9" i="208" l="1"/>
  <c r="M9" i="208"/>
  <c r="N7" i="208"/>
  <c r="M7" i="208"/>
  <c r="M6" i="208"/>
  <c r="N6" i="208"/>
  <c r="N5" i="208"/>
  <c r="M5" i="208"/>
  <c r="N11" i="208"/>
  <c r="M11" i="208"/>
  <c r="N4" i="208"/>
  <c r="M4" i="208"/>
  <c r="N12" i="208"/>
  <c r="M12" i="208"/>
  <c r="N8" i="208"/>
  <c r="M8" i="208"/>
  <c r="O10" i="208"/>
  <c r="L10" i="208"/>
  <c r="K10" i="208"/>
  <c r="O13" i="208"/>
  <c r="L13" i="208"/>
  <c r="K13" i="208"/>
  <c r="L9" i="208"/>
  <c r="K9" i="208"/>
  <c r="L6" i="208"/>
  <c r="K6" i="208"/>
  <c r="L8" i="208"/>
  <c r="K8" i="208"/>
  <c r="A5" i="208"/>
  <c r="A6" i="208" s="1"/>
  <c r="A7" i="208" s="1"/>
  <c r="A8" i="208" s="1"/>
  <c r="A9" i="208" s="1"/>
  <c r="A10" i="208" s="1"/>
  <c r="A11" i="208" s="1"/>
  <c r="A12" i="208" s="1"/>
  <c r="A13" i="208" s="1"/>
  <c r="O8" i="208" l="1"/>
  <c r="O6" i="208"/>
  <c r="O9" i="208"/>
  <c r="L5" i="208"/>
  <c r="K5" i="208"/>
  <c r="O5" i="208" l="1"/>
  <c r="O12" i="208"/>
  <c r="L12" i="208"/>
  <c r="K12" i="208"/>
  <c r="O11" i="208"/>
  <c r="L11" i="208"/>
  <c r="K11" i="208"/>
  <c r="L7" i="208"/>
  <c r="K7" i="208"/>
  <c r="O4" i="208"/>
  <c r="L4" i="208"/>
  <c r="K4" i="208"/>
  <c r="O7" i="208" l="1"/>
  <c r="A5" i="210"/>
  <c r="A6" i="210" s="1"/>
  <c r="A7" i="210" s="1"/>
  <c r="A8" i="210" s="1"/>
  <c r="A9" i="210" s="1"/>
  <c r="A10" i="210" s="1"/>
  <c r="A11" i="210" s="1"/>
  <c r="A12" i="210" s="1"/>
  <c r="A13" i="210" s="1"/>
  <c r="A14" i="210" s="1"/>
  <c r="A15" i="210" s="1"/>
</calcChain>
</file>

<file path=xl/sharedStrings.xml><?xml version="1.0" encoding="utf-8"?>
<sst xmlns="http://schemas.openxmlformats.org/spreadsheetml/2006/main" count="758" uniqueCount="82">
  <si>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</si>
  <si>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</si>
  <si>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</si>
  <si>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</si>
  <si>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</si>
  <si>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</si>
  <si>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</si>
  <si>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</si>
  <si>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</si>
  <si>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</si>
  <si>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</si>
  <si>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</si>
  <si>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</si>
  <si>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</si>
  <si>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</si>
  <si>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</si>
  <si>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BORÇ</t>
  </si>
  <si>
    <t>Streç Film</t>
  </si>
  <si>
    <t>CAPHARNAUM</t>
  </si>
  <si>
    <t>Bir Film - Mars Prodüksiyon - Filma</t>
  </si>
  <si>
    <t>Mars Production</t>
  </si>
  <si>
    <t>PIRANHAS</t>
  </si>
  <si>
    <t>DEERSKIN</t>
  </si>
  <si>
    <t>PORTRAIT OF A LADY ON FIRE</t>
  </si>
  <si>
    <t>Fabula Films</t>
  </si>
  <si>
    <t>LITTLE JOE</t>
  </si>
  <si>
    <t>MONOS</t>
  </si>
  <si>
    <t>EMA</t>
  </si>
  <si>
    <t>I LOST MY BODY</t>
  </si>
  <si>
    <t>MATTHIAS ET MAXIME</t>
  </si>
  <si>
    <t>RAN</t>
  </si>
  <si>
    <t>AND THEN WE DANCED</t>
  </si>
  <si>
    <t>LITTLE WHITE LIES 2</t>
  </si>
  <si>
    <t>INVISIBLE LIFE</t>
  </si>
  <si>
    <t>-</t>
  </si>
  <si>
    <t>THE PAINTED BIRD</t>
  </si>
  <si>
    <t>HONEYLAND</t>
  </si>
  <si>
    <t>Hafta: 2020/04
24 - 30 Ocak 2020</t>
  </si>
  <si>
    <t>Hafta: 2020/03
17 - 23 Ocak 2020</t>
  </si>
  <si>
    <t>Hafta: 2020/02
10 - 16 Ocak 2020</t>
  </si>
  <si>
    <t>Hafta: 2020/01
03 - 09 Ocak 2020</t>
  </si>
  <si>
    <t>Hafta: 2020/05
31 Ocak - 06 Şubat 2020</t>
  </si>
  <si>
    <t>LA BELLE EPOQUE</t>
  </si>
  <si>
    <t>PITY</t>
  </si>
  <si>
    <t>ARCTIC</t>
  </si>
  <si>
    <t>Fabula</t>
  </si>
  <si>
    <t>Hafta: 2020/06
07 - 13 Şubat 2020</t>
  </si>
  <si>
    <t>LOVE ME IF YOU DARE</t>
  </si>
  <si>
    <t>OUR MOTHERS</t>
  </si>
  <si>
    <t>GOD EXISTS, HER NAME IS PETRUNYA</t>
  </si>
  <si>
    <t>ORAY</t>
  </si>
  <si>
    <t>Hafta: 2020/07
14 - 20 Şubat 2020</t>
  </si>
  <si>
    <t>GÖRÜLMÜŞTÜR</t>
  </si>
  <si>
    <t>+90 Film Yapım</t>
  </si>
  <si>
    <t>A FAITHFUL MAN</t>
  </si>
  <si>
    <t>Hafta: 2020/08
21 - 27 Şubat 2020</t>
  </si>
  <si>
    <t>IT MUST BE HEAVEN</t>
  </si>
  <si>
    <t>Zeyno Film</t>
  </si>
  <si>
    <t>SİBEL</t>
  </si>
  <si>
    <t>Hafta: 2020/09
28 Şubat - 05 Mart 2020</t>
  </si>
  <si>
    <t>8½</t>
  </si>
  <si>
    <t>FIRST LOVE</t>
  </si>
  <si>
    <t>BURNING</t>
  </si>
  <si>
    <t>Hafta: 2020/10
06 - 12 Mart 2020</t>
  </si>
  <si>
    <t>APOCALYPSE NOW FINAL CUT</t>
  </si>
  <si>
    <t>THE SPECIALS</t>
  </si>
  <si>
    <t>WOMAN</t>
  </si>
  <si>
    <t>THE MAN WHO DON QUİXOTE</t>
  </si>
  <si>
    <t>Hafta: 2020/11
13 - 19 Mart 2020</t>
  </si>
  <si>
    <t>ANGEL HEART</t>
  </si>
  <si>
    <t>Hafta: 2020/27
03 - 09 Temmuz 2020</t>
  </si>
  <si>
    <t>BY THE GRACE OF GOD</t>
  </si>
  <si>
    <t>Hafta: 2020/28
10 - 16 Temmuz 2020</t>
  </si>
  <si>
    <t>SOLARIS</t>
  </si>
  <si>
    <t>STALKER</t>
  </si>
  <si>
    <t>THE MIRROR</t>
  </si>
  <si>
    <t>SO LONG, MY SON</t>
  </si>
  <si>
    <t>Hafta: 2020/29
17 - 23 Temmuz 2020</t>
  </si>
  <si>
    <t>Hafta: 2020/30
24 - 30 Temmuz 2020</t>
  </si>
  <si>
    <t>Hafta: 2020/31
31 Temmuz - 06 Ağustos 2020</t>
  </si>
  <si>
    <t>Hafta: 2020/32
07 - 13 Ağustos 2020</t>
  </si>
  <si>
    <t>THE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</si>
</sst>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dd/mm/yy;@"/>
    <numFmt numFmtId="166" formatCode="0.00\ "/>
    <numFmt numFmtId="167" formatCode="#,##0\ "/>
    <numFmt numFmtId="168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7" fontId="2" fillId="0" borderId="19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168" fontId="2" fillId="0" borderId="18" xfId="0" applyNumberFormat="1" applyFont="1" applyFill="1" applyBorder="1" applyAlignment="1" applyProtection="1">
      <alignment horizontal="center" vertical="center" wrapText="1"/>
    </xf>
    <xf numFmtId="168" fontId="2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8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8" fontId="5" fillId="2" borderId="16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8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8" fontId="3" fillId="0" borderId="4" xfId="0" applyNumberFormat="1" applyFont="1" applyFill="1" applyBorder="1" applyAlignment="1">
      <alignment horizontal="right" vertical="center" shrinkToFit="1"/>
    </xf>
    <xf numFmtId="168" fontId="3" fillId="0" borderId="15" xfId="0" applyNumberFormat="1" applyFont="1" applyFill="1" applyBorder="1" applyAlignment="1">
      <alignment horizontal="right" vertical="center" shrinkToFit="1"/>
    </xf>
    <xf numFmtId="168" fontId="3" fillId="0" borderId="7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64" fontId="2" fillId="0" borderId="24" xfId="1" applyFont="1" applyFill="1" applyBorder="1" applyAlignment="1" applyProtection="1">
      <alignment vertical="center"/>
    </xf>
    <xf numFmtId="164" fontId="2" fillId="0" borderId="26" xfId="1" applyFont="1" applyFill="1" applyBorder="1" applyAlignment="1" applyProtection="1">
      <alignment vertical="center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165" fontId="3" fillId="2" borderId="4" xfId="0" applyNumberFormat="1" applyFont="1" applyFill="1" applyBorder="1" applyAlignment="1">
      <alignment horizontal="center" vertical="center" shrinkToFit="1"/>
    </xf>
    <xf numFmtId="165" fontId="3" fillId="2" borderId="15" xfId="0" applyNumberFormat="1" applyFont="1" applyFill="1" applyBorder="1" applyAlignment="1">
      <alignment horizontal="center" vertical="center" shrinkToFit="1"/>
    </xf>
    <xf numFmtId="165" fontId="3" fillId="2" borderId="7" xfId="0" applyNumberFormat="1" applyFont="1" applyFill="1" applyBorder="1" applyAlignment="1">
      <alignment horizontal="center" vertical="center" shrinkToFit="1"/>
    </xf>
    <xf numFmtId="165" fontId="3" fillId="2" borderId="10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165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 shrinkToFit="1"/>
    </xf>
    <xf numFmtId="165" fontId="3" fillId="2" borderId="30" xfId="0" applyNumberFormat="1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5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8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165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8" fontId="5" fillId="2" borderId="16" xfId="0" applyNumberFormat="1" applyFont="1" applyFill="1" applyBorder="1" applyAlignment="1">
      <alignment horizontal="right" vertical="center" shrinkToFit="1"/>
    </xf>
    <xf numFmtId="165" fontId="3" fillId="2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8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8" fontId="3" fillId="0" borderId="4" xfId="0" applyNumberFormat="1" applyFont="1" applyFill="1" applyBorder="1" applyAlignment="1">
      <alignment horizontal="right" vertical="center" shrinkToFit="1"/>
    </xf>
    <xf numFmtId="168" fontId="3" fillId="0" borderId="15" xfId="0" applyNumberFormat="1" applyFont="1" applyFill="1" applyBorder="1" applyAlignment="1">
      <alignment horizontal="right" vertical="center" shrinkToFit="1"/>
    </xf>
    <xf numFmtId="168" fontId="3" fillId="0" borderId="7" xfId="0" applyNumberFormat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8" fontId="3" fillId="3" borderId="15" xfId="0" applyNumberFormat="1" applyFont="1" applyFill="1" applyBorder="1" applyAlignment="1">
      <alignment horizontal="right" vertical="center" shrinkToFit="1"/>
    </xf>
    <xf numFmtId="3" fontId="3" fillId="3" borderId="10" xfId="0" applyNumberFormat="1" applyFont="1" applyFill="1" applyBorder="1" applyAlignment="1">
      <alignment horizontal="center" vertical="center" shrinkToFit="1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2" fillId="0" borderId="4" xfId="1" applyFont="1" applyFill="1" applyBorder="1" applyAlignment="1" applyProtection="1">
      <alignment horizontal="center" vertical="center"/>
    </xf>
    <xf numFmtId="164" fontId="2" fillId="0" borderId="19" xfId="1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64" fontId="2" fillId="0" borderId="7" xfId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</xf>
    <xf numFmtId="164" fontId="2" fillId="0" borderId="23" xfId="1" applyFont="1" applyFill="1" applyBorder="1" applyAlignment="1" applyProtection="1">
      <alignment horizontal="center" vertical="center"/>
    </xf>
    <xf numFmtId="164" fontId="2" fillId="0" borderId="11" xfId="1" applyFont="1" applyFill="1" applyBorder="1" applyAlignment="1" applyProtection="1">
      <alignment horizontal="center" vertical="center"/>
    </xf>
    <xf numFmtId="165" fontId="2" fillId="0" borderId="25" xfId="0" applyNumberFormat="1" applyFont="1" applyFill="1" applyBorder="1" applyAlignment="1" applyProtection="1">
      <alignment horizontal="center" vertical="center" wrapText="1"/>
    </xf>
    <xf numFmtId="165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3" fillId="4" borderId="15" xfId="0" applyFont="1" applyFill="1" applyBorder="1" applyAlignment="1">
      <alignment horizontal="left" vertic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80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36</v>
      </c>
      <c r="C4" s="67">
        <v>43861</v>
      </c>
      <c r="D4" s="68" t="s">
        <v>11</v>
      </c>
      <c r="E4" s="97" t="s">
        <v>20</v>
      </c>
      <c r="F4" s="100">
        <v>2</v>
      </c>
      <c r="G4" s="93">
        <v>2</v>
      </c>
      <c r="H4" s="94">
        <v>9</v>
      </c>
      <c r="I4" s="89">
        <v>2990</v>
      </c>
      <c r="J4" s="69">
        <v>298</v>
      </c>
      <c r="K4" s="82">
        <f>J4/G4</f>
        <v>149</v>
      </c>
      <c r="L4" s="70">
        <f t="shared" ref="L4" si="0">I4/J4</f>
        <v>10.033557046979865</v>
      </c>
      <c r="M4" s="89">
        <f>15864.1+66003+34616+26136.8+4695+4221.59+1181.4+20+60+2990</f>
        <v>155787.88999999998</v>
      </c>
      <c r="N4" s="69">
        <f>1102+4234+2166+1585+312+369+108+1+3+298</f>
        <v>10178</v>
      </c>
      <c r="O4" s="70">
        <f>M4/N4</f>
        <v>15.306336215366475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42</v>
      </c>
      <c r="C5" s="72">
        <v>43875</v>
      </c>
      <c r="D5" s="73" t="s">
        <v>11</v>
      </c>
      <c r="E5" s="98" t="s">
        <v>15</v>
      </c>
      <c r="F5" s="101">
        <v>1</v>
      </c>
      <c r="G5" s="66">
        <v>1</v>
      </c>
      <c r="H5" s="87">
        <v>9</v>
      </c>
      <c r="I5" s="90">
        <v>340</v>
      </c>
      <c r="J5" s="74">
        <v>17</v>
      </c>
      <c r="K5" s="80">
        <f t="shared" ref="K5" si="1">J5/G5</f>
        <v>17</v>
      </c>
      <c r="L5" s="75">
        <f>I5/J5</f>
        <v>20</v>
      </c>
      <c r="M5" s="90">
        <f>8336.5+107712.5+70355+48713+29420+4042.5+1105+1949+140+340</f>
        <v>272113.5</v>
      </c>
      <c r="N5" s="74">
        <f>585+6574+4093+2458+1479+183+63+105+7+17</f>
        <v>15564</v>
      </c>
      <c r="O5" s="75">
        <f t="shared" ref="O5" si="2">M5/N5</f>
        <v>17.48351966075559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7" si="3">A5+1</f>
        <v>3</v>
      </c>
      <c r="B6" s="95" t="s">
        <v>81</v>
      </c>
      <c r="C6" s="72">
        <v>43011</v>
      </c>
      <c r="D6" s="73" t="s">
        <v>11</v>
      </c>
      <c r="E6" s="98" t="s">
        <v>15</v>
      </c>
      <c r="F6" s="101">
        <v>1</v>
      </c>
      <c r="G6" s="66">
        <v>1</v>
      </c>
      <c r="H6" s="87">
        <v>26</v>
      </c>
      <c r="I6" s="90">
        <v>232</v>
      </c>
      <c r="J6" s="74">
        <v>12</v>
      </c>
      <c r="K6" s="80">
        <f>J6/G6</f>
        <v>12</v>
      </c>
      <c r="L6" s="75">
        <f>I6/J6</f>
        <v>19.333333333333332</v>
      </c>
      <c r="M6" s="90">
        <f>76856.2+54240.7+31444+33879.31+13850+5046+11064.4+3302+3279+3898.4+1583+3769+1791+728+1782+540+446+1782+62+1364+106+2613.6+1900.8+1900.8+157+950.4+232</f>
        <v>258567.60999999996</v>
      </c>
      <c r="N6" s="74">
        <f>5657+4581+2359+2855+1034+392+1103+254+251+569+111+577+129+56+356+60+51+356+8+143+14+523+380+380+41+95+12</f>
        <v>22347</v>
      </c>
      <c r="O6" s="75">
        <f>M6/N6</f>
        <v>11.570573678793572</v>
      </c>
      <c r="P6" s="83"/>
      <c r="Q6" s="83"/>
      <c r="R6" s="83"/>
      <c r="S6" s="83"/>
    </row>
    <row r="7" spans="1:19" s="64" customFormat="1" ht="16.5" customHeight="1" x14ac:dyDescent="0.25">
      <c r="A7" s="86">
        <f t="shared" si="3"/>
        <v>4</v>
      </c>
      <c r="B7" s="96" t="s">
        <v>56</v>
      </c>
      <c r="C7" s="76">
        <v>43882</v>
      </c>
      <c r="D7" s="71" t="s">
        <v>11</v>
      </c>
      <c r="E7" s="99" t="s">
        <v>57</v>
      </c>
      <c r="F7" s="102">
        <v>1</v>
      </c>
      <c r="G7" s="77">
        <v>1</v>
      </c>
      <c r="H7" s="88">
        <v>6</v>
      </c>
      <c r="I7" s="91">
        <v>60</v>
      </c>
      <c r="J7" s="78">
        <v>3</v>
      </c>
      <c r="K7" s="81">
        <f>J7/G7</f>
        <v>3</v>
      </c>
      <c r="L7" s="79">
        <f>I7/J7</f>
        <v>20</v>
      </c>
      <c r="M7" s="91">
        <f>9551.75+52964+64828+13921+744+132+60</f>
        <v>142200.75</v>
      </c>
      <c r="N7" s="78">
        <f>955+2850+4318+880+41+9+3</f>
        <v>9056</v>
      </c>
      <c r="O7" s="79">
        <f>M7/N7</f>
        <v>15.702379637809187</v>
      </c>
      <c r="P7" s="83"/>
      <c r="Q7" s="83"/>
      <c r="R7" s="83"/>
      <c r="S7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55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30</v>
      </c>
      <c r="G4" s="38">
        <v>30</v>
      </c>
      <c r="H4" s="39">
        <v>2</v>
      </c>
      <c r="I4" s="35">
        <v>70355</v>
      </c>
      <c r="J4" s="17">
        <v>4093</v>
      </c>
      <c r="K4" s="28">
        <f>J4/G4</f>
        <v>136.43333333333334</v>
      </c>
      <c r="L4" s="18">
        <f>I4/J4</f>
        <v>17.189103347178108</v>
      </c>
      <c r="M4" s="35">
        <f>8336.5+107712.5+70355</f>
        <v>186404</v>
      </c>
      <c r="N4" s="17">
        <f>585+6574+4093</f>
        <v>11252</v>
      </c>
      <c r="O4" s="18">
        <f>M4/N4</f>
        <v>16.566299324564522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56</v>
      </c>
      <c r="C5" s="48">
        <v>43882</v>
      </c>
      <c r="D5" s="20" t="s">
        <v>11</v>
      </c>
      <c r="E5" s="50" t="s">
        <v>57</v>
      </c>
      <c r="F5" s="55">
        <v>13</v>
      </c>
      <c r="G5" s="15">
        <v>13</v>
      </c>
      <c r="H5" s="33">
        <v>1</v>
      </c>
      <c r="I5" s="36">
        <v>52964</v>
      </c>
      <c r="J5" s="21">
        <v>2850</v>
      </c>
      <c r="K5" s="26">
        <f t="shared" ref="K5" si="0">J5/G5</f>
        <v>219.23076923076923</v>
      </c>
      <c r="L5" s="22">
        <f t="shared" ref="L5" si="1">I5/J5</f>
        <v>18.583859649122807</v>
      </c>
      <c r="M5" s="36">
        <f>9551.75+52964</f>
        <v>62515.75</v>
      </c>
      <c r="N5" s="21">
        <f>955+2850</f>
        <v>3805</v>
      </c>
      <c r="O5" s="22">
        <f t="shared" ref="O5" si="2">M5/N5</f>
        <v>16.429894875164258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3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4</v>
      </c>
      <c r="G6" s="15">
        <v>4</v>
      </c>
      <c r="H6" s="33">
        <v>4</v>
      </c>
      <c r="I6" s="36">
        <v>4695</v>
      </c>
      <c r="J6" s="21">
        <v>312</v>
      </c>
      <c r="K6" s="26">
        <f t="shared" ref="K6" si="4">J6/G6</f>
        <v>78</v>
      </c>
      <c r="L6" s="22">
        <f t="shared" ref="L6" si="5">I6/J6</f>
        <v>15.048076923076923</v>
      </c>
      <c r="M6" s="36">
        <f>15864.1+66003+34616+26136.8+4695</f>
        <v>147314.9</v>
      </c>
      <c r="N6" s="21">
        <f>1102+4234+2166+1585+312</f>
        <v>9399</v>
      </c>
      <c r="O6" s="22">
        <f t="shared" ref="O6" si="6">M6/N6</f>
        <v>15.673465262261942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49</v>
      </c>
      <c r="C7" s="48">
        <v>43777</v>
      </c>
      <c r="D7" s="20" t="s">
        <v>11</v>
      </c>
      <c r="E7" s="50" t="s">
        <v>15</v>
      </c>
      <c r="F7" s="55">
        <v>2</v>
      </c>
      <c r="G7" s="15">
        <v>2</v>
      </c>
      <c r="H7" s="33">
        <v>8</v>
      </c>
      <c r="I7" s="36">
        <v>3920.4</v>
      </c>
      <c r="J7" s="21">
        <v>392</v>
      </c>
      <c r="K7" s="26">
        <f>J7/G7</f>
        <v>196</v>
      </c>
      <c r="L7" s="22">
        <f>I7/J7</f>
        <v>10.001020408163265</v>
      </c>
      <c r="M7" s="36">
        <f>23804+3376+1605+3308.8+831.59+1020+1782+3920.4</f>
        <v>39647.79</v>
      </c>
      <c r="N7" s="21">
        <f>1482+220+182+340+155+68+178+392</f>
        <v>3017</v>
      </c>
      <c r="O7" s="22">
        <f>M7/N7</f>
        <v>13.141461716937355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28</v>
      </c>
      <c r="C8" s="48">
        <v>43847</v>
      </c>
      <c r="D8" s="20" t="s">
        <v>11</v>
      </c>
      <c r="E8" s="50" t="s">
        <v>15</v>
      </c>
      <c r="F8" s="55">
        <v>2</v>
      </c>
      <c r="G8" s="15">
        <v>2</v>
      </c>
      <c r="H8" s="33">
        <v>6</v>
      </c>
      <c r="I8" s="36">
        <v>1726</v>
      </c>
      <c r="J8" s="21">
        <v>104</v>
      </c>
      <c r="K8" s="26">
        <f>J8/G8</f>
        <v>52</v>
      </c>
      <c r="L8" s="22">
        <f>I8/J8</f>
        <v>16.596153846153847</v>
      </c>
      <c r="M8" s="36">
        <f>7094+6322+81615.5+55490+18395+22750.99+7634+1726</f>
        <v>201027.49</v>
      </c>
      <c r="N8" s="21">
        <f>472+486+4852+3459+1110+1378+722+104</f>
        <v>12583</v>
      </c>
      <c r="O8" s="22">
        <f>M8/N8</f>
        <v>15.976117777954382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1</v>
      </c>
      <c r="G9" s="15">
        <v>1</v>
      </c>
      <c r="H9" s="33">
        <v>12</v>
      </c>
      <c r="I9" s="36">
        <v>1405</v>
      </c>
      <c r="J9" s="21">
        <v>84</v>
      </c>
      <c r="K9" s="26">
        <f>J9/G9</f>
        <v>84</v>
      </c>
      <c r="L9" s="22">
        <f>I9/J9</f>
        <v>16.726190476190474</v>
      </c>
      <c r="M9" s="36">
        <f>4434+28254.5+170260+146303.5+95116.5+78842+61952+26920+28394+23155.59+15761+9642+2690+1405</f>
        <v>693130.09</v>
      </c>
      <c r="N9" s="21">
        <f>227+1876+10164+9071+5949+4703+3692+1405+1418+1283+874+667+160+84</f>
        <v>41573</v>
      </c>
      <c r="O9" s="22">
        <f>M9/N9</f>
        <v>16.672602169677432</v>
      </c>
      <c r="P9" s="29"/>
      <c r="Q9" s="29"/>
      <c r="R9" s="29"/>
      <c r="S9" s="29"/>
    </row>
    <row r="10" spans="1:19" ht="16.5" customHeight="1" x14ac:dyDescent="0.25">
      <c r="A10" s="31">
        <f t="shared" si="3"/>
        <v>7</v>
      </c>
      <c r="B10" s="49" t="s">
        <v>58</v>
      </c>
      <c r="C10" s="48">
        <v>43518</v>
      </c>
      <c r="D10" s="20" t="s">
        <v>11</v>
      </c>
      <c r="E10" s="50" t="s">
        <v>20</v>
      </c>
      <c r="F10" s="55">
        <v>1</v>
      </c>
      <c r="G10" s="15">
        <v>1</v>
      </c>
      <c r="H10" s="33">
        <v>24</v>
      </c>
      <c r="I10" s="36">
        <v>1270</v>
      </c>
      <c r="J10" s="21">
        <v>76</v>
      </c>
      <c r="K10" s="26">
        <f>J10/G10</f>
        <v>76</v>
      </c>
      <c r="L10" s="22">
        <f>I10/J10</f>
        <v>16.710526315789473</v>
      </c>
      <c r="M10" s="36">
        <f>951.93+2376+5504+5575.2+202975.26+83323.68+28927.78+14461.27+6846.21+4716+6329.9+712.8+3207.6+1425.6+3670+3326.4+1575+5940+5976+3564+2376+8316+32+48+32+2376+3088.8+1270</f>
        <v>408923.43</v>
      </c>
      <c r="N10" s="21">
        <f>68+475+339+348+13634+6300+1973+1006+652+359+1193+143+641+285+263+665+265+1188+1195+713+475+832+4+6+4+238+309+76</f>
        <v>33649</v>
      </c>
      <c r="O10" s="22">
        <f>M10/N10</f>
        <v>12.15261761122173</v>
      </c>
    </row>
    <row r="11" spans="1:19" s="14" customFormat="1" ht="16.5" customHeight="1" x14ac:dyDescent="0.25">
      <c r="A11" s="31">
        <f t="shared" si="3"/>
        <v>8</v>
      </c>
      <c r="B11" s="49" t="s">
        <v>48</v>
      </c>
      <c r="C11" s="48">
        <v>43868</v>
      </c>
      <c r="D11" s="20" t="s">
        <v>11</v>
      </c>
      <c r="E11" s="50" t="s">
        <v>15</v>
      </c>
      <c r="F11" s="55">
        <v>1</v>
      </c>
      <c r="G11" s="15">
        <v>1</v>
      </c>
      <c r="H11" s="33">
        <v>3</v>
      </c>
      <c r="I11" s="36">
        <v>732</v>
      </c>
      <c r="J11" s="21">
        <v>117</v>
      </c>
      <c r="K11" s="26">
        <f t="shared" ref="K11" si="7">J11/G11</f>
        <v>117</v>
      </c>
      <c r="L11" s="22">
        <f t="shared" ref="L11" si="8">I11/J11</f>
        <v>6.2564102564102564</v>
      </c>
      <c r="M11" s="36">
        <f>14336+3202+732</f>
        <v>18270</v>
      </c>
      <c r="N11" s="21">
        <f>763+294+117</f>
        <v>1174</v>
      </c>
      <c r="O11" s="22">
        <f t="shared" ref="O11" si="9">M11/N11</f>
        <v>15.562180579216355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47</v>
      </c>
      <c r="C12" s="48">
        <v>43875</v>
      </c>
      <c r="D12" s="20" t="s">
        <v>11</v>
      </c>
      <c r="E12" s="50" t="s">
        <v>15</v>
      </c>
      <c r="F12" s="55">
        <v>1</v>
      </c>
      <c r="G12" s="15">
        <v>1</v>
      </c>
      <c r="H12" s="33">
        <v>2</v>
      </c>
      <c r="I12" s="36">
        <v>685</v>
      </c>
      <c r="J12" s="21">
        <v>39</v>
      </c>
      <c r="K12" s="26">
        <f>J12/G12</f>
        <v>39</v>
      </c>
      <c r="L12" s="22">
        <f>I12/J12</f>
        <v>17.564102564102566</v>
      </c>
      <c r="M12" s="36">
        <f>6894+15791.5+685</f>
        <v>23370.5</v>
      </c>
      <c r="N12" s="21">
        <f>531+985+39</f>
        <v>1555</v>
      </c>
      <c r="O12" s="22">
        <f>M12/N12</f>
        <v>15.029260450160772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3"/>
        <v>10</v>
      </c>
      <c r="B13" s="51" t="s">
        <v>26</v>
      </c>
      <c r="C13" s="52">
        <v>43798</v>
      </c>
      <c r="D13" s="19" t="s">
        <v>11</v>
      </c>
      <c r="E13" s="53" t="s">
        <v>15</v>
      </c>
      <c r="F13" s="56">
        <v>1</v>
      </c>
      <c r="G13" s="23">
        <v>1</v>
      </c>
      <c r="H13" s="34">
        <v>9</v>
      </c>
      <c r="I13" s="37">
        <v>72</v>
      </c>
      <c r="J13" s="24">
        <v>9</v>
      </c>
      <c r="K13" s="27">
        <f t="shared" ref="K13" si="10">J13/G13</f>
        <v>9</v>
      </c>
      <c r="L13" s="25">
        <f t="shared" ref="L13" si="11">I13/J13</f>
        <v>8</v>
      </c>
      <c r="M13" s="37">
        <f>57609+14732+14190.8+9119+2690+831.59+2138.4+48+72</f>
        <v>101430.79</v>
      </c>
      <c r="N13" s="24">
        <f>3514+958+1037+733+161+83+214+6+9</f>
        <v>6715</v>
      </c>
      <c r="O13" s="25">
        <f t="shared" ref="O13" si="12">M13/N13</f>
        <v>15.105106478034251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51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26</v>
      </c>
      <c r="G4" s="38">
        <v>26</v>
      </c>
      <c r="H4" s="39">
        <v>1</v>
      </c>
      <c r="I4" s="35">
        <v>107712.5</v>
      </c>
      <c r="J4" s="17">
        <v>6574</v>
      </c>
      <c r="K4" s="28">
        <f t="shared" ref="K4:K16" si="0">J4/G4</f>
        <v>252.84615384615384</v>
      </c>
      <c r="L4" s="18">
        <f t="shared" ref="L4:L16" si="1">I4/J4</f>
        <v>16.384621235168847</v>
      </c>
      <c r="M4" s="35">
        <f>8336.5+107712.5</f>
        <v>116049</v>
      </c>
      <c r="N4" s="17">
        <f>585+6574</f>
        <v>7159</v>
      </c>
      <c r="O4" s="18">
        <f t="shared" ref="O4:O16" si="2">M4/N4</f>
        <v>16.210224891744659</v>
      </c>
      <c r="P4" s="29"/>
      <c r="Q4" s="29"/>
      <c r="R4" s="29"/>
      <c r="S4" s="29"/>
    </row>
    <row r="5" spans="1:19" s="14" customFormat="1" ht="16.5" customHeight="1" x14ac:dyDescent="0.25">
      <c r="A5" s="31">
        <f t="shared" ref="A5:A16" si="3">A4+1</f>
        <v>2</v>
      </c>
      <c r="B5" s="49" t="s">
        <v>36</v>
      </c>
      <c r="C5" s="48">
        <v>43861</v>
      </c>
      <c r="D5" s="20" t="s">
        <v>11</v>
      </c>
      <c r="E5" s="50" t="s">
        <v>20</v>
      </c>
      <c r="F5" s="55">
        <v>16</v>
      </c>
      <c r="G5" s="15">
        <v>16</v>
      </c>
      <c r="H5" s="33">
        <v>3</v>
      </c>
      <c r="I5" s="36">
        <v>26136.799999999999</v>
      </c>
      <c r="J5" s="21">
        <v>1585</v>
      </c>
      <c r="K5" s="26">
        <f t="shared" si="0"/>
        <v>99.0625</v>
      </c>
      <c r="L5" s="22">
        <f t="shared" si="1"/>
        <v>16.490094637223976</v>
      </c>
      <c r="M5" s="36">
        <f>15864.1+66003+34616+26136.8</f>
        <v>142619.9</v>
      </c>
      <c r="N5" s="21">
        <f>1102+4234+2166+1585</f>
        <v>9087</v>
      </c>
      <c r="O5" s="22">
        <f t="shared" si="2"/>
        <v>15.694937823264002</v>
      </c>
      <c r="P5" s="29"/>
      <c r="Q5" s="29"/>
      <c r="R5" s="29"/>
      <c r="S5" s="29"/>
    </row>
    <row r="6" spans="1:19" s="14" customFormat="1" ht="16.5" customHeight="1" x14ac:dyDescent="0.25">
      <c r="A6" s="31">
        <f t="shared" si="3"/>
        <v>3</v>
      </c>
      <c r="B6" s="49" t="s">
        <v>47</v>
      </c>
      <c r="C6" s="48">
        <v>43875</v>
      </c>
      <c r="D6" s="20" t="s">
        <v>11</v>
      </c>
      <c r="E6" s="50" t="s">
        <v>15</v>
      </c>
      <c r="F6" s="55">
        <v>24</v>
      </c>
      <c r="G6" s="15">
        <v>24</v>
      </c>
      <c r="H6" s="33">
        <v>1</v>
      </c>
      <c r="I6" s="36">
        <v>15791.5</v>
      </c>
      <c r="J6" s="21">
        <v>985</v>
      </c>
      <c r="K6" s="26">
        <f t="shared" si="0"/>
        <v>41.041666666666664</v>
      </c>
      <c r="L6" s="22">
        <f t="shared" si="1"/>
        <v>16.03197969543147</v>
      </c>
      <c r="M6" s="36">
        <f>6894+15791.5</f>
        <v>22685.5</v>
      </c>
      <c r="N6" s="21">
        <f>531+985</f>
        <v>1516</v>
      </c>
      <c r="O6" s="22">
        <f t="shared" si="2"/>
        <v>14.964050131926122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28</v>
      </c>
      <c r="C7" s="48">
        <v>43847</v>
      </c>
      <c r="D7" s="20" t="s">
        <v>11</v>
      </c>
      <c r="E7" s="50" t="s">
        <v>15</v>
      </c>
      <c r="F7" s="55">
        <v>6</v>
      </c>
      <c r="G7" s="15">
        <v>6</v>
      </c>
      <c r="H7" s="33">
        <v>5</v>
      </c>
      <c r="I7" s="36">
        <v>7634</v>
      </c>
      <c r="J7" s="21">
        <v>722</v>
      </c>
      <c r="K7" s="26">
        <f t="shared" si="0"/>
        <v>120.33333333333333</v>
      </c>
      <c r="L7" s="22">
        <f t="shared" si="1"/>
        <v>10.573407202216066</v>
      </c>
      <c r="M7" s="36">
        <f>7094+6322+81615.5+55490+18395+22750.99+7634</f>
        <v>199301.49</v>
      </c>
      <c r="N7" s="21">
        <f>472+486+4852+3459+1110+1378+722</f>
        <v>12479</v>
      </c>
      <c r="O7" s="22">
        <f t="shared" si="2"/>
        <v>15.970950396666399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29</v>
      </c>
      <c r="C8" s="48">
        <v>43840</v>
      </c>
      <c r="D8" s="20" t="s">
        <v>11</v>
      </c>
      <c r="E8" s="50" t="s">
        <v>20</v>
      </c>
      <c r="F8" s="55">
        <v>13</v>
      </c>
      <c r="G8" s="15">
        <v>13</v>
      </c>
      <c r="H8" s="33">
        <v>5</v>
      </c>
      <c r="I8" s="36">
        <v>7116</v>
      </c>
      <c r="J8" s="21">
        <v>527</v>
      </c>
      <c r="K8" s="26">
        <f t="shared" si="0"/>
        <v>40.53846153846154</v>
      </c>
      <c r="L8" s="22">
        <f t="shared" si="1"/>
        <v>13.502846299810246</v>
      </c>
      <c r="M8" s="36">
        <f>9740+36894.5+15698+5523+1953+7116</f>
        <v>76924.5</v>
      </c>
      <c r="N8" s="21">
        <f>602+2058+879+439+143+527</f>
        <v>4648</v>
      </c>
      <c r="O8" s="22">
        <f t="shared" si="2"/>
        <v>16.550021514629947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48</v>
      </c>
      <c r="C9" s="48">
        <v>43868</v>
      </c>
      <c r="D9" s="20" t="s">
        <v>11</v>
      </c>
      <c r="E9" s="50" t="s">
        <v>15</v>
      </c>
      <c r="F9" s="55">
        <v>5</v>
      </c>
      <c r="G9" s="15">
        <v>5</v>
      </c>
      <c r="H9" s="33">
        <v>2</v>
      </c>
      <c r="I9" s="36">
        <v>3202</v>
      </c>
      <c r="J9" s="21">
        <v>294</v>
      </c>
      <c r="K9" s="26">
        <f t="shared" si="0"/>
        <v>58.8</v>
      </c>
      <c r="L9" s="22">
        <f t="shared" si="1"/>
        <v>10.891156462585034</v>
      </c>
      <c r="M9" s="36">
        <f>14336+3202</f>
        <v>17538</v>
      </c>
      <c r="N9" s="21">
        <f>763+294</f>
        <v>1057</v>
      </c>
      <c r="O9" s="22">
        <f t="shared" si="2"/>
        <v>16.592242194891202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23</v>
      </c>
      <c r="C10" s="48">
        <v>43805</v>
      </c>
      <c r="D10" s="20" t="s">
        <v>11</v>
      </c>
      <c r="E10" s="50" t="s">
        <v>20</v>
      </c>
      <c r="F10" s="55">
        <v>1</v>
      </c>
      <c r="G10" s="15">
        <v>1</v>
      </c>
      <c r="H10" s="33">
        <v>11</v>
      </c>
      <c r="I10" s="36">
        <v>2690</v>
      </c>
      <c r="J10" s="21">
        <v>160</v>
      </c>
      <c r="K10" s="26">
        <f t="shared" si="0"/>
        <v>160</v>
      </c>
      <c r="L10" s="22">
        <f t="shared" si="1"/>
        <v>16.8125</v>
      </c>
      <c r="M10" s="36">
        <f>4434+28254.5+170260+146303.5+95116.5+78842+61952+26920+28394+23155.59+15761+9642+2690</f>
        <v>691725.09</v>
      </c>
      <c r="N10" s="21">
        <f>227+1876+10164+9071+5949+4703+3692+1405+1418+1283+874+667+160</f>
        <v>41489</v>
      </c>
      <c r="O10" s="22">
        <f t="shared" si="2"/>
        <v>16.672493673021766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54</v>
      </c>
      <c r="C11" s="48">
        <v>43686</v>
      </c>
      <c r="D11" s="20" t="s">
        <v>11</v>
      </c>
      <c r="E11" s="50" t="s">
        <v>15</v>
      </c>
      <c r="F11" s="55">
        <v>1</v>
      </c>
      <c r="G11" s="15">
        <v>1</v>
      </c>
      <c r="H11" s="33">
        <v>8</v>
      </c>
      <c r="I11" s="36">
        <v>2376</v>
      </c>
      <c r="J11" s="21">
        <v>238</v>
      </c>
      <c r="K11" s="26">
        <f t="shared" si="0"/>
        <v>238</v>
      </c>
      <c r="L11" s="22">
        <f t="shared" si="1"/>
        <v>9.9831932773109244</v>
      </c>
      <c r="M11" s="36">
        <f>4875+31937+19171+10632.4+4359.6+2137+2970+594+2376</f>
        <v>79052</v>
      </c>
      <c r="N11" s="21">
        <f>415+1842+1177+818+451+228+297+112+238</f>
        <v>5578</v>
      </c>
      <c r="O11" s="22">
        <f t="shared" si="2"/>
        <v>14.172104697024023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22</v>
      </c>
      <c r="C12" s="48">
        <v>43763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 t="shared" si="0"/>
        <v>214</v>
      </c>
      <c r="L12" s="22">
        <f t="shared" si="1"/>
        <v>9.9925233644859812</v>
      </c>
      <c r="M12" s="36">
        <f>31741+5693+1799+206+831.59+2970+3088.8+2138.4</f>
        <v>48467.79</v>
      </c>
      <c r="N12" s="21">
        <f>2069+459+178+30+83+297+309+214</f>
        <v>3639</v>
      </c>
      <c r="O12" s="22">
        <f t="shared" si="2"/>
        <v>13.318985985160758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3"/>
        <v>10</v>
      </c>
      <c r="B13" s="49" t="s">
        <v>49</v>
      </c>
      <c r="C13" s="48">
        <v>43777</v>
      </c>
      <c r="D13" s="20" t="s">
        <v>11</v>
      </c>
      <c r="E13" s="50" t="s">
        <v>15</v>
      </c>
      <c r="F13" s="55">
        <v>1</v>
      </c>
      <c r="G13" s="15">
        <v>1</v>
      </c>
      <c r="H13" s="33">
        <v>7</v>
      </c>
      <c r="I13" s="36">
        <v>1782</v>
      </c>
      <c r="J13" s="21">
        <v>178</v>
      </c>
      <c r="K13" s="26">
        <f t="shared" si="0"/>
        <v>178</v>
      </c>
      <c r="L13" s="22">
        <f t="shared" si="1"/>
        <v>10.011235955056179</v>
      </c>
      <c r="M13" s="36">
        <f>23804+3376+1605+3308.8+831.59+1020+1782</f>
        <v>35727.39</v>
      </c>
      <c r="N13" s="21">
        <f>1482+220+182+340+155+68+178</f>
        <v>2625</v>
      </c>
      <c r="O13" s="22">
        <f t="shared" si="2"/>
        <v>13.610434285714286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3"/>
        <v>11</v>
      </c>
      <c r="B14" s="49" t="s">
        <v>52</v>
      </c>
      <c r="C14" s="48">
        <v>43728</v>
      </c>
      <c r="D14" s="20" t="s">
        <v>11</v>
      </c>
      <c r="E14" s="50" t="s">
        <v>53</v>
      </c>
      <c r="F14" s="55">
        <v>1</v>
      </c>
      <c r="G14" s="15">
        <v>1</v>
      </c>
      <c r="H14" s="33">
        <v>14</v>
      </c>
      <c r="I14" s="36">
        <v>950.4</v>
      </c>
      <c r="J14" s="21">
        <v>95</v>
      </c>
      <c r="K14" s="26">
        <f t="shared" si="0"/>
        <v>95</v>
      </c>
      <c r="L14" s="22">
        <f t="shared" si="1"/>
        <v>10.00421052631579</v>
      </c>
      <c r="M14" s="36">
        <f>203+8316+3571+49040.5+33049+12678+6825+7067+7987.4+3088.8+140+5482+1254+7227.8+3326.4+4180.4+950.4</f>
        <v>154386.69999999995</v>
      </c>
      <c r="N14" s="21">
        <f>13+832+243+3155+2323+864+498+625+687+309+9+518+92+724+333+407+95</f>
        <v>11727</v>
      </c>
      <c r="O14" s="22">
        <f t="shared" si="2"/>
        <v>13.165063528609188</v>
      </c>
      <c r="P14" s="29"/>
      <c r="Q14" s="29"/>
      <c r="R14" s="29"/>
      <c r="S14" s="29"/>
    </row>
    <row r="15" spans="1:19" s="14" customFormat="1" ht="16.5" customHeight="1" x14ac:dyDescent="0.25">
      <c r="A15" s="31">
        <f t="shared" si="3"/>
        <v>12</v>
      </c>
      <c r="B15" s="49" t="s">
        <v>43</v>
      </c>
      <c r="C15" s="48">
        <v>43665</v>
      </c>
      <c r="D15" s="20" t="s">
        <v>11</v>
      </c>
      <c r="E15" s="50" t="s">
        <v>15</v>
      </c>
      <c r="F15" s="55">
        <v>1</v>
      </c>
      <c r="G15" s="15">
        <v>1</v>
      </c>
      <c r="H15" s="33">
        <v>9</v>
      </c>
      <c r="I15" s="36">
        <v>300</v>
      </c>
      <c r="J15" s="21">
        <v>18</v>
      </c>
      <c r="K15" s="26">
        <f t="shared" si="0"/>
        <v>18</v>
      </c>
      <c r="L15" s="22">
        <f t="shared" si="1"/>
        <v>16.666666666666668</v>
      </c>
      <c r="M15" s="36">
        <f>3143+18495+8635+2847+1174+829+831.59+740+470+300</f>
        <v>37464.589999999997</v>
      </c>
      <c r="N15" s="21">
        <f>222+1142+507+183+110+93+83+43+28+18</f>
        <v>2429</v>
      </c>
      <c r="O15" s="22">
        <f t="shared" si="2"/>
        <v>15.42387402223137</v>
      </c>
      <c r="P15" s="29"/>
      <c r="Q15" s="29"/>
      <c r="R15" s="29"/>
      <c r="S15" s="29"/>
    </row>
    <row r="16" spans="1:19" s="14" customFormat="1" ht="16.5" customHeight="1" x14ac:dyDescent="0.25">
      <c r="A16" s="32">
        <f t="shared" si="3"/>
        <v>13</v>
      </c>
      <c r="B16" s="51" t="s">
        <v>26</v>
      </c>
      <c r="C16" s="52">
        <v>43798</v>
      </c>
      <c r="D16" s="19" t="s">
        <v>11</v>
      </c>
      <c r="E16" s="53" t="s">
        <v>15</v>
      </c>
      <c r="F16" s="56">
        <v>1</v>
      </c>
      <c r="G16" s="23">
        <v>1</v>
      </c>
      <c r="H16" s="34">
        <v>8</v>
      </c>
      <c r="I16" s="37">
        <v>48</v>
      </c>
      <c r="J16" s="24">
        <v>6</v>
      </c>
      <c r="K16" s="27">
        <f t="shared" si="0"/>
        <v>6</v>
      </c>
      <c r="L16" s="25">
        <f t="shared" si="1"/>
        <v>8</v>
      </c>
      <c r="M16" s="37">
        <f>57609+14732+14190.8+9119+2690+831.59+2138.4+48</f>
        <v>101358.79</v>
      </c>
      <c r="N16" s="24">
        <f>3514+958+1037+733+161+83+214+6</f>
        <v>6706</v>
      </c>
      <c r="O16" s="25">
        <f t="shared" si="2"/>
        <v>15.114642111541901</v>
      </c>
      <c r="P16" s="29"/>
      <c r="Q16" s="29"/>
      <c r="R16" s="29"/>
      <c r="S16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46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14</v>
      </c>
      <c r="G4" s="38">
        <v>14</v>
      </c>
      <c r="H4" s="39">
        <v>2</v>
      </c>
      <c r="I4" s="35">
        <v>34616</v>
      </c>
      <c r="J4" s="17">
        <v>2166</v>
      </c>
      <c r="K4" s="28">
        <f t="shared" ref="K4" si="0">J4/G4</f>
        <v>154.71428571428572</v>
      </c>
      <c r="L4" s="18">
        <f t="shared" ref="L4" si="1">I4/J4</f>
        <v>15.981532779316712</v>
      </c>
      <c r="M4" s="35">
        <f>15864.1+66003+34616</f>
        <v>116483.1</v>
      </c>
      <c r="N4" s="17">
        <f>1102+4234+2166</f>
        <v>7502</v>
      </c>
      <c r="O4" s="18">
        <f t="shared" ref="O4" si="2">M4/N4</f>
        <v>15.526939482804586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17</v>
      </c>
      <c r="G5" s="15">
        <v>17</v>
      </c>
      <c r="H5" s="33">
        <v>4</v>
      </c>
      <c r="I5" s="36">
        <v>22750.99</v>
      </c>
      <c r="J5" s="21">
        <v>1378</v>
      </c>
      <c r="K5" s="26">
        <f>J5/G5</f>
        <v>81.058823529411768</v>
      </c>
      <c r="L5" s="22">
        <f>I5/J5</f>
        <v>16.510152394775037</v>
      </c>
      <c r="M5" s="36">
        <f>7094+6322+81615.5+55490+18395+22750.99</f>
        <v>191667.49</v>
      </c>
      <c r="N5" s="21">
        <f>472+486+4852+3459+1110+1378</f>
        <v>11757</v>
      </c>
      <c r="O5" s="22">
        <f>M5/N5</f>
        <v>16.302414731649229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1" si="3">A5+1</f>
        <v>3</v>
      </c>
      <c r="B6" s="49" t="s">
        <v>48</v>
      </c>
      <c r="C6" s="48">
        <v>43868</v>
      </c>
      <c r="D6" s="20" t="s">
        <v>11</v>
      </c>
      <c r="E6" s="50" t="s">
        <v>15</v>
      </c>
      <c r="F6" s="55">
        <v>13</v>
      </c>
      <c r="G6" s="15">
        <v>13</v>
      </c>
      <c r="H6" s="33">
        <v>1</v>
      </c>
      <c r="I6" s="36">
        <v>14336</v>
      </c>
      <c r="J6" s="21">
        <v>763</v>
      </c>
      <c r="K6" s="26">
        <f t="shared" ref="K6" si="4">J6/G6</f>
        <v>58.692307692307693</v>
      </c>
      <c r="L6" s="22">
        <f t="shared" ref="L6" si="5">I6/J6</f>
        <v>18.788990825688074</v>
      </c>
      <c r="M6" s="36">
        <f>14336</f>
        <v>14336</v>
      </c>
      <c r="N6" s="21">
        <f>763</f>
        <v>763</v>
      </c>
      <c r="O6" s="22">
        <f t="shared" ref="O6" si="6">M6/N6</f>
        <v>18.788990825688074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23</v>
      </c>
      <c r="C7" s="48">
        <v>43805</v>
      </c>
      <c r="D7" s="20" t="s">
        <v>11</v>
      </c>
      <c r="E7" s="50" t="s">
        <v>20</v>
      </c>
      <c r="F7" s="55">
        <v>4</v>
      </c>
      <c r="G7" s="15">
        <v>4</v>
      </c>
      <c r="H7" s="33">
        <v>10</v>
      </c>
      <c r="I7" s="36">
        <v>9642</v>
      </c>
      <c r="J7" s="21">
        <v>667</v>
      </c>
      <c r="K7" s="26">
        <f>J7/G7</f>
        <v>166.75</v>
      </c>
      <c r="L7" s="22">
        <f>I7/J7</f>
        <v>14.455772113943029</v>
      </c>
      <c r="M7" s="36">
        <f>4434+28254.5+170260+146303.5+95116.5+78842+61952+26920+28394+23155.59+15761+9642</f>
        <v>689035.09</v>
      </c>
      <c r="N7" s="21">
        <f>227+1876+10164+9071+5949+4703+3692+1405+1418+1283+874+667</f>
        <v>41329</v>
      </c>
      <c r="O7" s="22">
        <f>M7/N7</f>
        <v>16.671951656222024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47</v>
      </c>
      <c r="C8" s="48">
        <v>43875</v>
      </c>
      <c r="D8" s="20" t="s">
        <v>11</v>
      </c>
      <c r="E8" s="50" t="s">
        <v>15</v>
      </c>
      <c r="F8" s="55">
        <v>12</v>
      </c>
      <c r="G8" s="15">
        <v>12</v>
      </c>
      <c r="H8" s="33">
        <v>0</v>
      </c>
      <c r="I8" s="36">
        <v>6894</v>
      </c>
      <c r="J8" s="21">
        <v>531</v>
      </c>
      <c r="K8" s="26">
        <f>J8/G8</f>
        <v>44.25</v>
      </c>
      <c r="L8" s="22">
        <f>I8/J8</f>
        <v>12.983050847457626</v>
      </c>
      <c r="M8" s="36">
        <f>6894</f>
        <v>6894</v>
      </c>
      <c r="N8" s="21">
        <f>531</f>
        <v>531</v>
      </c>
      <c r="O8" s="22">
        <f>M8/N8</f>
        <v>12.983050847457626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50</v>
      </c>
      <c r="C9" s="48">
        <v>43756</v>
      </c>
      <c r="D9" s="20" t="s">
        <v>11</v>
      </c>
      <c r="E9" s="50" t="s">
        <v>20</v>
      </c>
      <c r="F9" s="55">
        <v>1</v>
      </c>
      <c r="G9" s="15">
        <v>1</v>
      </c>
      <c r="H9" s="33">
        <v>5</v>
      </c>
      <c r="I9" s="36">
        <v>2138.4</v>
      </c>
      <c r="J9" s="21">
        <v>214</v>
      </c>
      <c r="K9" s="26">
        <f t="shared" ref="K9" si="7">J9/G9</f>
        <v>214</v>
      </c>
      <c r="L9" s="22">
        <f t="shared" ref="L9" si="8">I9/J9</f>
        <v>9.9925233644859812</v>
      </c>
      <c r="M9" s="36">
        <f>1314+10271.5+2808+159+712.8+2138.4</f>
        <v>17403.7</v>
      </c>
      <c r="N9" s="21">
        <f>93+736+215+26+71+214</f>
        <v>1355</v>
      </c>
      <c r="O9" s="22">
        <f>M9/N9</f>
        <v>12.844059040590407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49</v>
      </c>
      <c r="C10" s="48">
        <v>43777</v>
      </c>
      <c r="D10" s="20" t="s">
        <v>11</v>
      </c>
      <c r="E10" s="50" t="s">
        <v>15</v>
      </c>
      <c r="F10" s="55">
        <v>1</v>
      </c>
      <c r="G10" s="15">
        <v>1</v>
      </c>
      <c r="H10" s="33">
        <v>6</v>
      </c>
      <c r="I10" s="36">
        <v>1020</v>
      </c>
      <c r="J10" s="21">
        <v>68</v>
      </c>
      <c r="K10" s="26">
        <f>J10/G10</f>
        <v>68</v>
      </c>
      <c r="L10" s="22">
        <f>I10/J10</f>
        <v>15</v>
      </c>
      <c r="M10" s="36">
        <f>23804+3376+1605+3308.8+831.59+1020</f>
        <v>33945.39</v>
      </c>
      <c r="N10" s="21">
        <f>1482+220+182+340+155+68</f>
        <v>2447</v>
      </c>
      <c r="O10" s="22">
        <f>M10/N10</f>
        <v>13.872247650183898</v>
      </c>
      <c r="P10" s="29"/>
      <c r="Q10" s="29"/>
      <c r="R10" s="29"/>
      <c r="S10" s="29"/>
    </row>
    <row r="11" spans="1:19" s="14" customFormat="1" ht="16.5" customHeight="1" x14ac:dyDescent="0.25">
      <c r="A11" s="32">
        <f t="shared" si="3"/>
        <v>8</v>
      </c>
      <c r="B11" s="51" t="s">
        <v>43</v>
      </c>
      <c r="C11" s="52">
        <v>43665</v>
      </c>
      <c r="D11" s="19" t="s">
        <v>11</v>
      </c>
      <c r="E11" s="53" t="s">
        <v>15</v>
      </c>
      <c r="F11" s="56">
        <v>1</v>
      </c>
      <c r="G11" s="23">
        <v>1</v>
      </c>
      <c r="H11" s="34">
        <v>8</v>
      </c>
      <c r="I11" s="37">
        <v>470</v>
      </c>
      <c r="J11" s="24">
        <v>28</v>
      </c>
      <c r="K11" s="27">
        <f>J11/G11</f>
        <v>28</v>
      </c>
      <c r="L11" s="25">
        <f>I11/J11</f>
        <v>16.785714285714285</v>
      </c>
      <c r="M11" s="37">
        <f>3143+18495+8635+2847+1174+829+831.59+740+470</f>
        <v>37164.589999999997</v>
      </c>
      <c r="N11" s="24">
        <f>222+1142+507+183+110+93+83+43+28</f>
        <v>2411</v>
      </c>
      <c r="O11" s="25">
        <f t="shared" ref="O11" si="9">M11/N11</f>
        <v>15.414595603484029</v>
      </c>
      <c r="P11" s="29"/>
      <c r="Q11" s="29"/>
      <c r="R11" s="29"/>
      <c r="S11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41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39</v>
      </c>
      <c r="G4" s="38">
        <v>39</v>
      </c>
      <c r="H4" s="39">
        <v>1</v>
      </c>
      <c r="I4" s="35">
        <v>66003</v>
      </c>
      <c r="J4" s="17">
        <v>4234</v>
      </c>
      <c r="K4" s="28">
        <f t="shared" ref="K4" si="0">J4/G4</f>
        <v>108.56410256410257</v>
      </c>
      <c r="L4" s="18">
        <f t="shared" ref="L4" si="1">I4/J4</f>
        <v>15.588804912612186</v>
      </c>
      <c r="M4" s="35">
        <f>15864.1+66003</f>
        <v>81867.100000000006</v>
      </c>
      <c r="N4" s="17">
        <f>1102+4234</f>
        <v>5336</v>
      </c>
      <c r="O4" s="18">
        <f t="shared" ref="O4" si="2">M4/N4</f>
        <v>15.342410044977512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10</v>
      </c>
      <c r="G5" s="15">
        <v>10</v>
      </c>
      <c r="H5" s="33">
        <v>3</v>
      </c>
      <c r="I5" s="36">
        <v>18395</v>
      </c>
      <c r="J5" s="21">
        <v>1110</v>
      </c>
      <c r="K5" s="26">
        <f>J5/G5</f>
        <v>111</v>
      </c>
      <c r="L5" s="22">
        <f>I5/J5</f>
        <v>16.572072072072071</v>
      </c>
      <c r="M5" s="36">
        <f>7094+6322+81615.5+55490+18395</f>
        <v>168916.5</v>
      </c>
      <c r="N5" s="21">
        <f>472+486+4852+3459+1110</f>
        <v>10379</v>
      </c>
      <c r="O5" s="22">
        <f>M5/N5</f>
        <v>16.274833799017248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2" si="3">A5+1</f>
        <v>3</v>
      </c>
      <c r="B6" s="49" t="s">
        <v>23</v>
      </c>
      <c r="C6" s="48">
        <v>43805</v>
      </c>
      <c r="D6" s="20" t="s">
        <v>11</v>
      </c>
      <c r="E6" s="50" t="s">
        <v>20</v>
      </c>
      <c r="F6" s="55">
        <v>9</v>
      </c>
      <c r="G6" s="15">
        <v>9</v>
      </c>
      <c r="H6" s="33">
        <v>9</v>
      </c>
      <c r="I6" s="36">
        <v>15761</v>
      </c>
      <c r="J6" s="21">
        <v>874</v>
      </c>
      <c r="K6" s="26">
        <f>J6/G6</f>
        <v>97.111111111111114</v>
      </c>
      <c r="L6" s="22">
        <f>I6/J6</f>
        <v>18.033180778032037</v>
      </c>
      <c r="M6" s="36">
        <f>4434+28254.5+170260+146303.5+95116.5+78842+61952+26920+28394+23155.59+15761</f>
        <v>679393.09</v>
      </c>
      <c r="N6" s="21">
        <f>227+1876+10164+9071+5949+4703+3692+1405+1418+1283+874</f>
        <v>40662</v>
      </c>
      <c r="O6" s="22">
        <f>M6/N6</f>
        <v>16.708304805469478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42</v>
      </c>
      <c r="C7" s="48">
        <v>43875</v>
      </c>
      <c r="D7" s="20" t="s">
        <v>11</v>
      </c>
      <c r="E7" s="50" t="s">
        <v>15</v>
      </c>
      <c r="F7" s="55">
        <v>12</v>
      </c>
      <c r="G7" s="15">
        <v>12</v>
      </c>
      <c r="H7" s="33">
        <v>0</v>
      </c>
      <c r="I7" s="36">
        <v>8336.5</v>
      </c>
      <c r="J7" s="21">
        <v>585</v>
      </c>
      <c r="K7" s="26">
        <f>J7/G7</f>
        <v>48.75</v>
      </c>
      <c r="L7" s="22">
        <f>I7/J7</f>
        <v>14.250427350427351</v>
      </c>
      <c r="M7" s="36">
        <f>8336.5</f>
        <v>8336.5</v>
      </c>
      <c r="N7" s="21">
        <f>585</f>
        <v>585</v>
      </c>
      <c r="O7" s="22">
        <f>M7/N7</f>
        <v>14.250427350427351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21</v>
      </c>
      <c r="C8" s="48">
        <v>43742</v>
      </c>
      <c r="D8" s="20" t="s">
        <v>11</v>
      </c>
      <c r="E8" s="50" t="s">
        <v>20</v>
      </c>
      <c r="F8" s="55">
        <v>1</v>
      </c>
      <c r="G8" s="15">
        <v>1</v>
      </c>
      <c r="H8" s="33">
        <v>11</v>
      </c>
      <c r="I8" s="36">
        <v>2138.4</v>
      </c>
      <c r="J8" s="21">
        <v>214</v>
      </c>
      <c r="K8" s="26">
        <f t="shared" ref="K8" si="4">J8/G8</f>
        <v>214</v>
      </c>
      <c r="L8" s="22">
        <f t="shared" ref="L8" si="5">I8/J8</f>
        <v>9.9925233644859812</v>
      </c>
      <c r="M8" s="36">
        <f>16744.5+3525+730+958+831.59+3088.8+140+260+75+140+2138.4</f>
        <v>28631.29</v>
      </c>
      <c r="N8" s="21">
        <f>1110+254+120+90+83+309+7+15+5+8+214</f>
        <v>2215</v>
      </c>
      <c r="O8" s="22">
        <f t="shared" ref="O8:O12" si="6">M8/N8</f>
        <v>12.926090293453726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29</v>
      </c>
      <c r="C9" s="48">
        <v>43840</v>
      </c>
      <c r="D9" s="20" t="s">
        <v>11</v>
      </c>
      <c r="E9" s="50" t="s">
        <v>20</v>
      </c>
      <c r="F9" s="55">
        <v>3</v>
      </c>
      <c r="G9" s="15">
        <v>3</v>
      </c>
      <c r="H9" s="33">
        <v>4</v>
      </c>
      <c r="I9" s="36">
        <v>1953</v>
      </c>
      <c r="J9" s="21">
        <v>143</v>
      </c>
      <c r="K9" s="26">
        <f t="shared" ref="K9" si="7">J9/G9</f>
        <v>47.666666666666664</v>
      </c>
      <c r="L9" s="22">
        <f t="shared" ref="L9" si="8">I9/J9</f>
        <v>13.657342657342657</v>
      </c>
      <c r="M9" s="36">
        <f>9740+36894.5+15698+5523+1953</f>
        <v>69808.5</v>
      </c>
      <c r="N9" s="21">
        <f>602+2058+879+439+143</f>
        <v>4121</v>
      </c>
      <c r="O9" s="22">
        <f t="shared" ref="O9" si="9">M9/N9</f>
        <v>16.939699102159668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44</v>
      </c>
      <c r="C10" s="48">
        <v>43574</v>
      </c>
      <c r="D10" s="20" t="s">
        <v>11</v>
      </c>
      <c r="E10" s="50" t="s">
        <v>45</v>
      </c>
      <c r="F10" s="55">
        <v>1</v>
      </c>
      <c r="G10" s="15">
        <v>1</v>
      </c>
      <c r="H10" s="33">
        <v>15</v>
      </c>
      <c r="I10" s="36">
        <v>950.4</v>
      </c>
      <c r="J10" s="21">
        <v>95</v>
      </c>
      <c r="K10" s="26">
        <f t="shared" ref="K10" si="10">J10/G10</f>
        <v>95</v>
      </c>
      <c r="L10" s="22">
        <f>I10/J10</f>
        <v>10.00421052631579</v>
      </c>
      <c r="M10" s="36">
        <f>3376+72717.78+37456.01+10282.07+3127+689+105+560+740+270+3801.6+3326.4+70+80+3088.8+2138.4+950.4</f>
        <v>142778.46</v>
      </c>
      <c r="N10" s="21">
        <f>304+5067+2832+631+213+52+6+35+43+16+760+665+7+8+309+214+95</f>
        <v>11257</v>
      </c>
      <c r="O10" s="22">
        <f>M10/N10</f>
        <v>12.683526694501198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25</v>
      </c>
      <c r="C11" s="48">
        <v>43812</v>
      </c>
      <c r="D11" s="20" t="s">
        <v>11</v>
      </c>
      <c r="E11" s="50" t="s">
        <v>15</v>
      </c>
      <c r="F11" s="55">
        <v>2</v>
      </c>
      <c r="G11" s="15">
        <v>2</v>
      </c>
      <c r="H11" s="33">
        <v>6</v>
      </c>
      <c r="I11" s="36">
        <v>891.59</v>
      </c>
      <c r="J11" s="21">
        <v>89</v>
      </c>
      <c r="K11" s="26">
        <f>J11/G11</f>
        <v>44.5</v>
      </c>
      <c r="L11" s="22">
        <f>I11/J11</f>
        <v>10.017865168539327</v>
      </c>
      <c r="M11" s="36">
        <f>6424+1188+65328.5+34433+14543.8+1459+248+891.59</f>
        <v>124515.89</v>
      </c>
      <c r="N11" s="21">
        <f>425+119+3660+2059+979+124+38+89</f>
        <v>7493</v>
      </c>
      <c r="O11" s="22">
        <f>M11/N11</f>
        <v>16.617628453223009</v>
      </c>
      <c r="P11" s="29"/>
      <c r="Q11" s="29"/>
      <c r="R11" s="29"/>
      <c r="S11" s="29"/>
    </row>
    <row r="12" spans="1:19" s="14" customFormat="1" ht="16.5" customHeight="1" x14ac:dyDescent="0.25">
      <c r="A12" s="32">
        <f t="shared" si="3"/>
        <v>9</v>
      </c>
      <c r="B12" s="51" t="s">
        <v>43</v>
      </c>
      <c r="C12" s="52">
        <v>43665</v>
      </c>
      <c r="D12" s="19" t="s">
        <v>11</v>
      </c>
      <c r="E12" s="53" t="s">
        <v>15</v>
      </c>
      <c r="F12" s="56">
        <v>1</v>
      </c>
      <c r="G12" s="23">
        <v>1</v>
      </c>
      <c r="H12" s="34">
        <v>7</v>
      </c>
      <c r="I12" s="37">
        <v>740</v>
      </c>
      <c r="J12" s="24">
        <v>43</v>
      </c>
      <c r="K12" s="27">
        <f>J12/G12</f>
        <v>43</v>
      </c>
      <c r="L12" s="25">
        <f>I12/J12</f>
        <v>17.209302325581394</v>
      </c>
      <c r="M12" s="37">
        <f>3143+18495+8635+2847+1174+829+831.59+740</f>
        <v>36694.589999999997</v>
      </c>
      <c r="N12" s="24">
        <f>222+1142+507+183+110+93+83+43</f>
        <v>2383</v>
      </c>
      <c r="O12" s="25">
        <f t="shared" si="6"/>
        <v>15.398485102811581</v>
      </c>
      <c r="P12" s="29"/>
      <c r="Q12" s="29"/>
      <c r="R12" s="29"/>
      <c r="S12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37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28</v>
      </c>
      <c r="C4" s="63">
        <v>43847</v>
      </c>
      <c r="D4" s="16" t="s">
        <v>11</v>
      </c>
      <c r="E4" s="61" t="s">
        <v>15</v>
      </c>
      <c r="F4" s="54">
        <v>24</v>
      </c>
      <c r="G4" s="38">
        <v>24</v>
      </c>
      <c r="H4" s="39">
        <v>2</v>
      </c>
      <c r="I4" s="35">
        <v>55490</v>
      </c>
      <c r="J4" s="17">
        <v>3459</v>
      </c>
      <c r="K4" s="28">
        <f>J4/G4</f>
        <v>144.125</v>
      </c>
      <c r="L4" s="18">
        <f>I4/J4</f>
        <v>16.042208730847065</v>
      </c>
      <c r="M4" s="35">
        <f>7094+6322+81615.5+55490</f>
        <v>150521.5</v>
      </c>
      <c r="N4" s="17">
        <f>472+486+4852+3459</f>
        <v>9269</v>
      </c>
      <c r="O4" s="18">
        <f>M4/N4</f>
        <v>16.239238321286006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9</v>
      </c>
      <c r="G5" s="15">
        <v>9</v>
      </c>
      <c r="H5" s="33">
        <v>8</v>
      </c>
      <c r="I5" s="36">
        <v>23155.59</v>
      </c>
      <c r="J5" s="21">
        <v>1283</v>
      </c>
      <c r="K5" s="26">
        <f>J5/G5</f>
        <v>142.55555555555554</v>
      </c>
      <c r="L5" s="22">
        <f>I5/J5</f>
        <v>18.04800467653936</v>
      </c>
      <c r="M5" s="36">
        <f>4434+28254.5+170260+146303.5+95116.5+78842+61952+26920+28394+23155.59</f>
        <v>663632.09</v>
      </c>
      <c r="N5" s="21">
        <f>227+1876+10164+9071+5949+4703+3692+1405+1418+1283</f>
        <v>39788</v>
      </c>
      <c r="O5" s="22">
        <f>M5/N5</f>
        <v>16.679202020709759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0">A5+1</f>
        <v>3</v>
      </c>
      <c r="B6" s="49" t="s">
        <v>35</v>
      </c>
      <c r="C6" s="48">
        <v>43889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8003.5</v>
      </c>
      <c r="J6" s="21">
        <v>488</v>
      </c>
      <c r="K6" s="26">
        <f>J6/G6</f>
        <v>48.8</v>
      </c>
      <c r="L6" s="22">
        <f>I6/J6</f>
        <v>16.40061475409836</v>
      </c>
      <c r="M6" s="36">
        <f>3801.6+8003.5</f>
        <v>11805.1</v>
      </c>
      <c r="N6" s="21">
        <f>380+488</f>
        <v>868</v>
      </c>
      <c r="O6" s="22">
        <f>M6/N6</f>
        <v>13.600345622119816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5</v>
      </c>
      <c r="G7" s="15">
        <v>5</v>
      </c>
      <c r="H7" s="33">
        <v>3</v>
      </c>
      <c r="I7" s="36">
        <v>5523</v>
      </c>
      <c r="J7" s="21">
        <v>439</v>
      </c>
      <c r="K7" s="26">
        <f t="shared" ref="K7" si="1">J7/G7</f>
        <v>87.8</v>
      </c>
      <c r="L7" s="22">
        <f t="shared" ref="L7" si="2">I7/J7</f>
        <v>12.580865603644646</v>
      </c>
      <c r="M7" s="36">
        <f>9740+36894.5+15698+5523</f>
        <v>67855.5</v>
      </c>
      <c r="N7" s="21">
        <f>602+2058+879+439</f>
        <v>3978</v>
      </c>
      <c r="O7" s="22">
        <f t="shared" ref="O7" si="3">M7/N7</f>
        <v>17.057692307692307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31</v>
      </c>
      <c r="C8" s="48">
        <v>43784</v>
      </c>
      <c r="D8" s="20" t="s">
        <v>11</v>
      </c>
      <c r="E8" s="50" t="s">
        <v>15</v>
      </c>
      <c r="F8" s="55">
        <v>2</v>
      </c>
      <c r="G8" s="15">
        <v>2</v>
      </c>
      <c r="H8" s="33">
        <v>9</v>
      </c>
      <c r="I8" s="36">
        <v>2327</v>
      </c>
      <c r="J8" s="21">
        <v>148</v>
      </c>
      <c r="K8" s="26">
        <f>J8/G8</f>
        <v>74</v>
      </c>
      <c r="L8" s="22">
        <f>I8/J8</f>
        <v>15.722972972972974</v>
      </c>
      <c r="M8" s="36">
        <f>17571.5+113896.5+89784.5+34684+17899+6786+3475+230+2138.4+2327</f>
        <v>288791.90000000002</v>
      </c>
      <c r="N8" s="21">
        <f>1270+6725+5506+2074+1033+370+185+23+214+148</f>
        <v>17548</v>
      </c>
      <c r="O8" s="22">
        <f>M8/N8</f>
        <v>16.45725438796444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25</v>
      </c>
      <c r="C9" s="48">
        <v>43812</v>
      </c>
      <c r="D9" s="20" t="s">
        <v>11</v>
      </c>
      <c r="E9" s="50" t="s">
        <v>15</v>
      </c>
      <c r="F9" s="55">
        <v>1</v>
      </c>
      <c r="G9" s="15">
        <v>1</v>
      </c>
      <c r="H9" s="33">
        <v>5</v>
      </c>
      <c r="I9" s="36">
        <v>248</v>
      </c>
      <c r="J9" s="21">
        <v>38</v>
      </c>
      <c r="K9" s="26">
        <f>J9/G9</f>
        <v>38</v>
      </c>
      <c r="L9" s="22">
        <f>I9/J9</f>
        <v>6.5263157894736841</v>
      </c>
      <c r="M9" s="36">
        <f>6424+1188+65328.5+34433+14543.8+1459+248</f>
        <v>123624.3</v>
      </c>
      <c r="N9" s="21">
        <f>425+119+3660+2059+979+124+38</f>
        <v>7404</v>
      </c>
      <c r="O9" s="22">
        <f>M9/N9</f>
        <v>16.696961102106968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0"/>
        <v>7</v>
      </c>
      <c r="B10" s="51" t="s">
        <v>32</v>
      </c>
      <c r="C10" s="52">
        <v>43693</v>
      </c>
      <c r="D10" s="19" t="s">
        <v>11</v>
      </c>
      <c r="E10" s="53" t="s">
        <v>20</v>
      </c>
      <c r="F10" s="56">
        <v>1</v>
      </c>
      <c r="G10" s="23">
        <v>1</v>
      </c>
      <c r="H10" s="34">
        <v>11</v>
      </c>
      <c r="I10" s="37">
        <v>150</v>
      </c>
      <c r="J10" s="24">
        <v>9</v>
      </c>
      <c r="K10" s="27">
        <f t="shared" ref="K10" si="4">J10/G10</f>
        <v>9</v>
      </c>
      <c r="L10" s="25">
        <f t="shared" ref="L10" si="5">I10/J10</f>
        <v>16.666666666666668</v>
      </c>
      <c r="M10" s="37">
        <f>1134+1549+24318.5+10972.5+5504.4+4633.2+831.59+688+2970+4752+255+185+150</f>
        <v>57943.189999999995</v>
      </c>
      <c r="N10" s="24">
        <f>80+121+1626+755+450+463+83+122+297+475+14+10+9</f>
        <v>4505</v>
      </c>
      <c r="O10" s="25">
        <f t="shared" ref="O10" si="6">M10/N10</f>
        <v>12.861973362930076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GridLines="0" zoomScaleNormal="100" workbookViewId="0">
      <selection activeCell="A14" sqref="A14:XFD14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38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28</v>
      </c>
      <c r="C4" s="45">
        <v>43847</v>
      </c>
      <c r="D4" s="16" t="s">
        <v>11</v>
      </c>
      <c r="E4" s="61" t="s">
        <v>15</v>
      </c>
      <c r="F4" s="54">
        <v>25</v>
      </c>
      <c r="G4" s="38">
        <v>25</v>
      </c>
      <c r="H4" s="39">
        <v>1</v>
      </c>
      <c r="I4" s="35">
        <v>81615.5</v>
      </c>
      <c r="J4" s="17">
        <v>4852</v>
      </c>
      <c r="K4" s="28">
        <f>J4/G4</f>
        <v>194.08</v>
      </c>
      <c r="L4" s="18">
        <f>I4/J4</f>
        <v>16.821001648804618</v>
      </c>
      <c r="M4" s="35">
        <f>7094+6322+81615.5</f>
        <v>95031.5</v>
      </c>
      <c r="N4" s="17">
        <f>472+486+4852</f>
        <v>5810</v>
      </c>
      <c r="O4" s="18">
        <f>M4/N4</f>
        <v>16.356540447504305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6</v>
      </c>
      <c r="G5" s="15">
        <v>6</v>
      </c>
      <c r="H5" s="33">
        <v>7</v>
      </c>
      <c r="I5" s="36">
        <v>28394</v>
      </c>
      <c r="J5" s="21">
        <v>1418</v>
      </c>
      <c r="K5" s="26">
        <f>J5/G5</f>
        <v>236.33333333333334</v>
      </c>
      <c r="L5" s="22">
        <f>I5/J5</f>
        <v>20.02397743300423</v>
      </c>
      <c r="M5" s="36">
        <f>4434+28254.5+170260+146303.5+95116.5+78842+61952+26920+28394</f>
        <v>640476.5</v>
      </c>
      <c r="N5" s="21">
        <f>227+1876+10164+9071+5949+4703+3692+1405+1418</f>
        <v>38505</v>
      </c>
      <c r="O5" s="22">
        <f>M5/N5</f>
        <v>16.633593039864952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5" si="0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14</v>
      </c>
      <c r="G6" s="15">
        <v>14</v>
      </c>
      <c r="H6" s="33">
        <v>0</v>
      </c>
      <c r="I6" s="36">
        <v>15864.1</v>
      </c>
      <c r="J6" s="21">
        <v>1102</v>
      </c>
      <c r="K6" s="26">
        <f t="shared" ref="K6" si="1">J6/G6</f>
        <v>78.714285714285708</v>
      </c>
      <c r="L6" s="22">
        <f t="shared" ref="L6" si="2">I6/J6</f>
        <v>14.39573502722323</v>
      </c>
      <c r="M6" s="36">
        <f>15864.1</f>
        <v>15864.1</v>
      </c>
      <c r="N6" s="21">
        <f>1102</f>
        <v>1102</v>
      </c>
      <c r="O6" s="22">
        <f t="shared" ref="O6" si="3">M6/N6</f>
        <v>14.39573502722323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10</v>
      </c>
      <c r="G7" s="15">
        <v>10</v>
      </c>
      <c r="H7" s="33">
        <v>2</v>
      </c>
      <c r="I7" s="36">
        <v>15698</v>
      </c>
      <c r="J7" s="21">
        <v>879</v>
      </c>
      <c r="K7" s="26">
        <f t="shared" ref="K7" si="4">J7/G7</f>
        <v>87.9</v>
      </c>
      <c r="L7" s="22">
        <f t="shared" ref="L7" si="5">I7/J7</f>
        <v>17.858930602957908</v>
      </c>
      <c r="M7" s="36">
        <f>9740+36894.5+15698</f>
        <v>62332.5</v>
      </c>
      <c r="N7" s="21">
        <f>602+2058+879</f>
        <v>3539</v>
      </c>
      <c r="O7" s="22">
        <f t="shared" ref="O7" si="6">M7/N7</f>
        <v>17.613026278609777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33</v>
      </c>
      <c r="C8" s="48" t="s">
        <v>34</v>
      </c>
      <c r="D8" s="20" t="s">
        <v>11</v>
      </c>
      <c r="E8" s="50" t="s">
        <v>15</v>
      </c>
      <c r="F8" s="55">
        <v>1</v>
      </c>
      <c r="G8" s="15">
        <v>1</v>
      </c>
      <c r="H8" s="33">
        <v>0</v>
      </c>
      <c r="I8" s="36">
        <v>3801.6</v>
      </c>
      <c r="J8" s="21">
        <v>380</v>
      </c>
      <c r="K8" s="26">
        <f t="shared" ref="K8:K9" si="7">J8/G8</f>
        <v>380</v>
      </c>
      <c r="L8" s="22">
        <f t="shared" ref="L8:L9" si="8">I8/J8</f>
        <v>10.00421052631579</v>
      </c>
      <c r="M8" s="36">
        <f>3801.6</f>
        <v>3801.6</v>
      </c>
      <c r="N8" s="21">
        <f>380</f>
        <v>380</v>
      </c>
      <c r="O8" s="22">
        <f t="shared" ref="O8:O9" si="9">M8/N8</f>
        <v>10.00421052631579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35</v>
      </c>
      <c r="C9" s="48">
        <v>43889</v>
      </c>
      <c r="D9" s="20" t="s">
        <v>11</v>
      </c>
      <c r="E9" s="50" t="s">
        <v>15</v>
      </c>
      <c r="F9" s="55">
        <v>1</v>
      </c>
      <c r="G9" s="15">
        <v>1</v>
      </c>
      <c r="H9" s="33">
        <v>0</v>
      </c>
      <c r="I9" s="36">
        <v>3801.6</v>
      </c>
      <c r="J9" s="21">
        <v>380</v>
      </c>
      <c r="K9" s="26">
        <f t="shared" si="7"/>
        <v>380</v>
      </c>
      <c r="L9" s="22">
        <f t="shared" si="8"/>
        <v>10.00421052631579</v>
      </c>
      <c r="M9" s="36">
        <f>3801.6</f>
        <v>3801.6</v>
      </c>
      <c r="N9" s="21">
        <f>380</f>
        <v>380</v>
      </c>
      <c r="O9" s="22">
        <f t="shared" si="9"/>
        <v>10.00421052631579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16</v>
      </c>
      <c r="C10" s="48">
        <v>43434</v>
      </c>
      <c r="D10" s="20" t="s">
        <v>11</v>
      </c>
      <c r="E10" s="50" t="s">
        <v>17</v>
      </c>
      <c r="F10" s="55">
        <v>1</v>
      </c>
      <c r="G10" s="15">
        <v>1</v>
      </c>
      <c r="H10" s="33">
        <v>23</v>
      </c>
      <c r="I10" s="36">
        <v>2376</v>
      </c>
      <c r="J10" s="21">
        <v>238</v>
      </c>
      <c r="K10" s="26">
        <f>J10/G10</f>
        <v>238</v>
      </c>
      <c r="L10" s="22">
        <f>I10/J10</f>
        <v>9.9831932773109244</v>
      </c>
      <c r="M10" s="36">
        <f>2313+12582.72+6874.81+3062+163+408+831.6+2613.6+1900.8+2376+2138.4+1425.6+4633.21+2970+1188+3088.8+5940+2970+559+712.8+2376+2376+375+2376</f>
        <v>66254.34</v>
      </c>
      <c r="N10" s="21">
        <f>190+901+543+542+27+34+166+523+380+475+428+285+927+594+238+618+1188+594+35+71+238+238+25+238</f>
        <v>9498</v>
      </c>
      <c r="O10" s="22">
        <f>M10/N10</f>
        <v>6.9756096020214775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26</v>
      </c>
      <c r="C11" s="48">
        <v>43798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2138.4</v>
      </c>
      <c r="J11" s="21">
        <v>214</v>
      </c>
      <c r="K11" s="26">
        <f t="shared" ref="K11" si="10">J11/G11</f>
        <v>214</v>
      </c>
      <c r="L11" s="22">
        <f t="shared" ref="L11" si="11">I11/J11</f>
        <v>9.9925233644859812</v>
      </c>
      <c r="M11" s="36">
        <f>57609+14732+14190.8+9119+2690+831.59+2138.4</f>
        <v>101310.79</v>
      </c>
      <c r="N11" s="21">
        <f>3514+958+1037+733+161+83+214</f>
        <v>6700</v>
      </c>
      <c r="O11" s="22">
        <f t="shared" ref="O11" si="12">M11/N11</f>
        <v>15.12101343283582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31</v>
      </c>
      <c r="C12" s="48">
        <v>43784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>J12/G12</f>
        <v>214</v>
      </c>
      <c r="L12" s="22">
        <f>I12/J12</f>
        <v>9.9925233644859812</v>
      </c>
      <c r="M12" s="36">
        <f>17571.5+113896.5+89784.5+34684+17899+6786+3475+230+2138.4</f>
        <v>286464.90000000002</v>
      </c>
      <c r="N12" s="21">
        <f>1270+6725+5506+2074+1033+370+185+23+214</f>
        <v>17400</v>
      </c>
      <c r="O12" s="22">
        <f>M12/N12</f>
        <v>16.4635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0"/>
        <v>10</v>
      </c>
      <c r="B13" s="49" t="s">
        <v>25</v>
      </c>
      <c r="C13" s="48">
        <v>43812</v>
      </c>
      <c r="D13" s="20" t="s">
        <v>11</v>
      </c>
      <c r="E13" s="50" t="s">
        <v>15</v>
      </c>
      <c r="F13" s="55">
        <v>3</v>
      </c>
      <c r="G13" s="15">
        <v>3</v>
      </c>
      <c r="H13" s="33">
        <v>4</v>
      </c>
      <c r="I13" s="36">
        <v>1459</v>
      </c>
      <c r="J13" s="21">
        <v>124</v>
      </c>
      <c r="K13" s="26">
        <f>J13/G13</f>
        <v>41.333333333333336</v>
      </c>
      <c r="L13" s="22">
        <f>I13/J13</f>
        <v>11.766129032258064</v>
      </c>
      <c r="M13" s="36">
        <f>6424+1188+65328.5+34433+14543.8+1459</f>
        <v>123376.3</v>
      </c>
      <c r="N13" s="21">
        <f>425+119+3660+2059+979+124</f>
        <v>7366</v>
      </c>
      <c r="O13" s="22">
        <f>M13/N13</f>
        <v>16.749429812652728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0"/>
        <v>11</v>
      </c>
      <c r="B14" s="49" t="s">
        <v>27</v>
      </c>
      <c r="C14" s="48">
        <v>43819</v>
      </c>
      <c r="D14" s="20" t="s">
        <v>11</v>
      </c>
      <c r="E14" s="50" t="s">
        <v>24</v>
      </c>
      <c r="F14" s="55">
        <v>1</v>
      </c>
      <c r="G14" s="15">
        <v>1</v>
      </c>
      <c r="H14" s="33">
        <v>5</v>
      </c>
      <c r="I14" s="36">
        <v>199</v>
      </c>
      <c r="J14" s="21">
        <v>28</v>
      </c>
      <c r="K14" s="26">
        <f>J14/G14</f>
        <v>28</v>
      </c>
      <c r="L14" s="22">
        <f>I14/J14</f>
        <v>7.1071428571428568</v>
      </c>
      <c r="M14" s="36">
        <f>14772+46986.5+20727+8903+3132+199</f>
        <v>94719.5</v>
      </c>
      <c r="N14" s="21">
        <f>1051+2715+1151+594+184+28</f>
        <v>5723</v>
      </c>
      <c r="O14" s="22">
        <f>M14/N14</f>
        <v>16.550672724095755</v>
      </c>
      <c r="P14" s="29"/>
      <c r="Q14" s="29"/>
      <c r="R14" s="29"/>
      <c r="S14" s="29"/>
    </row>
    <row r="15" spans="1:19" s="14" customFormat="1" ht="16.5" customHeight="1" x14ac:dyDescent="0.25">
      <c r="A15" s="32">
        <f t="shared" si="0"/>
        <v>12</v>
      </c>
      <c r="B15" s="51" t="s">
        <v>32</v>
      </c>
      <c r="C15" s="52">
        <v>43693</v>
      </c>
      <c r="D15" s="19" t="s">
        <v>11</v>
      </c>
      <c r="E15" s="53" t="s">
        <v>20</v>
      </c>
      <c r="F15" s="56">
        <v>1</v>
      </c>
      <c r="G15" s="23">
        <v>1</v>
      </c>
      <c r="H15" s="34">
        <v>10</v>
      </c>
      <c r="I15" s="37">
        <v>185</v>
      </c>
      <c r="J15" s="24">
        <v>10</v>
      </c>
      <c r="K15" s="27">
        <f t="shared" ref="K15" si="13">J15/G15</f>
        <v>10</v>
      </c>
      <c r="L15" s="25">
        <f t="shared" ref="L15" si="14">I15/J15</f>
        <v>18.5</v>
      </c>
      <c r="M15" s="37">
        <f>1134+1549+24318.5+10972.5+5504.4+4633.2+831.59+688+2970+4752+255+185</f>
        <v>57793.189999999995</v>
      </c>
      <c r="N15" s="24">
        <f>80+121+1626+755+450+463+83+122+297+475+14+10</f>
        <v>4496</v>
      </c>
      <c r="O15" s="25">
        <f t="shared" ref="O15" si="15">M15/N15</f>
        <v>12.854357206405693</v>
      </c>
      <c r="P15" s="29"/>
      <c r="Q15" s="29"/>
      <c r="R15" s="29"/>
      <c r="S15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39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27"/>
      <c r="C3" s="128"/>
      <c r="D3" s="129"/>
      <c r="E3" s="130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57" t="s">
        <v>29</v>
      </c>
      <c r="C4" s="58">
        <v>43840</v>
      </c>
      <c r="D4" s="59" t="s">
        <v>11</v>
      </c>
      <c r="E4" s="60" t="s">
        <v>20</v>
      </c>
      <c r="F4" s="54">
        <v>17</v>
      </c>
      <c r="G4" s="38">
        <v>17</v>
      </c>
      <c r="H4" s="39">
        <v>1</v>
      </c>
      <c r="I4" s="35">
        <v>36894.5</v>
      </c>
      <c r="J4" s="17">
        <v>2058</v>
      </c>
      <c r="K4" s="28">
        <f t="shared" ref="K4" si="0">J4/G4</f>
        <v>121.05882352941177</v>
      </c>
      <c r="L4" s="18">
        <f t="shared" ref="L4" si="1">I4/J4</f>
        <v>17.927356656948493</v>
      </c>
      <c r="M4" s="35">
        <f>9740+36894.5</f>
        <v>46634.5</v>
      </c>
      <c r="N4" s="17">
        <f>602+2058</f>
        <v>2660</v>
      </c>
      <c r="O4" s="18">
        <f t="shared" ref="O4" si="2">M4/N4</f>
        <v>17.531766917293233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5</v>
      </c>
      <c r="G5" s="15">
        <v>5</v>
      </c>
      <c r="H5" s="33">
        <v>6</v>
      </c>
      <c r="I5" s="36">
        <v>26920</v>
      </c>
      <c r="J5" s="21">
        <v>1405</v>
      </c>
      <c r="K5" s="26">
        <f>J5/G5</f>
        <v>281</v>
      </c>
      <c r="L5" s="22">
        <f>I5/J5</f>
        <v>19.160142348754448</v>
      </c>
      <c r="M5" s="36">
        <f>4434+28254.5+170260+146303.5+95116.5+78842+61952+26920</f>
        <v>612082.5</v>
      </c>
      <c r="N5" s="21">
        <f>227+1876+10164+9071+5949+4703+3692+1405</f>
        <v>37087</v>
      </c>
      <c r="O5" s="22">
        <f>M5/N5</f>
        <v>16.503963653032059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3">A5+1</f>
        <v>3</v>
      </c>
      <c r="B6" s="49" t="s">
        <v>30</v>
      </c>
      <c r="C6" s="48">
        <v>43987</v>
      </c>
      <c r="D6" s="20" t="s">
        <v>11</v>
      </c>
      <c r="E6" s="50" t="s">
        <v>15</v>
      </c>
      <c r="F6" s="55">
        <v>22</v>
      </c>
      <c r="G6" s="15">
        <v>22</v>
      </c>
      <c r="H6" s="33">
        <v>0</v>
      </c>
      <c r="I6" s="36">
        <v>15384.5</v>
      </c>
      <c r="J6" s="21">
        <v>1020</v>
      </c>
      <c r="K6" s="26">
        <f t="shared" ref="K6" si="4">J6/G6</f>
        <v>46.363636363636367</v>
      </c>
      <c r="L6" s="22">
        <f t="shared" ref="L6" si="5">I6/J6</f>
        <v>15.082843137254901</v>
      </c>
      <c r="M6" s="36">
        <f>15384.5</f>
        <v>15384.5</v>
      </c>
      <c r="N6" s="21">
        <f>1020</f>
        <v>1020</v>
      </c>
      <c r="O6" s="22">
        <f t="shared" ref="O6" si="6">M6/N6</f>
        <v>15.082843137254901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25</v>
      </c>
      <c r="C7" s="48">
        <v>43812</v>
      </c>
      <c r="D7" s="20" t="s">
        <v>11</v>
      </c>
      <c r="E7" s="50" t="s">
        <v>15</v>
      </c>
      <c r="F7" s="55">
        <v>9</v>
      </c>
      <c r="G7" s="15">
        <v>9</v>
      </c>
      <c r="H7" s="33">
        <v>3</v>
      </c>
      <c r="I7" s="36">
        <v>14543.8</v>
      </c>
      <c r="J7" s="21">
        <v>979</v>
      </c>
      <c r="K7" s="26">
        <f>J7/G7</f>
        <v>108.77777777777777</v>
      </c>
      <c r="L7" s="22">
        <f>I7/J7</f>
        <v>14.855771195097038</v>
      </c>
      <c r="M7" s="36">
        <f>6424+1188+65328.5+34433+14543.8</f>
        <v>121917.3</v>
      </c>
      <c r="N7" s="21">
        <f>425+119+3660+2059+979</f>
        <v>7242</v>
      </c>
      <c r="O7" s="22">
        <f>M7/N7</f>
        <v>16.834755592377796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27</v>
      </c>
      <c r="C8" s="48">
        <v>43819</v>
      </c>
      <c r="D8" s="20" t="s">
        <v>11</v>
      </c>
      <c r="E8" s="50" t="s">
        <v>24</v>
      </c>
      <c r="F8" s="55">
        <v>3</v>
      </c>
      <c r="G8" s="15">
        <v>3</v>
      </c>
      <c r="H8" s="33">
        <v>4</v>
      </c>
      <c r="I8" s="36">
        <v>3132</v>
      </c>
      <c r="J8" s="21">
        <v>184</v>
      </c>
      <c r="K8" s="26">
        <f>J8/G8</f>
        <v>61.333333333333336</v>
      </c>
      <c r="L8" s="22">
        <f>I8/J8</f>
        <v>17.021739130434781</v>
      </c>
      <c r="M8" s="36">
        <f>14772+46986.5+20727+8903+3132</f>
        <v>94520.5</v>
      </c>
      <c r="N8" s="21">
        <f>1051+2715+1151+594+184</f>
        <v>5695</v>
      </c>
      <c r="O8" s="22">
        <f>M8/N8</f>
        <v>16.59710272168569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32</v>
      </c>
      <c r="C9" s="48">
        <v>43693</v>
      </c>
      <c r="D9" s="20" t="s">
        <v>11</v>
      </c>
      <c r="E9" s="50" t="s">
        <v>20</v>
      </c>
      <c r="F9" s="55">
        <v>1</v>
      </c>
      <c r="G9" s="15">
        <v>1</v>
      </c>
      <c r="H9" s="33">
        <v>9</v>
      </c>
      <c r="I9" s="36">
        <v>255</v>
      </c>
      <c r="J9" s="21">
        <v>14</v>
      </c>
      <c r="K9" s="26">
        <f t="shared" ref="K9" si="7">J9/G9</f>
        <v>14</v>
      </c>
      <c r="L9" s="22">
        <f t="shared" ref="L9" si="8">I9/J9</f>
        <v>18.214285714285715</v>
      </c>
      <c r="M9" s="36">
        <f>1134+1549+24318.5+10972.5+5504.4+4633.2+831.59+688+2970+4752+255</f>
        <v>57608.189999999995</v>
      </c>
      <c r="N9" s="21">
        <f>80+121+1626+755+450+463+83+122+297+475+14</f>
        <v>4486</v>
      </c>
      <c r="O9" s="22">
        <f t="shared" ref="O9" si="9">M9/N9</f>
        <v>12.841772180115916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3"/>
        <v>7</v>
      </c>
      <c r="B10" s="51" t="s">
        <v>31</v>
      </c>
      <c r="C10" s="52">
        <v>43784</v>
      </c>
      <c r="D10" s="19" t="s">
        <v>11</v>
      </c>
      <c r="E10" s="53" t="s">
        <v>15</v>
      </c>
      <c r="F10" s="56">
        <v>1</v>
      </c>
      <c r="G10" s="23">
        <v>1</v>
      </c>
      <c r="H10" s="34">
        <v>7</v>
      </c>
      <c r="I10" s="37">
        <v>230</v>
      </c>
      <c r="J10" s="24">
        <v>23</v>
      </c>
      <c r="K10" s="27">
        <f>J10/G10</f>
        <v>23</v>
      </c>
      <c r="L10" s="25">
        <f>I10/J10</f>
        <v>10</v>
      </c>
      <c r="M10" s="37">
        <f>17571.5+113896.5+89784.5+34684+17899+6786+3475+230</f>
        <v>284326.5</v>
      </c>
      <c r="N10" s="24">
        <f>1270+6725+5506+2074+1033+370+185+23</f>
        <v>17186</v>
      </c>
      <c r="O10" s="25">
        <f>M10/N10</f>
        <v>16.544076573955547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10" sqref="A10:XFD10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2" t="s">
        <v>40</v>
      </c>
      <c r="N1" s="113"/>
      <c r="O1" s="114"/>
    </row>
    <row r="2" spans="1:19" s="1" customFormat="1" ht="20.100000000000001" customHeight="1" x14ac:dyDescent="0.25">
      <c r="A2" s="40"/>
      <c r="B2" s="131" t="s">
        <v>0</v>
      </c>
      <c r="C2" s="133" t="s">
        <v>1</v>
      </c>
      <c r="D2" s="119" t="s">
        <v>2</v>
      </c>
      <c r="E2" s="135" t="s">
        <v>3</v>
      </c>
      <c r="F2" s="119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32"/>
      <c r="C3" s="134"/>
      <c r="D3" s="120"/>
      <c r="E3" s="136"/>
      <c r="F3" s="120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23</v>
      </c>
      <c r="C4" s="45">
        <v>43805</v>
      </c>
      <c r="D4" s="16" t="s">
        <v>11</v>
      </c>
      <c r="E4" s="16" t="s">
        <v>20</v>
      </c>
      <c r="F4" s="38">
        <v>26</v>
      </c>
      <c r="G4" s="38">
        <v>26</v>
      </c>
      <c r="H4" s="39">
        <v>5</v>
      </c>
      <c r="I4" s="35">
        <v>61952</v>
      </c>
      <c r="J4" s="17">
        <v>3692</v>
      </c>
      <c r="K4" s="28">
        <f>J4/G4</f>
        <v>142</v>
      </c>
      <c r="L4" s="18">
        <f>I4/J4</f>
        <v>16.780065005417118</v>
      </c>
      <c r="M4" s="35">
        <f>4434+28254.5+170260+146303.5+95116.5+78842+61952</f>
        <v>585162.5</v>
      </c>
      <c r="N4" s="17">
        <f>227+1876+10164+9071+5949+4703+3692</f>
        <v>35682</v>
      </c>
      <c r="O4" s="18">
        <f>M4/N4</f>
        <v>16.399375035031667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3" t="s">
        <v>25</v>
      </c>
      <c r="C5" s="46">
        <v>43812</v>
      </c>
      <c r="D5" s="20" t="s">
        <v>11</v>
      </c>
      <c r="E5" s="20" t="s">
        <v>15</v>
      </c>
      <c r="F5" s="15">
        <v>13</v>
      </c>
      <c r="G5" s="15">
        <v>13</v>
      </c>
      <c r="H5" s="33">
        <v>2</v>
      </c>
      <c r="I5" s="36">
        <v>34433</v>
      </c>
      <c r="J5" s="21">
        <v>2059</v>
      </c>
      <c r="K5" s="26">
        <f>J5/G5</f>
        <v>158.38461538461539</v>
      </c>
      <c r="L5" s="22">
        <f>I5/J5</f>
        <v>16.723166585721223</v>
      </c>
      <c r="M5" s="36">
        <f>6424+1188+65328.5+34433</f>
        <v>107373.5</v>
      </c>
      <c r="N5" s="21">
        <f>425+119+3660+2059</f>
        <v>6263</v>
      </c>
      <c r="O5" s="22">
        <f>M5/N5</f>
        <v>17.144100271435413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3" t="s">
        <v>29</v>
      </c>
      <c r="C6" s="46">
        <v>43840</v>
      </c>
      <c r="D6" s="20" t="s">
        <v>11</v>
      </c>
      <c r="E6" s="20" t="s">
        <v>20</v>
      </c>
      <c r="F6" s="15">
        <v>7</v>
      </c>
      <c r="G6" s="15">
        <v>7</v>
      </c>
      <c r="H6" s="33">
        <v>0</v>
      </c>
      <c r="I6" s="36">
        <v>9740</v>
      </c>
      <c r="J6" s="21">
        <v>602</v>
      </c>
      <c r="K6" s="26">
        <f t="shared" ref="K6" si="1">J6/G6</f>
        <v>86</v>
      </c>
      <c r="L6" s="22">
        <f t="shared" ref="L6" si="2">I6/J6</f>
        <v>16.17940199335548</v>
      </c>
      <c r="M6" s="36">
        <f>9740</f>
        <v>9740</v>
      </c>
      <c r="N6" s="21">
        <f>602</f>
        <v>602</v>
      </c>
      <c r="O6" s="22">
        <f t="shared" ref="O6" si="3">M6/N6</f>
        <v>16.17940199335548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3" t="s">
        <v>27</v>
      </c>
      <c r="C7" s="46">
        <v>43819</v>
      </c>
      <c r="D7" s="20" t="s">
        <v>11</v>
      </c>
      <c r="E7" s="20" t="s">
        <v>24</v>
      </c>
      <c r="F7" s="15">
        <v>6</v>
      </c>
      <c r="G7" s="15">
        <v>6</v>
      </c>
      <c r="H7" s="33">
        <v>3</v>
      </c>
      <c r="I7" s="36">
        <v>8903</v>
      </c>
      <c r="J7" s="21">
        <v>594</v>
      </c>
      <c r="K7" s="26">
        <f>J7/G7</f>
        <v>99</v>
      </c>
      <c r="L7" s="22">
        <f>I7/J7</f>
        <v>14.988215488215488</v>
      </c>
      <c r="M7" s="36">
        <f>14772+46986.5+20727+8903</f>
        <v>91388.5</v>
      </c>
      <c r="N7" s="21">
        <f>1051+2715+1151+594</f>
        <v>5511</v>
      </c>
      <c r="O7" s="22">
        <f>M7/N7</f>
        <v>16.582925058972965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3" t="s">
        <v>28</v>
      </c>
      <c r="C8" s="46">
        <v>43847</v>
      </c>
      <c r="D8" s="20" t="s">
        <v>11</v>
      </c>
      <c r="E8" s="20" t="s">
        <v>15</v>
      </c>
      <c r="F8" s="15">
        <v>13</v>
      </c>
      <c r="G8" s="15">
        <v>13</v>
      </c>
      <c r="H8" s="33">
        <v>0</v>
      </c>
      <c r="I8" s="36">
        <v>6322</v>
      </c>
      <c r="J8" s="21">
        <v>486</v>
      </c>
      <c r="K8" s="26">
        <f t="shared" ref="K8" si="4">J8/G8</f>
        <v>37.384615384615387</v>
      </c>
      <c r="L8" s="22">
        <f t="shared" ref="L8" si="5">I8/J8</f>
        <v>13.008230452674898</v>
      </c>
      <c r="M8" s="36">
        <f>7094+6322</f>
        <v>13416</v>
      </c>
      <c r="N8" s="21">
        <f>472+486</f>
        <v>958</v>
      </c>
      <c r="O8" s="22">
        <f t="shared" ref="O8" si="6">M8/N8</f>
        <v>14.004175365344468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3" t="s">
        <v>22</v>
      </c>
      <c r="C9" s="46">
        <v>43763</v>
      </c>
      <c r="D9" s="20" t="s">
        <v>11</v>
      </c>
      <c r="E9" s="20" t="s">
        <v>15</v>
      </c>
      <c r="F9" s="15">
        <v>1</v>
      </c>
      <c r="G9" s="15">
        <v>1</v>
      </c>
      <c r="H9" s="33">
        <v>7</v>
      </c>
      <c r="I9" s="36">
        <v>3088.8</v>
      </c>
      <c r="J9" s="21">
        <v>309</v>
      </c>
      <c r="K9" s="26">
        <f>J9/G9</f>
        <v>309</v>
      </c>
      <c r="L9" s="22">
        <f>I9/J9</f>
        <v>9.9961165048543688</v>
      </c>
      <c r="M9" s="36">
        <f>31741+5693+1799+206+831.59+2970+3088.8</f>
        <v>46329.39</v>
      </c>
      <c r="N9" s="21">
        <f>2069+459+178+30+83+297+309</f>
        <v>3425</v>
      </c>
      <c r="O9" s="22">
        <f>M9/N9</f>
        <v>13.526829197080291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3" t="s">
        <v>18</v>
      </c>
      <c r="C10" s="46">
        <v>43490</v>
      </c>
      <c r="D10" s="20" t="s">
        <v>11</v>
      </c>
      <c r="E10" s="20" t="s">
        <v>19</v>
      </c>
      <c r="F10" s="15">
        <v>1</v>
      </c>
      <c r="G10" s="15">
        <v>1</v>
      </c>
      <c r="H10" s="33">
        <v>26</v>
      </c>
      <c r="I10" s="36">
        <v>2851.2</v>
      </c>
      <c r="J10" s="21">
        <v>285</v>
      </c>
      <c r="K10" s="26">
        <f t="shared" ref="K10" si="7">J10/G10</f>
        <v>285</v>
      </c>
      <c r="L10" s="22">
        <f t="shared" ref="L10" si="8">I10/J10</f>
        <v>10.00421052631579</v>
      </c>
      <c r="M10" s="36">
        <f>608.85+7578.3+8086.94+128107.49+96459.62+71649+46015.7+33055.28+24028.3+12885.12+2294+3933+4720.6+2240+3056+1879+290+6790+3524+6890.4+2970+6296.4+2376+2376+942+1188+3564+2376+2851.2</f>
        <v>489031.20000000007</v>
      </c>
      <c r="N10" s="21">
        <f>44+535+987+9275+6590+5124+3460+2369+2118+1518+172+290+509+160+452+165+29+1323+497+1378+594+1259+475+475+67+119+356+238+285</f>
        <v>40863</v>
      </c>
      <c r="O10" s="22">
        <f t="shared" ref="O10" si="9">M10/N10</f>
        <v>11.967579472872771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3" t="s">
        <v>26</v>
      </c>
      <c r="C11" s="46">
        <v>43798</v>
      </c>
      <c r="D11" s="20" t="s">
        <v>11</v>
      </c>
      <c r="E11" s="20" t="s">
        <v>15</v>
      </c>
      <c r="F11" s="15">
        <v>1</v>
      </c>
      <c r="G11" s="15">
        <v>1</v>
      </c>
      <c r="H11" s="33">
        <v>6</v>
      </c>
      <c r="I11" s="36">
        <v>831.59</v>
      </c>
      <c r="J11" s="21">
        <v>83</v>
      </c>
      <c r="K11" s="26">
        <f t="shared" ref="K11" si="10">J11/G11</f>
        <v>83</v>
      </c>
      <c r="L11" s="22">
        <f t="shared" ref="L11" si="11">I11/J11</f>
        <v>10.019156626506025</v>
      </c>
      <c r="M11" s="36">
        <f>57609+14732+14190.8+9119+2690+831.59</f>
        <v>99172.39</v>
      </c>
      <c r="N11" s="21">
        <f>3514+958+1037+733+161+83</f>
        <v>6486</v>
      </c>
      <c r="O11" s="22">
        <f t="shared" ref="O11" si="12">M11/N11</f>
        <v>15.290223558433549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3" t="s">
        <v>21</v>
      </c>
      <c r="C12" s="46">
        <v>43742</v>
      </c>
      <c r="D12" s="20" t="s">
        <v>11</v>
      </c>
      <c r="E12" s="20" t="s">
        <v>20</v>
      </c>
      <c r="F12" s="15">
        <v>1</v>
      </c>
      <c r="G12" s="15">
        <v>1</v>
      </c>
      <c r="H12" s="33">
        <v>10</v>
      </c>
      <c r="I12" s="36">
        <v>140</v>
      </c>
      <c r="J12" s="21">
        <v>8</v>
      </c>
      <c r="K12" s="26">
        <f t="shared" ref="K12" si="13">J12/G12</f>
        <v>8</v>
      </c>
      <c r="L12" s="22">
        <f t="shared" ref="L12" si="14">I12/J12</f>
        <v>17.5</v>
      </c>
      <c r="M12" s="36">
        <f>16744.5+3525+730+958+831.59+3088.8+140+260+75+140</f>
        <v>26492.89</v>
      </c>
      <c r="N12" s="21">
        <f>1110+254+120+90+83+309+7+15+5+8</f>
        <v>2001</v>
      </c>
      <c r="O12" s="22">
        <f t="shared" ref="O12" si="15">M12/N12</f>
        <v>13.239825087456271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0"/>
        <v>10</v>
      </c>
      <c r="B13" s="44" t="s">
        <v>16</v>
      </c>
      <c r="C13" s="47">
        <v>43434</v>
      </c>
      <c r="D13" s="19" t="s">
        <v>11</v>
      </c>
      <c r="E13" s="19" t="s">
        <v>17</v>
      </c>
      <c r="F13" s="23">
        <v>1</v>
      </c>
      <c r="G13" s="23">
        <v>1</v>
      </c>
      <c r="H13" s="34">
        <v>22</v>
      </c>
      <c r="I13" s="37">
        <v>75</v>
      </c>
      <c r="J13" s="24">
        <v>25</v>
      </c>
      <c r="K13" s="27">
        <f>J13/G13</f>
        <v>25</v>
      </c>
      <c r="L13" s="25">
        <f>I13/J13</f>
        <v>3</v>
      </c>
      <c r="M13" s="37">
        <f>2313+12582.72+6874.81+3062+163+408+831.6+2613.6+1900.8+2376+2138.4+1425.6+4633.21+2970+1188+3088.8+5940+2970+559+712.8+2376+2376+375</f>
        <v>63878.340000000004</v>
      </c>
      <c r="N13" s="24">
        <f>190+901+543+542+27+34+166+523+380+475+428+285+927+594+238+618+1188+594+35+71+238+238+25</f>
        <v>9260</v>
      </c>
      <c r="O13" s="25">
        <f>M13/N13</f>
        <v>6.8983088552915772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79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27</v>
      </c>
      <c r="C4" s="67">
        <v>43819</v>
      </c>
      <c r="D4" s="68" t="s">
        <v>11</v>
      </c>
      <c r="E4" s="97" t="s">
        <v>24</v>
      </c>
      <c r="F4" s="100">
        <v>1</v>
      </c>
      <c r="G4" s="93">
        <v>1</v>
      </c>
      <c r="H4" s="94">
        <v>6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14772+46986.5+20727+8903+3132+199+5940</f>
        <v>100659.5</v>
      </c>
      <c r="N4" s="69">
        <f>1051+2715+1151+594+184+28+594</f>
        <v>6317</v>
      </c>
      <c r="O4" s="70">
        <f>M4/N4</f>
        <v>15.9347000158303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42</v>
      </c>
      <c r="C5" s="72">
        <v>43875</v>
      </c>
      <c r="D5" s="73" t="s">
        <v>11</v>
      </c>
      <c r="E5" s="98" t="s">
        <v>15</v>
      </c>
      <c r="F5" s="101">
        <v>1</v>
      </c>
      <c r="G5" s="66">
        <v>1</v>
      </c>
      <c r="H5" s="87">
        <v>8</v>
      </c>
      <c r="I5" s="90">
        <v>140</v>
      </c>
      <c r="J5" s="74">
        <v>7</v>
      </c>
      <c r="K5" s="80">
        <f t="shared" ref="K5:K9" si="0">J5/G5</f>
        <v>7</v>
      </c>
      <c r="L5" s="75">
        <f>I5/J5</f>
        <v>20</v>
      </c>
      <c r="M5" s="90">
        <f>8336.5+107712.5+70355+48713+29420+4042.5+1105+1949+140</f>
        <v>271773.5</v>
      </c>
      <c r="N5" s="74">
        <f>585+6574+4093+2458+1479+183+63+105+7</f>
        <v>15547</v>
      </c>
      <c r="O5" s="75">
        <f t="shared" ref="O5" si="1">M5/N5</f>
        <v>17.480767993825175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9" si="2">A5+1</f>
        <v>3</v>
      </c>
      <c r="B6" s="95" t="s">
        <v>31</v>
      </c>
      <c r="C6" s="72">
        <v>43784</v>
      </c>
      <c r="D6" s="73" t="s">
        <v>11</v>
      </c>
      <c r="E6" s="98" t="s">
        <v>15</v>
      </c>
      <c r="F6" s="101">
        <v>1</v>
      </c>
      <c r="G6" s="66">
        <v>1</v>
      </c>
      <c r="H6" s="87">
        <v>15</v>
      </c>
      <c r="I6" s="90">
        <v>80</v>
      </c>
      <c r="J6" s="74">
        <v>4</v>
      </c>
      <c r="K6" s="80">
        <f>J6/G6</f>
        <v>4</v>
      </c>
      <c r="L6" s="75">
        <f>I6/J6</f>
        <v>20</v>
      </c>
      <c r="M6" s="90">
        <f>17571.5+113896.5+89784.5+34684+17899+6786+3475+230+2138.4+2327+831.59+5940+795+80+120+80</f>
        <v>296638.49000000005</v>
      </c>
      <c r="N6" s="74">
        <f>1270+6725+5506+2074+1033+370+185+23+214+148+83+594+44+4+6+4</f>
        <v>18283</v>
      </c>
      <c r="O6" s="75">
        <f>M6/N6</f>
        <v>16.224825794453867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2"/>
        <v>4</v>
      </c>
      <c r="B7" s="95" t="s">
        <v>23</v>
      </c>
      <c r="C7" s="72">
        <v>43805</v>
      </c>
      <c r="D7" s="73" t="s">
        <v>11</v>
      </c>
      <c r="E7" s="98" t="s">
        <v>20</v>
      </c>
      <c r="F7" s="101">
        <v>1</v>
      </c>
      <c r="G7" s="66">
        <v>1</v>
      </c>
      <c r="H7" s="87">
        <v>19</v>
      </c>
      <c r="I7" s="90">
        <v>60</v>
      </c>
      <c r="J7" s="74">
        <v>3</v>
      </c>
      <c r="K7" s="80">
        <f t="shared" si="0"/>
        <v>3</v>
      </c>
      <c r="L7" s="75">
        <f>I7/J7</f>
        <v>20</v>
      </c>
      <c r="M7" s="90">
        <f>4434+28254.5+170260+146303.5+95116.5+78842+61952+26920+28394+23155.59+15761+9642+2690+1405+3357.5+1145+115+5940+180+140+60</f>
        <v>704067.59</v>
      </c>
      <c r="N7" s="74">
        <f>227+1876+10164+9071+5949+4703+3692+1405+1418+1283+874+667+160+84+236+66+7+594+9+7+3</f>
        <v>42495</v>
      </c>
      <c r="O7" s="75">
        <f>M7/N7</f>
        <v>16.568245440640073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2"/>
        <v>5</v>
      </c>
      <c r="B8" s="95" t="s">
        <v>36</v>
      </c>
      <c r="C8" s="72">
        <v>43861</v>
      </c>
      <c r="D8" s="73" t="s">
        <v>11</v>
      </c>
      <c r="E8" s="98" t="s">
        <v>20</v>
      </c>
      <c r="F8" s="101">
        <v>1</v>
      </c>
      <c r="G8" s="66">
        <v>1</v>
      </c>
      <c r="H8" s="87">
        <v>8</v>
      </c>
      <c r="I8" s="90">
        <v>60</v>
      </c>
      <c r="J8" s="74">
        <v>3</v>
      </c>
      <c r="K8" s="80">
        <f>J8/G8</f>
        <v>3</v>
      </c>
      <c r="L8" s="75">
        <f t="shared" ref="L8" si="3">I8/J8</f>
        <v>20</v>
      </c>
      <c r="M8" s="90">
        <f>15864.1+66003+34616+26136.8+4695+4221.59+1181.4+20+60</f>
        <v>152797.88999999998</v>
      </c>
      <c r="N8" s="74">
        <f>1102+4234+2166+1585+312+369+108+1+3</f>
        <v>9880</v>
      </c>
      <c r="O8" s="75">
        <f>M8/N8</f>
        <v>15.465373481781375</v>
      </c>
      <c r="P8" s="83"/>
      <c r="Q8" s="83"/>
      <c r="R8" s="83"/>
      <c r="S8" s="83"/>
    </row>
    <row r="9" spans="1:19" s="64" customFormat="1" ht="16.5" customHeight="1" x14ac:dyDescent="0.25">
      <c r="A9" s="86">
        <f t="shared" si="2"/>
        <v>6</v>
      </c>
      <c r="B9" s="96" t="s">
        <v>49</v>
      </c>
      <c r="C9" s="76">
        <v>43777</v>
      </c>
      <c r="D9" s="71" t="s">
        <v>11</v>
      </c>
      <c r="E9" s="99" t="s">
        <v>15</v>
      </c>
      <c r="F9" s="102">
        <v>1</v>
      </c>
      <c r="G9" s="77">
        <v>1</v>
      </c>
      <c r="H9" s="88">
        <v>10</v>
      </c>
      <c r="I9" s="91">
        <v>32</v>
      </c>
      <c r="J9" s="78">
        <v>4</v>
      </c>
      <c r="K9" s="81">
        <f t="shared" si="0"/>
        <v>4</v>
      </c>
      <c r="L9" s="79">
        <f>I9/J9</f>
        <v>8</v>
      </c>
      <c r="M9" s="91">
        <f>23804+3376+1605+3308.8+831.59+1020+1782+3920.4+48+32</f>
        <v>39727.79</v>
      </c>
      <c r="N9" s="78">
        <f>1482+220+182+340+155+68+178+392+6+4</f>
        <v>3027</v>
      </c>
      <c r="O9" s="79">
        <f>M9/N9</f>
        <v>13.124476379253386</v>
      </c>
      <c r="P9" s="83"/>
      <c r="Q9" s="83"/>
      <c r="R9" s="83"/>
      <c r="S9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78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42</v>
      </c>
      <c r="C4" s="67">
        <v>43875</v>
      </c>
      <c r="D4" s="68" t="s">
        <v>11</v>
      </c>
      <c r="E4" s="97" t="s">
        <v>15</v>
      </c>
      <c r="F4" s="100">
        <v>3</v>
      </c>
      <c r="G4" s="93">
        <v>3</v>
      </c>
      <c r="H4" s="94">
        <v>7</v>
      </c>
      <c r="I4" s="89">
        <v>1949</v>
      </c>
      <c r="J4" s="69">
        <v>105</v>
      </c>
      <c r="K4" s="82">
        <f>J4/G4</f>
        <v>35</v>
      </c>
      <c r="L4" s="70">
        <f>I4/J4</f>
        <v>18.561904761904763</v>
      </c>
      <c r="M4" s="89">
        <f>8336.5+107712.5+70355+48713+29420+4042.5+1105+1949</f>
        <v>271633.5</v>
      </c>
      <c r="N4" s="69">
        <f>585+6574+4093+2458+1479+183+63+105</f>
        <v>15540</v>
      </c>
      <c r="O4" s="70">
        <f t="shared" ref="O4" si="0">M4/N4</f>
        <v>17.479633204633206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23</v>
      </c>
      <c r="C5" s="72">
        <v>43805</v>
      </c>
      <c r="D5" s="73" t="s">
        <v>11</v>
      </c>
      <c r="E5" s="98" t="s">
        <v>20</v>
      </c>
      <c r="F5" s="101">
        <v>1</v>
      </c>
      <c r="G5" s="66">
        <v>1</v>
      </c>
      <c r="H5" s="87">
        <v>18</v>
      </c>
      <c r="I5" s="90">
        <v>140</v>
      </c>
      <c r="J5" s="74">
        <v>7</v>
      </c>
      <c r="K5" s="80">
        <f>J5/G5</f>
        <v>7</v>
      </c>
      <c r="L5" s="75">
        <f>I5/J5</f>
        <v>20</v>
      </c>
      <c r="M5" s="90">
        <f>4434+28254.5+170260+146303.5+95116.5+78842+61952+26920+28394+23155.59+15761+9642+2690+1405+3357.5+1145+115+5940+180+140</f>
        <v>704007.59</v>
      </c>
      <c r="N5" s="74">
        <f>227+1876+10164+9071+5949+4703+3692+1405+1418+1283+874+667+160+84+236+66+7+594+9+7</f>
        <v>42492</v>
      </c>
      <c r="O5" s="75">
        <f>M5/N5</f>
        <v>16.568003153534782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9" si="1">A5+1</f>
        <v>3</v>
      </c>
      <c r="B6" s="95" t="s">
        <v>56</v>
      </c>
      <c r="C6" s="72">
        <v>43882</v>
      </c>
      <c r="D6" s="73" t="s">
        <v>11</v>
      </c>
      <c r="E6" s="98" t="s">
        <v>57</v>
      </c>
      <c r="F6" s="101">
        <v>1</v>
      </c>
      <c r="G6" s="66">
        <v>1</v>
      </c>
      <c r="H6" s="87">
        <v>5</v>
      </c>
      <c r="I6" s="90">
        <v>132</v>
      </c>
      <c r="J6" s="74">
        <v>9</v>
      </c>
      <c r="K6" s="80">
        <f>J6/G6</f>
        <v>9</v>
      </c>
      <c r="L6" s="75">
        <f>I6/J6</f>
        <v>14.666666666666666</v>
      </c>
      <c r="M6" s="90">
        <f>9551.75+52964+64828+13921+744+132</f>
        <v>142140.75</v>
      </c>
      <c r="N6" s="74">
        <f>955+2850+4318+880+41+9</f>
        <v>9053</v>
      </c>
      <c r="O6" s="75">
        <f>M6/N6</f>
        <v>15.700955484369823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31</v>
      </c>
      <c r="C7" s="72">
        <v>43784</v>
      </c>
      <c r="D7" s="73" t="s">
        <v>11</v>
      </c>
      <c r="E7" s="98" t="s">
        <v>15</v>
      </c>
      <c r="F7" s="101">
        <v>1</v>
      </c>
      <c r="G7" s="66">
        <v>1</v>
      </c>
      <c r="H7" s="87">
        <v>14</v>
      </c>
      <c r="I7" s="90">
        <v>120</v>
      </c>
      <c r="J7" s="74">
        <v>6</v>
      </c>
      <c r="K7" s="80">
        <f>J7/G7</f>
        <v>6</v>
      </c>
      <c r="L7" s="75">
        <f>I7/J7</f>
        <v>20</v>
      </c>
      <c r="M7" s="90">
        <f>17571.5+113896.5+89784.5+34684+17899+6786+3475+230+2138.4+2327+831.59+5940+795+80+120</f>
        <v>296558.49000000005</v>
      </c>
      <c r="N7" s="74">
        <f>1270+6725+5506+2074+1033+370+185+23+214+148+83+594+44+4+6</f>
        <v>18279</v>
      </c>
      <c r="O7" s="75">
        <f>M7/N7</f>
        <v>16.223999671754473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28</v>
      </c>
      <c r="C8" s="72">
        <v>43847</v>
      </c>
      <c r="D8" s="73" t="s">
        <v>11</v>
      </c>
      <c r="E8" s="98" t="s">
        <v>15</v>
      </c>
      <c r="F8" s="101">
        <v>1</v>
      </c>
      <c r="G8" s="66">
        <v>1</v>
      </c>
      <c r="H8" s="87">
        <v>12</v>
      </c>
      <c r="I8" s="90">
        <v>80</v>
      </c>
      <c r="J8" s="74">
        <v>4</v>
      </c>
      <c r="K8" s="80">
        <f t="shared" ref="K8" si="2">J8/G8</f>
        <v>4</v>
      </c>
      <c r="L8" s="75">
        <f t="shared" ref="L8" si="3">I8/J8</f>
        <v>20</v>
      </c>
      <c r="M8" s="90">
        <f>7094+6322+81615.5+55490+18395+22750.99+7634+1726+1840+2743+30+65+20+80</f>
        <v>205805.49</v>
      </c>
      <c r="N8" s="74">
        <f>472+486+4852+3459+1110+1378+722+104+108+245+2+3+1+4</f>
        <v>12946</v>
      </c>
      <c r="O8" s="75">
        <f t="shared" ref="O8:O9" si="4">M8/N8</f>
        <v>15.897226170245634</v>
      </c>
      <c r="P8" s="83"/>
      <c r="Q8" s="83"/>
      <c r="R8" s="83"/>
      <c r="S8" s="83"/>
    </row>
    <row r="9" spans="1:19" s="64" customFormat="1" ht="16.5" customHeight="1" x14ac:dyDescent="0.25">
      <c r="A9" s="86">
        <f t="shared" si="1"/>
        <v>6</v>
      </c>
      <c r="B9" s="96" t="s">
        <v>66</v>
      </c>
      <c r="C9" s="76">
        <v>43903</v>
      </c>
      <c r="D9" s="71" t="s">
        <v>11</v>
      </c>
      <c r="E9" s="99" t="s">
        <v>15</v>
      </c>
      <c r="F9" s="102">
        <v>1</v>
      </c>
      <c r="G9" s="77">
        <v>1</v>
      </c>
      <c r="H9" s="88">
        <v>3</v>
      </c>
      <c r="I9" s="91">
        <v>45</v>
      </c>
      <c r="J9" s="78">
        <v>3</v>
      </c>
      <c r="K9" s="81">
        <f>J9/G9</f>
        <v>3</v>
      </c>
      <c r="L9" s="79">
        <f>I9/J9</f>
        <v>15</v>
      </c>
      <c r="M9" s="91">
        <f>14784.9+3403+140+45</f>
        <v>18372.900000000001</v>
      </c>
      <c r="N9" s="78">
        <f>1022+168+7+3</f>
        <v>1200</v>
      </c>
      <c r="O9" s="79">
        <f t="shared" si="4"/>
        <v>15.310750000000001</v>
      </c>
      <c r="P9" s="83"/>
      <c r="Q9" s="83"/>
      <c r="R9" s="83"/>
      <c r="S9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77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17</v>
      </c>
      <c r="I4" s="89">
        <v>180</v>
      </c>
      <c r="J4" s="69">
        <v>9</v>
      </c>
      <c r="K4" s="82">
        <f>J4/G4</f>
        <v>9</v>
      </c>
      <c r="L4" s="70">
        <f>I4/J4</f>
        <v>20</v>
      </c>
      <c r="M4" s="89">
        <f>4434+28254.5+170260+146303.5+95116.5+78842+61952+26920+28394+23155.59+15761+9642+2690+1405+3357.5+1145+115+5940+180</f>
        <v>703867.59</v>
      </c>
      <c r="N4" s="69">
        <f>227+1876+10164+9071+5949+4703+3692+1405+1418+1283+874+667+160+84+236+66+7+594+9</f>
        <v>42485</v>
      </c>
      <c r="O4" s="70">
        <f>M4/N4</f>
        <v>16.567437683888432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74</v>
      </c>
      <c r="C5" s="72">
        <v>43630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140</v>
      </c>
      <c r="J5" s="74">
        <v>7</v>
      </c>
      <c r="K5" s="80">
        <f t="shared" ref="K5" si="0">J5/G5</f>
        <v>7</v>
      </c>
      <c r="L5" s="75">
        <f>I5/J5</f>
        <v>20</v>
      </c>
      <c r="M5" s="90">
        <f>49441.02+15963.58+6838.75+2203+842+930+955+715+185+1782+480+140</f>
        <v>80475.350000000006</v>
      </c>
      <c r="N5" s="74">
        <f>3334+1176+641+148+63+63+56+41+10+178+24+7</f>
        <v>5741</v>
      </c>
      <c r="O5" s="75">
        <f>M5/N5</f>
        <v>14.01765371886431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0" si="1">A5+1</f>
        <v>3</v>
      </c>
      <c r="B6" s="95" t="s">
        <v>31</v>
      </c>
      <c r="C6" s="72">
        <v>43784</v>
      </c>
      <c r="D6" s="73" t="s">
        <v>11</v>
      </c>
      <c r="E6" s="98" t="s">
        <v>15</v>
      </c>
      <c r="F6" s="101">
        <v>1</v>
      </c>
      <c r="G6" s="66">
        <v>1</v>
      </c>
      <c r="H6" s="87">
        <v>13</v>
      </c>
      <c r="I6" s="90">
        <v>80</v>
      </c>
      <c r="J6" s="74">
        <v>4</v>
      </c>
      <c r="K6" s="80">
        <f>J6/G6</f>
        <v>4</v>
      </c>
      <c r="L6" s="75">
        <f>I6/J6</f>
        <v>20</v>
      </c>
      <c r="M6" s="90">
        <f>17571.5+113896.5+89784.5+34684+17899+6786+3475+230+2138.4+2327+831.59+5940+795+80</f>
        <v>296438.49000000005</v>
      </c>
      <c r="N6" s="74">
        <f>1270+6725+5506+2074+1033+370+185+23+214+148+83+594+44+4</f>
        <v>18273</v>
      </c>
      <c r="O6" s="75">
        <f>M6/N6</f>
        <v>16.222759809555082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73</v>
      </c>
      <c r="C7" s="72">
        <v>43630</v>
      </c>
      <c r="D7" s="73" t="s">
        <v>11</v>
      </c>
      <c r="E7" s="98" t="s">
        <v>15</v>
      </c>
      <c r="F7" s="101">
        <v>1</v>
      </c>
      <c r="G7" s="66">
        <v>1</v>
      </c>
      <c r="H7" s="87">
        <v>10</v>
      </c>
      <c r="I7" s="90">
        <v>80</v>
      </c>
      <c r="J7" s="74">
        <v>4</v>
      </c>
      <c r="K7" s="80">
        <f>J7/G7</f>
        <v>4</v>
      </c>
      <c r="L7" s="75">
        <f t="shared" ref="L7" si="2">I7/J7</f>
        <v>20</v>
      </c>
      <c r="M7" s="90">
        <f>4886+34507.06+13374.62+9220.6+2738+1472+811+1782+340+80</f>
        <v>69211.28</v>
      </c>
      <c r="N7" s="74">
        <f>435+2401+943+1154+171+98+59+178+17+4</f>
        <v>5460</v>
      </c>
      <c r="O7" s="75">
        <f>M7/N7</f>
        <v>12.676058608058607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49</v>
      </c>
      <c r="C8" s="72">
        <v>43777</v>
      </c>
      <c r="D8" s="73" t="s">
        <v>11</v>
      </c>
      <c r="E8" s="98" t="s">
        <v>15</v>
      </c>
      <c r="F8" s="101">
        <v>1</v>
      </c>
      <c r="G8" s="66">
        <v>1</v>
      </c>
      <c r="H8" s="87">
        <v>9</v>
      </c>
      <c r="I8" s="90">
        <v>48</v>
      </c>
      <c r="J8" s="74">
        <v>6</v>
      </c>
      <c r="K8" s="80">
        <f>J8/G8</f>
        <v>6</v>
      </c>
      <c r="L8" s="75">
        <f>I8/J8</f>
        <v>8</v>
      </c>
      <c r="M8" s="90">
        <f>23804+3376+1605+3308.8+831.59+1020+1782+3920.4+48</f>
        <v>39695.79</v>
      </c>
      <c r="N8" s="74">
        <f>1482+220+182+340+155+68+178+392+6</f>
        <v>3023</v>
      </c>
      <c r="O8" s="75">
        <f>M8/N8</f>
        <v>13.131257029440953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28</v>
      </c>
      <c r="C9" s="72">
        <v>43847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20</v>
      </c>
      <c r="J9" s="74">
        <v>1</v>
      </c>
      <c r="K9" s="80">
        <f t="shared" ref="K9" si="3">J9/G9</f>
        <v>1</v>
      </c>
      <c r="L9" s="75">
        <f t="shared" ref="L9" si="4">I9/J9</f>
        <v>20</v>
      </c>
      <c r="M9" s="90">
        <f>7094+6322+81615.5+55490+18395+22750.99+7634+1726+1840+2743+30+65+20</f>
        <v>205725.49</v>
      </c>
      <c r="N9" s="74">
        <f>472+486+4852+3459+1110+1378+722+104+108+245+2+3+1</f>
        <v>12942</v>
      </c>
      <c r="O9" s="75">
        <f t="shared" ref="O9" si="5">M9/N9</f>
        <v>15.895958120846855</v>
      </c>
      <c r="P9" s="83"/>
      <c r="Q9" s="83"/>
      <c r="R9" s="83"/>
      <c r="S9" s="83"/>
    </row>
    <row r="10" spans="1:19" s="64" customFormat="1" ht="16.5" customHeight="1" x14ac:dyDescent="0.25">
      <c r="A10" s="86">
        <f t="shared" si="1"/>
        <v>7</v>
      </c>
      <c r="B10" s="96" t="s">
        <v>36</v>
      </c>
      <c r="C10" s="76">
        <v>43861</v>
      </c>
      <c r="D10" s="71" t="s">
        <v>11</v>
      </c>
      <c r="E10" s="99" t="s">
        <v>20</v>
      </c>
      <c r="F10" s="102">
        <v>1</v>
      </c>
      <c r="G10" s="77">
        <v>1</v>
      </c>
      <c r="H10" s="88">
        <v>7</v>
      </c>
      <c r="I10" s="91">
        <v>20</v>
      </c>
      <c r="J10" s="78">
        <v>1</v>
      </c>
      <c r="K10" s="81">
        <f>J10/G10</f>
        <v>1</v>
      </c>
      <c r="L10" s="79">
        <f t="shared" ref="L10" si="6">I10/J10</f>
        <v>20</v>
      </c>
      <c r="M10" s="91">
        <f>15864.1+66003+34616+26136.8+4695+4221.59+1181.4+20</f>
        <v>152737.88999999998</v>
      </c>
      <c r="N10" s="78">
        <f>1102+4234+2166+1585+312+369+108+1</f>
        <v>9877</v>
      </c>
      <c r="O10" s="79">
        <f>M10/N10</f>
        <v>15.463996152677938</v>
      </c>
      <c r="P10" s="83"/>
      <c r="Q10" s="83"/>
      <c r="R10" s="83"/>
      <c r="S10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72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32</v>
      </c>
      <c r="C4" s="67">
        <v>43693</v>
      </c>
      <c r="D4" s="68" t="s">
        <v>11</v>
      </c>
      <c r="E4" s="97" t="s">
        <v>20</v>
      </c>
      <c r="F4" s="100">
        <v>1</v>
      </c>
      <c r="G4" s="93">
        <v>1</v>
      </c>
      <c r="H4" s="94">
        <v>12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1134+1549+24318.5+10972.5+5504.4+4633.2+831.59+688+2970+4752+255+185+150+5940</f>
        <v>63883.189999999995</v>
      </c>
      <c r="N4" s="69">
        <f>80+121+1626+755+450+463+83+122+297+475+14+10+9+594</f>
        <v>5099</v>
      </c>
      <c r="O4" s="70">
        <f t="shared" ref="O4:O9" si="0">M4/N4</f>
        <v>12.528572269072367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76</v>
      </c>
      <c r="C5" s="72">
        <v>43707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1188</v>
      </c>
      <c r="J5" s="74">
        <v>119</v>
      </c>
      <c r="K5" s="80">
        <f t="shared" ref="K5:K6" si="1">J5/G5</f>
        <v>119</v>
      </c>
      <c r="L5" s="75">
        <f t="shared" ref="L5:L6" si="2">I5/J5</f>
        <v>9.9831932773109244</v>
      </c>
      <c r="M5" s="90">
        <f>3753+17942.5+11530.4+706+2836.59+831.59+4942+275+30+410+55+1782+1188</f>
        <v>46282.080000000002</v>
      </c>
      <c r="N5" s="74">
        <f>315+1251+1001+78+298+83+486+16+2+23+3+178+119</f>
        <v>3853</v>
      </c>
      <c r="O5" s="75">
        <f t="shared" si="0"/>
        <v>12.011959512068518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3">A5+1</f>
        <v>3</v>
      </c>
      <c r="B6" s="95" t="s">
        <v>26</v>
      </c>
      <c r="C6" s="72">
        <v>43798</v>
      </c>
      <c r="D6" s="73" t="s">
        <v>11</v>
      </c>
      <c r="E6" s="98" t="s">
        <v>15</v>
      </c>
      <c r="F6" s="101">
        <v>1</v>
      </c>
      <c r="G6" s="66">
        <v>1</v>
      </c>
      <c r="H6" s="87">
        <v>11</v>
      </c>
      <c r="I6" s="90">
        <v>1188</v>
      </c>
      <c r="J6" s="74">
        <v>119</v>
      </c>
      <c r="K6" s="80">
        <f t="shared" si="1"/>
        <v>119</v>
      </c>
      <c r="L6" s="75">
        <f t="shared" si="2"/>
        <v>9.9831932773109244</v>
      </c>
      <c r="M6" s="90">
        <f>57609+14732+14190.8+9119+2690+831.59+2138.4+48+72+64+1188</f>
        <v>102682.79</v>
      </c>
      <c r="N6" s="74">
        <f>3514+958+1037+733+161+83+214+6+9+6+119</f>
        <v>6840</v>
      </c>
      <c r="O6" s="75">
        <f t="shared" si="0"/>
        <v>15.012103801169589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3"/>
        <v>4</v>
      </c>
      <c r="B7" s="95" t="s">
        <v>25</v>
      </c>
      <c r="C7" s="72">
        <v>43812</v>
      </c>
      <c r="D7" s="73" t="s">
        <v>11</v>
      </c>
      <c r="E7" s="98" t="s">
        <v>15</v>
      </c>
      <c r="F7" s="101">
        <v>1</v>
      </c>
      <c r="G7" s="66">
        <v>1</v>
      </c>
      <c r="H7" s="87">
        <v>7</v>
      </c>
      <c r="I7" s="90">
        <v>1188</v>
      </c>
      <c r="J7" s="74">
        <v>119</v>
      </c>
      <c r="K7" s="80">
        <f>J7/G7</f>
        <v>119</v>
      </c>
      <c r="L7" s="75">
        <f>I7/J7</f>
        <v>9.9831932773109244</v>
      </c>
      <c r="M7" s="90">
        <f>6424+1188+65328.5+34433+14543.8+1459+248+891.59+1188</f>
        <v>125703.89</v>
      </c>
      <c r="N7" s="74">
        <f>425+119+3660+2059+979+124+38+89+119</f>
        <v>7612</v>
      </c>
      <c r="O7" s="75">
        <f t="shared" si="0"/>
        <v>16.513910930110352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3"/>
        <v>5</v>
      </c>
      <c r="B8" s="95" t="s">
        <v>31</v>
      </c>
      <c r="C8" s="72">
        <v>43784</v>
      </c>
      <c r="D8" s="73" t="s">
        <v>11</v>
      </c>
      <c r="E8" s="98" t="s">
        <v>15</v>
      </c>
      <c r="F8" s="101">
        <v>1</v>
      </c>
      <c r="G8" s="66">
        <v>1</v>
      </c>
      <c r="H8" s="87">
        <v>12</v>
      </c>
      <c r="I8" s="90">
        <v>795</v>
      </c>
      <c r="J8" s="74">
        <v>44</v>
      </c>
      <c r="K8" s="80">
        <f>J8/G8</f>
        <v>44</v>
      </c>
      <c r="L8" s="75">
        <f>I8/J8</f>
        <v>18.068181818181817</v>
      </c>
      <c r="M8" s="90">
        <f>17571.5+113896.5+89784.5+34684+17899+6786+3475+230+2138.4+2327+831.59+5940+795</f>
        <v>296358.49000000005</v>
      </c>
      <c r="N8" s="74">
        <f>1270+6725+5506+2074+1033+370+185+23+214+148+83+594+44</f>
        <v>18269</v>
      </c>
      <c r="O8" s="75">
        <f t="shared" si="0"/>
        <v>16.221932782308834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3"/>
        <v>6</v>
      </c>
      <c r="B9" s="95" t="s">
        <v>74</v>
      </c>
      <c r="C9" s="72">
        <v>43630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480</v>
      </c>
      <c r="J9" s="74">
        <v>24</v>
      </c>
      <c r="K9" s="80">
        <f t="shared" ref="K9" si="4">J9/G9</f>
        <v>24</v>
      </c>
      <c r="L9" s="75">
        <f>I9/J9</f>
        <v>20</v>
      </c>
      <c r="M9" s="90">
        <f>49441.02+15963.58+6838.75+2203+842+930+955+715+185+1782+480</f>
        <v>80335.350000000006</v>
      </c>
      <c r="N9" s="74">
        <f>3334+1176+641+148+63+63+56+41+10+178+24</f>
        <v>5734</v>
      </c>
      <c r="O9" s="75">
        <f t="shared" si="0"/>
        <v>14.010350540634811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3"/>
        <v>7</v>
      </c>
      <c r="B10" s="95" t="s">
        <v>73</v>
      </c>
      <c r="C10" s="72">
        <v>43630</v>
      </c>
      <c r="D10" s="73" t="s">
        <v>11</v>
      </c>
      <c r="E10" s="98" t="s">
        <v>15</v>
      </c>
      <c r="F10" s="101">
        <v>1</v>
      </c>
      <c r="G10" s="66">
        <v>1</v>
      </c>
      <c r="H10" s="87">
        <v>9</v>
      </c>
      <c r="I10" s="90">
        <v>340</v>
      </c>
      <c r="J10" s="74">
        <v>17</v>
      </c>
      <c r="K10" s="80">
        <f>J10/G10</f>
        <v>17</v>
      </c>
      <c r="L10" s="75">
        <f t="shared" ref="L10" si="5">I10/J10</f>
        <v>20</v>
      </c>
      <c r="M10" s="90">
        <f>4886+34507.06+13374.62+9220.6+2738+1472+811+1782+340</f>
        <v>69131.28</v>
      </c>
      <c r="N10" s="74">
        <f>435+2401+943+1154+171+98+59+178+17</f>
        <v>5456</v>
      </c>
      <c r="O10" s="75">
        <f t="shared" ref="O10" si="6">M10/N10</f>
        <v>12.670689149560117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3"/>
        <v>8</v>
      </c>
      <c r="B11" s="96" t="s">
        <v>75</v>
      </c>
      <c r="C11" s="76">
        <v>43630</v>
      </c>
      <c r="D11" s="71" t="s">
        <v>11</v>
      </c>
      <c r="E11" s="99" t="s">
        <v>15</v>
      </c>
      <c r="F11" s="102">
        <v>1</v>
      </c>
      <c r="G11" s="77">
        <v>1</v>
      </c>
      <c r="H11" s="88">
        <v>12</v>
      </c>
      <c r="I11" s="91">
        <v>80</v>
      </c>
      <c r="J11" s="78">
        <v>4</v>
      </c>
      <c r="K11" s="81">
        <f>J11/G11</f>
        <v>4</v>
      </c>
      <c r="L11" s="79">
        <f>I11/J11</f>
        <v>20</v>
      </c>
      <c r="M11" s="91">
        <f>30601.51+19092.5+5059.54+2011+10+100+3326.4+980+505+235+1188+80</f>
        <v>63188.95</v>
      </c>
      <c r="N11" s="78">
        <f>1975+1654+361+128+1+10+665+57+29+13+119+4</f>
        <v>5016</v>
      </c>
      <c r="O11" s="79">
        <f t="shared" ref="O11" si="7">M11/N11</f>
        <v>12.597478070175438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B6" sqref="B6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70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16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4434+28254.5+170260+146303.5+95116.5+78842+61952+26920+28394+23155.59+15761+9642+2690+1405+3357.5+1145+115+5940</f>
        <v>703687.59</v>
      </c>
      <c r="N4" s="69">
        <f>227+1876+10164+9071+5949+4703+3692+1405+1418+1283+874+667+160+84+236+66+7+594</f>
        <v>42476</v>
      </c>
      <c r="O4" s="70">
        <f>M4/N4</f>
        <v>16.566710377625011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31</v>
      </c>
      <c r="C5" s="72">
        <v>43784</v>
      </c>
      <c r="D5" s="73" t="s">
        <v>11</v>
      </c>
      <c r="E5" s="98" t="s">
        <v>15</v>
      </c>
      <c r="F5" s="101">
        <v>1</v>
      </c>
      <c r="G5" s="66">
        <v>1</v>
      </c>
      <c r="H5" s="87">
        <v>11</v>
      </c>
      <c r="I5" s="90">
        <v>5940</v>
      </c>
      <c r="J5" s="74">
        <v>594</v>
      </c>
      <c r="K5" s="80">
        <f>J5/G5</f>
        <v>594</v>
      </c>
      <c r="L5" s="75">
        <f>I5/J5</f>
        <v>10</v>
      </c>
      <c r="M5" s="90">
        <f>17571.5+113896.5+89784.5+34684+17899+6786+3475+230+2138.4+2327+831.59+5940</f>
        <v>295563.49000000005</v>
      </c>
      <c r="N5" s="74">
        <f>1270+6725+5506+2074+1033+370+185+23+214+148+83+594</f>
        <v>18225</v>
      </c>
      <c r="O5" s="75">
        <f>M5/N5</f>
        <v>16.217475445816188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3" si="0">A5+1</f>
        <v>3</v>
      </c>
      <c r="B6" s="137" t="s">
        <v>65</v>
      </c>
      <c r="C6" s="72">
        <v>43917</v>
      </c>
      <c r="D6" s="73" t="s">
        <v>11</v>
      </c>
      <c r="E6" s="98" t="s">
        <v>20</v>
      </c>
      <c r="F6" s="101">
        <v>1</v>
      </c>
      <c r="G6" s="66">
        <v>1</v>
      </c>
      <c r="H6" s="87">
        <v>1</v>
      </c>
      <c r="I6" s="90">
        <v>1782</v>
      </c>
      <c r="J6" s="74">
        <v>178</v>
      </c>
      <c r="K6" s="80">
        <f t="shared" ref="K6" si="1">J6/G6</f>
        <v>178</v>
      </c>
      <c r="L6" s="75">
        <f t="shared" ref="L6" si="2">I6/J6</f>
        <v>10.011235955056179</v>
      </c>
      <c r="M6" s="90">
        <f>2466+1782</f>
        <v>4248</v>
      </c>
      <c r="N6" s="74">
        <f>201+178</f>
        <v>379</v>
      </c>
      <c r="O6" s="75">
        <f t="shared" ref="O6" si="3">M6/N6</f>
        <v>11.208443271767811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0"/>
        <v>4</v>
      </c>
      <c r="B7" s="95" t="s">
        <v>52</v>
      </c>
      <c r="C7" s="72">
        <v>43728</v>
      </c>
      <c r="D7" s="73" t="s">
        <v>11</v>
      </c>
      <c r="E7" s="98" t="s">
        <v>53</v>
      </c>
      <c r="F7" s="101">
        <v>1</v>
      </c>
      <c r="G7" s="66">
        <v>1</v>
      </c>
      <c r="H7" s="87">
        <v>16</v>
      </c>
      <c r="I7" s="90">
        <v>1188</v>
      </c>
      <c r="J7" s="74">
        <v>119</v>
      </c>
      <c r="K7" s="80">
        <f t="shared" ref="K7" si="4">J7/G7</f>
        <v>119</v>
      </c>
      <c r="L7" s="75">
        <f>I7/J7</f>
        <v>9.9831932773109244</v>
      </c>
      <c r="M7" s="90">
        <f>203+8316+3571+49040.5+33049+12678+6825+7067+7987.4+3088.8+140+5482+1254+7227.8+3326.4+4180.4+950.4+135+1188</f>
        <v>155709.69999999995</v>
      </c>
      <c r="N7" s="74">
        <f>13+832+243+3155+2323+864+498+625+687+309+9+518+92+724+333+407+95+9+119</f>
        <v>11855</v>
      </c>
      <c r="O7" s="75">
        <f t="shared" ref="O7" si="5">M7/N7</f>
        <v>13.134517081400249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0"/>
        <v>5</v>
      </c>
      <c r="B8" s="95" t="s">
        <v>71</v>
      </c>
      <c r="C8" s="72">
        <v>43679</v>
      </c>
      <c r="D8" s="73" t="s">
        <v>11</v>
      </c>
      <c r="E8" s="98" t="s">
        <v>15</v>
      </c>
      <c r="F8" s="101">
        <v>1</v>
      </c>
      <c r="G8" s="66">
        <v>1</v>
      </c>
      <c r="H8" s="87">
        <v>10</v>
      </c>
      <c r="I8" s="90">
        <v>1188</v>
      </c>
      <c r="J8" s="74">
        <v>119</v>
      </c>
      <c r="K8" s="80">
        <f>J8/G8</f>
        <v>119</v>
      </c>
      <c r="L8" s="75">
        <f>I8/J8</f>
        <v>9.9831932773109244</v>
      </c>
      <c r="M8" s="90">
        <f>7413+40058.5+27783+24280.5+9786+11642.9+831.59+333+700+1782+1188</f>
        <v>125798.48999999999</v>
      </c>
      <c r="N8" s="74">
        <f>581+2600+1859+1835+774+1052+83+81+124+178+119</f>
        <v>9286</v>
      </c>
      <c r="O8" s="75">
        <f t="shared" ref="O8:O13" si="6">M8/N8</f>
        <v>13.547112858065905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0"/>
        <v>6</v>
      </c>
      <c r="B9" s="95" t="s">
        <v>44</v>
      </c>
      <c r="C9" s="72">
        <v>43574</v>
      </c>
      <c r="D9" s="73" t="s">
        <v>11</v>
      </c>
      <c r="E9" s="98" t="s">
        <v>45</v>
      </c>
      <c r="F9" s="101">
        <v>1</v>
      </c>
      <c r="G9" s="66">
        <v>1</v>
      </c>
      <c r="H9" s="87">
        <v>16</v>
      </c>
      <c r="I9" s="90">
        <v>1188</v>
      </c>
      <c r="J9" s="74">
        <v>119</v>
      </c>
      <c r="K9" s="80">
        <f>J9/G9</f>
        <v>119</v>
      </c>
      <c r="L9" s="75">
        <f>I9/J9</f>
        <v>9.9831932773109244</v>
      </c>
      <c r="M9" s="90">
        <f>3376+72717.78+37456.01+10282.07+3127+689+105+560+740+270+3801.6+3326.4+70+80+3088.8+2138.4+950.4+1188</f>
        <v>143966.46</v>
      </c>
      <c r="N9" s="74">
        <f>304+5067+2832+631+213+52+6+35+43+16+760+665+7+8+309+214+95+119</f>
        <v>11376</v>
      </c>
      <c r="O9" s="75">
        <f t="shared" si="6"/>
        <v>12.655279535864977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0"/>
        <v>7</v>
      </c>
      <c r="B10" s="95" t="s">
        <v>42</v>
      </c>
      <c r="C10" s="72">
        <v>43875</v>
      </c>
      <c r="D10" s="73" t="s">
        <v>11</v>
      </c>
      <c r="E10" s="98" t="s">
        <v>15</v>
      </c>
      <c r="F10" s="101">
        <v>1</v>
      </c>
      <c r="G10" s="66">
        <v>1</v>
      </c>
      <c r="H10" s="87">
        <v>6</v>
      </c>
      <c r="I10" s="90">
        <v>1105</v>
      </c>
      <c r="J10" s="74">
        <v>63</v>
      </c>
      <c r="K10" s="80">
        <f>J10/G10</f>
        <v>63</v>
      </c>
      <c r="L10" s="75">
        <f>I10/J10</f>
        <v>17.539682539682541</v>
      </c>
      <c r="M10" s="90">
        <f>8336.5+107712.5+70355+48713+29420+4042.5+1105</f>
        <v>269684.5</v>
      </c>
      <c r="N10" s="74">
        <f>585+6574+4093+2458+1479+183+63</f>
        <v>15435</v>
      </c>
      <c r="O10" s="75">
        <f t="shared" si="6"/>
        <v>17.472270813087139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66</v>
      </c>
      <c r="C11" s="72">
        <v>43903</v>
      </c>
      <c r="D11" s="73" t="s">
        <v>11</v>
      </c>
      <c r="E11" s="98" t="s">
        <v>15</v>
      </c>
      <c r="F11" s="101">
        <v>1</v>
      </c>
      <c r="G11" s="66">
        <v>1</v>
      </c>
      <c r="H11" s="87">
        <v>2</v>
      </c>
      <c r="I11" s="90">
        <v>140</v>
      </c>
      <c r="J11" s="74">
        <v>7</v>
      </c>
      <c r="K11" s="80">
        <f>J11/G11</f>
        <v>7</v>
      </c>
      <c r="L11" s="75">
        <f>I11/J11</f>
        <v>20</v>
      </c>
      <c r="M11" s="90">
        <f>14784.9+3403+140</f>
        <v>18327.900000000001</v>
      </c>
      <c r="N11" s="74">
        <f>1022+168+7</f>
        <v>1197</v>
      </c>
      <c r="O11" s="75">
        <f t="shared" si="6"/>
        <v>15.31152882205514</v>
      </c>
      <c r="P11" s="83"/>
      <c r="Q11" s="83"/>
      <c r="R11" s="83"/>
      <c r="S11" s="83"/>
    </row>
    <row r="12" spans="1:19" s="64" customFormat="1" ht="16.5" customHeight="1" x14ac:dyDescent="0.25">
      <c r="A12" s="85">
        <f t="shared" si="0"/>
        <v>9</v>
      </c>
      <c r="B12" s="95" t="s">
        <v>28</v>
      </c>
      <c r="C12" s="72">
        <v>43847</v>
      </c>
      <c r="D12" s="73" t="s">
        <v>11</v>
      </c>
      <c r="E12" s="98" t="s">
        <v>15</v>
      </c>
      <c r="F12" s="101">
        <v>1</v>
      </c>
      <c r="G12" s="66">
        <v>1</v>
      </c>
      <c r="H12" s="87">
        <v>10</v>
      </c>
      <c r="I12" s="90">
        <v>65</v>
      </c>
      <c r="J12" s="74">
        <v>3</v>
      </c>
      <c r="K12" s="80">
        <f t="shared" ref="K12" si="7">J12/G12</f>
        <v>3</v>
      </c>
      <c r="L12" s="75">
        <f t="shared" ref="L12" si="8">I12/J12</f>
        <v>21.666666666666668</v>
      </c>
      <c r="M12" s="90">
        <f>7094+6322+81615.5+55490+18395+22750.99+7634+1726+1840+2743+30+65</f>
        <v>205705.49</v>
      </c>
      <c r="N12" s="74">
        <f>472+486+4852+3459+1110+1378+722+104+108+245+2+3</f>
        <v>12941</v>
      </c>
      <c r="O12" s="75">
        <f t="shared" si="6"/>
        <v>15.895640986013445</v>
      </c>
      <c r="P12" s="83"/>
      <c r="Q12" s="83"/>
      <c r="R12" s="83"/>
      <c r="S12" s="83"/>
    </row>
    <row r="13" spans="1:19" s="64" customFormat="1" ht="16.5" customHeight="1" x14ac:dyDescent="0.25">
      <c r="A13" s="86">
        <f t="shared" si="0"/>
        <v>10</v>
      </c>
      <c r="B13" s="96" t="s">
        <v>61</v>
      </c>
      <c r="C13" s="76">
        <v>43903</v>
      </c>
      <c r="D13" s="71" t="s">
        <v>11</v>
      </c>
      <c r="E13" s="99" t="s">
        <v>20</v>
      </c>
      <c r="F13" s="102">
        <v>1</v>
      </c>
      <c r="G13" s="77">
        <v>1</v>
      </c>
      <c r="H13" s="88">
        <v>2</v>
      </c>
      <c r="I13" s="91">
        <v>40</v>
      </c>
      <c r="J13" s="78">
        <v>2</v>
      </c>
      <c r="K13" s="81">
        <f>J13/G13</f>
        <v>2</v>
      </c>
      <c r="L13" s="79">
        <f t="shared" ref="L13" si="9">I13/J13</f>
        <v>20</v>
      </c>
      <c r="M13" s="91">
        <f>882+7626+40</f>
        <v>8548</v>
      </c>
      <c r="N13" s="78">
        <f>47+425+2</f>
        <v>474</v>
      </c>
      <c r="O13" s="79">
        <f t="shared" si="6"/>
        <v>18.033755274261605</v>
      </c>
      <c r="P13" s="83"/>
      <c r="Q13" s="83"/>
      <c r="R13" s="83"/>
      <c r="S13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68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61</v>
      </c>
      <c r="C4" s="67">
        <v>43903</v>
      </c>
      <c r="D4" s="68" t="s">
        <v>11</v>
      </c>
      <c r="E4" s="97" t="s">
        <v>20</v>
      </c>
      <c r="F4" s="100">
        <v>16</v>
      </c>
      <c r="G4" s="93">
        <v>16</v>
      </c>
      <c r="H4" s="94">
        <v>1</v>
      </c>
      <c r="I4" s="89">
        <v>7626</v>
      </c>
      <c r="J4" s="69">
        <v>425</v>
      </c>
      <c r="K4" s="82">
        <f>J4/G4</f>
        <v>26.5625</v>
      </c>
      <c r="L4" s="70">
        <f t="shared" ref="L4" si="0">I4/J4</f>
        <v>17.943529411764708</v>
      </c>
      <c r="M4" s="89">
        <f>882+7626</f>
        <v>8508</v>
      </c>
      <c r="N4" s="69">
        <f>47+425</f>
        <v>472</v>
      </c>
      <c r="O4" s="70">
        <f>M4/N4</f>
        <v>18.025423728813561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42</v>
      </c>
      <c r="C5" s="72">
        <v>43875</v>
      </c>
      <c r="D5" s="73" t="s">
        <v>11</v>
      </c>
      <c r="E5" s="98" t="s">
        <v>15</v>
      </c>
      <c r="F5" s="101">
        <v>6</v>
      </c>
      <c r="G5" s="66">
        <v>6</v>
      </c>
      <c r="H5" s="87">
        <v>5</v>
      </c>
      <c r="I5" s="90">
        <v>4042.5</v>
      </c>
      <c r="J5" s="74">
        <v>183</v>
      </c>
      <c r="K5" s="80">
        <f>J5/G5</f>
        <v>30.5</v>
      </c>
      <c r="L5" s="75">
        <f>I5/J5</f>
        <v>22.090163934426229</v>
      </c>
      <c r="M5" s="90">
        <f>8336.5+107712.5+70355+48713+29420+4042.5</f>
        <v>268579.5</v>
      </c>
      <c r="N5" s="74">
        <f>585+6574+4093+2458+1479+183</f>
        <v>15372</v>
      </c>
      <c r="O5" s="75">
        <f>M5/N5</f>
        <v>17.471994535519126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1">A5+1</f>
        <v>3</v>
      </c>
      <c r="B6" s="95" t="s">
        <v>66</v>
      </c>
      <c r="C6" s="72">
        <v>43903</v>
      </c>
      <c r="D6" s="73" t="s">
        <v>11</v>
      </c>
      <c r="E6" s="98" t="s">
        <v>15</v>
      </c>
      <c r="F6" s="101">
        <v>10</v>
      </c>
      <c r="G6" s="66">
        <v>10</v>
      </c>
      <c r="H6" s="87">
        <v>1</v>
      </c>
      <c r="I6" s="90">
        <v>3403</v>
      </c>
      <c r="J6" s="74">
        <v>168</v>
      </c>
      <c r="K6" s="80">
        <f>J6/G6</f>
        <v>16.8</v>
      </c>
      <c r="L6" s="75">
        <f>I6/J6</f>
        <v>20.25595238095238</v>
      </c>
      <c r="M6" s="90">
        <f>14784.9+3403</f>
        <v>18187.900000000001</v>
      </c>
      <c r="N6" s="74">
        <f>1022+168</f>
        <v>1190</v>
      </c>
      <c r="O6" s="75">
        <f>M6/N6</f>
        <v>15.283949579831933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56</v>
      </c>
      <c r="C7" s="72">
        <v>43882</v>
      </c>
      <c r="D7" s="73" t="s">
        <v>11</v>
      </c>
      <c r="E7" s="98" t="s">
        <v>57</v>
      </c>
      <c r="F7" s="101">
        <v>4</v>
      </c>
      <c r="G7" s="66">
        <v>4</v>
      </c>
      <c r="H7" s="87">
        <v>4</v>
      </c>
      <c r="I7" s="90">
        <v>744</v>
      </c>
      <c r="J7" s="74">
        <v>41</v>
      </c>
      <c r="K7" s="80">
        <f>J7/G7</f>
        <v>10.25</v>
      </c>
      <c r="L7" s="75">
        <f>I7/J7</f>
        <v>18.146341463414632</v>
      </c>
      <c r="M7" s="90">
        <f>9551.75+52964+64828+13921+744</f>
        <v>142008.75</v>
      </c>
      <c r="N7" s="74">
        <f>955+2850+4318+880+41</f>
        <v>9044</v>
      </c>
      <c r="O7" s="75">
        <f>M7/N7</f>
        <v>15.701984741264926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69</v>
      </c>
      <c r="C8" s="72">
        <v>43924</v>
      </c>
      <c r="D8" s="73" t="s">
        <v>11</v>
      </c>
      <c r="E8" s="98" t="s">
        <v>15</v>
      </c>
      <c r="F8" s="101">
        <v>1</v>
      </c>
      <c r="G8" s="66">
        <v>1</v>
      </c>
      <c r="H8" s="87">
        <v>0</v>
      </c>
      <c r="I8" s="90">
        <v>516</v>
      </c>
      <c r="J8" s="74">
        <v>28</v>
      </c>
      <c r="K8" s="80">
        <f t="shared" ref="K8" si="2">J8/G8</f>
        <v>28</v>
      </c>
      <c r="L8" s="75">
        <f>I8/J8</f>
        <v>18.428571428571427</v>
      </c>
      <c r="M8" s="90">
        <f>6929.5+516</f>
        <v>7445.5</v>
      </c>
      <c r="N8" s="74">
        <f>526+28</f>
        <v>554</v>
      </c>
      <c r="O8" s="75">
        <f t="shared" ref="O8" si="3">M8/N8</f>
        <v>13.439530685920577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52</v>
      </c>
      <c r="C9" s="72">
        <v>43728</v>
      </c>
      <c r="D9" s="73" t="s">
        <v>11</v>
      </c>
      <c r="E9" s="98" t="s">
        <v>53</v>
      </c>
      <c r="F9" s="101">
        <v>1</v>
      </c>
      <c r="G9" s="66">
        <v>1</v>
      </c>
      <c r="H9" s="87">
        <v>15</v>
      </c>
      <c r="I9" s="90">
        <v>135</v>
      </c>
      <c r="J9" s="74">
        <v>9</v>
      </c>
      <c r="K9" s="80">
        <f t="shared" ref="K9" si="4">J9/G9</f>
        <v>9</v>
      </c>
      <c r="L9" s="75">
        <f t="shared" ref="L9:L11" si="5">I9/J9</f>
        <v>15</v>
      </c>
      <c r="M9" s="90">
        <f>203+8316+3571+49040.5+33049+12678+6825+7067+7987.4+3088.8+140+5482+1254+7227.8+3326.4+4180.4+950.4+135</f>
        <v>154521.69999999995</v>
      </c>
      <c r="N9" s="74">
        <f>13+832+243+3155+2323+864+498+625+687+309+9+518+92+724+333+407+95+9</f>
        <v>11736</v>
      </c>
      <c r="O9" s="75">
        <f t="shared" ref="O9" si="6">M9/N9</f>
        <v>13.166470688479887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1"/>
        <v>7</v>
      </c>
      <c r="B10" s="95" t="s">
        <v>23</v>
      </c>
      <c r="C10" s="72">
        <v>43805</v>
      </c>
      <c r="D10" s="73" t="s">
        <v>11</v>
      </c>
      <c r="E10" s="98" t="s">
        <v>20</v>
      </c>
      <c r="F10" s="101">
        <v>1</v>
      </c>
      <c r="G10" s="66">
        <v>1</v>
      </c>
      <c r="H10" s="87">
        <v>15</v>
      </c>
      <c r="I10" s="90">
        <v>115</v>
      </c>
      <c r="J10" s="74">
        <v>7</v>
      </c>
      <c r="K10" s="80">
        <f>J10/G10</f>
        <v>7</v>
      </c>
      <c r="L10" s="75">
        <f>I10/J10</f>
        <v>16.428571428571427</v>
      </c>
      <c r="M10" s="90">
        <f>4434+28254.5+170260+146303.5+95116.5+78842+61952+26920+28394+23155.59+15761+9642+2690+1405+3357.5+1145+115</f>
        <v>697747.59</v>
      </c>
      <c r="N10" s="74">
        <f>227+1876+10164+9071+5949+4703+3692+1405+1418+1283+874+667+160+84+236+66+7</f>
        <v>41882</v>
      </c>
      <c r="O10" s="75">
        <f>M10/N10</f>
        <v>16.659844085764767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1"/>
        <v>8</v>
      </c>
      <c r="B11" s="96" t="s">
        <v>28</v>
      </c>
      <c r="C11" s="76">
        <v>43847</v>
      </c>
      <c r="D11" s="71" t="s">
        <v>11</v>
      </c>
      <c r="E11" s="99" t="s">
        <v>15</v>
      </c>
      <c r="F11" s="102">
        <v>1</v>
      </c>
      <c r="G11" s="77">
        <v>1</v>
      </c>
      <c r="H11" s="88">
        <v>9</v>
      </c>
      <c r="I11" s="91">
        <v>30</v>
      </c>
      <c r="J11" s="78">
        <v>2</v>
      </c>
      <c r="K11" s="81">
        <f t="shared" ref="K11" si="7">J11/G11</f>
        <v>2</v>
      </c>
      <c r="L11" s="79">
        <f t="shared" si="5"/>
        <v>15</v>
      </c>
      <c r="M11" s="91">
        <f>7094+6322+81615.5+55490+18395+22750.99+7634+1726+1840+2743+30</f>
        <v>205640.49</v>
      </c>
      <c r="N11" s="78">
        <f>472+486+4852+3459+1110+1378+722+104+108+245+2</f>
        <v>12938</v>
      </c>
      <c r="O11" s="79">
        <f>M11/N11</f>
        <v>15.894302828876178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18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63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84">
        <v>1</v>
      </c>
      <c r="B4" s="92" t="s">
        <v>42</v>
      </c>
      <c r="C4" s="67">
        <v>43875</v>
      </c>
      <c r="D4" s="68" t="s">
        <v>11</v>
      </c>
      <c r="E4" s="97" t="s">
        <v>15</v>
      </c>
      <c r="F4" s="100">
        <v>10</v>
      </c>
      <c r="G4" s="93">
        <v>10</v>
      </c>
      <c r="H4" s="94">
        <v>4</v>
      </c>
      <c r="I4" s="89">
        <v>29420</v>
      </c>
      <c r="J4" s="69">
        <v>1479</v>
      </c>
      <c r="K4" s="82">
        <f>J4/G4</f>
        <v>147.9</v>
      </c>
      <c r="L4" s="70">
        <f>I4/J4</f>
        <v>19.89181879648411</v>
      </c>
      <c r="M4" s="89">
        <f>8336.5+107712.5+70355+48713+29420</f>
        <v>264537</v>
      </c>
      <c r="N4" s="69">
        <f>585+6574+4093+2458+1479</f>
        <v>15189</v>
      </c>
      <c r="O4" s="70">
        <f>M4/N4</f>
        <v>17.41635394035157</v>
      </c>
      <c r="P4" s="29"/>
      <c r="Q4" s="29"/>
      <c r="R4" s="29"/>
      <c r="S4" s="29"/>
    </row>
    <row r="5" spans="1:19" s="64" customFormat="1" ht="16.5" customHeight="1" x14ac:dyDescent="0.25">
      <c r="A5" s="85">
        <f>A4+1</f>
        <v>2</v>
      </c>
      <c r="B5" s="95" t="s">
        <v>66</v>
      </c>
      <c r="C5" s="72">
        <v>43903</v>
      </c>
      <c r="D5" s="73" t="s">
        <v>11</v>
      </c>
      <c r="E5" s="98" t="s">
        <v>15</v>
      </c>
      <c r="F5" s="101">
        <v>26</v>
      </c>
      <c r="G5" s="66">
        <v>26</v>
      </c>
      <c r="H5" s="87">
        <v>0</v>
      </c>
      <c r="I5" s="90">
        <v>14784.9</v>
      </c>
      <c r="J5" s="74">
        <v>1022</v>
      </c>
      <c r="K5" s="80">
        <f>J5/G5</f>
        <v>39.307692307692307</v>
      </c>
      <c r="L5" s="75">
        <f>I5/J5</f>
        <v>14.466634050880625</v>
      </c>
      <c r="M5" s="90">
        <f>14784.9</f>
        <v>14784.9</v>
      </c>
      <c r="N5" s="74">
        <f>1022</f>
        <v>1022</v>
      </c>
      <c r="O5" s="75">
        <f>M5/N5</f>
        <v>14.466634050880625</v>
      </c>
      <c r="P5" s="65"/>
      <c r="Q5" s="65"/>
      <c r="R5" s="65"/>
      <c r="S5" s="65"/>
    </row>
    <row r="6" spans="1:19" s="14" customFormat="1" ht="16.5" customHeight="1" x14ac:dyDescent="0.25">
      <c r="A6" s="85">
        <f t="shared" ref="A6:A18" si="0">A5+1</f>
        <v>3</v>
      </c>
      <c r="B6" s="95" t="s">
        <v>56</v>
      </c>
      <c r="C6" s="72">
        <v>43882</v>
      </c>
      <c r="D6" s="73" t="s">
        <v>11</v>
      </c>
      <c r="E6" s="98" t="s">
        <v>57</v>
      </c>
      <c r="F6" s="101">
        <v>8</v>
      </c>
      <c r="G6" s="66">
        <v>8</v>
      </c>
      <c r="H6" s="87">
        <v>3</v>
      </c>
      <c r="I6" s="90">
        <v>13921</v>
      </c>
      <c r="J6" s="74">
        <v>880</v>
      </c>
      <c r="K6" s="80">
        <f>J6/G6</f>
        <v>110</v>
      </c>
      <c r="L6" s="75">
        <f>I6/J6</f>
        <v>15.819318181818181</v>
      </c>
      <c r="M6" s="90">
        <f>9551.75+52964+64828+13921</f>
        <v>141264.75</v>
      </c>
      <c r="N6" s="74">
        <f>955+2850+4318+880</f>
        <v>9003</v>
      </c>
      <c r="O6" s="75">
        <f>M6/N6</f>
        <v>15.690853048983673</v>
      </c>
      <c r="P6" s="29"/>
      <c r="Q6" s="29"/>
      <c r="R6" s="29"/>
      <c r="S6" s="29"/>
    </row>
    <row r="7" spans="1:19" ht="16.5" customHeight="1" x14ac:dyDescent="0.25">
      <c r="A7" s="85">
        <f t="shared" si="0"/>
        <v>4</v>
      </c>
      <c r="B7" s="95" t="s">
        <v>64</v>
      </c>
      <c r="C7" s="72">
        <v>43826</v>
      </c>
      <c r="D7" s="73" t="s">
        <v>11</v>
      </c>
      <c r="E7" s="98" t="s">
        <v>15</v>
      </c>
      <c r="F7" s="101">
        <v>1</v>
      </c>
      <c r="G7" s="66">
        <v>1</v>
      </c>
      <c r="H7" s="87">
        <v>0</v>
      </c>
      <c r="I7" s="90">
        <v>3358</v>
      </c>
      <c r="J7" s="74">
        <v>179</v>
      </c>
      <c r="K7" s="80">
        <v>49.956521739130437</v>
      </c>
      <c r="L7" s="75">
        <v>13.489120974760661</v>
      </c>
      <c r="M7" s="90">
        <f>15499+3358</f>
        <v>18857</v>
      </c>
      <c r="N7" s="74">
        <f>1149+179</f>
        <v>1328</v>
      </c>
      <c r="O7" s="75">
        <v>13.489120974760661</v>
      </c>
      <c r="P7" s="65"/>
      <c r="Q7" s="65"/>
      <c r="R7" s="65"/>
      <c r="S7" s="65"/>
    </row>
    <row r="8" spans="1:19" s="14" customFormat="1" ht="16.5" customHeight="1" x14ac:dyDescent="0.25">
      <c r="A8" s="85">
        <f t="shared" si="0"/>
        <v>5</v>
      </c>
      <c r="B8" s="95" t="s">
        <v>28</v>
      </c>
      <c r="C8" s="72">
        <v>43847</v>
      </c>
      <c r="D8" s="73" t="s">
        <v>11</v>
      </c>
      <c r="E8" s="98" t="s">
        <v>15</v>
      </c>
      <c r="F8" s="101">
        <v>4</v>
      </c>
      <c r="G8" s="66">
        <v>4</v>
      </c>
      <c r="H8" s="87">
        <v>8</v>
      </c>
      <c r="I8" s="90">
        <v>2743</v>
      </c>
      <c r="J8" s="74">
        <v>245</v>
      </c>
      <c r="K8" s="80">
        <f>J8/G8</f>
        <v>61.25</v>
      </c>
      <c r="L8" s="75">
        <f>I8/J8</f>
        <v>11.195918367346939</v>
      </c>
      <c r="M8" s="90">
        <f>7094+6322+81615.5+55490+18395+22750.99+7634+1726+1840+2743</f>
        <v>205610.49</v>
      </c>
      <c r="N8" s="74">
        <f>472+486+4852+3459+1110+1378+722+104+108+245</f>
        <v>12936</v>
      </c>
      <c r="O8" s="75">
        <f>M8/N8</f>
        <v>15.894441094619665</v>
      </c>
      <c r="P8" s="29"/>
      <c r="Q8" s="29"/>
      <c r="R8" s="29"/>
      <c r="S8" s="29"/>
    </row>
    <row r="9" spans="1:19" s="64" customFormat="1" ht="16.5" customHeight="1" x14ac:dyDescent="0.25">
      <c r="A9" s="85">
        <f t="shared" si="0"/>
        <v>6</v>
      </c>
      <c r="B9" s="95" t="s">
        <v>65</v>
      </c>
      <c r="C9" s="72">
        <v>43917</v>
      </c>
      <c r="D9" s="73" t="s">
        <v>11</v>
      </c>
      <c r="E9" s="98" t="s">
        <v>20</v>
      </c>
      <c r="F9" s="101">
        <v>12</v>
      </c>
      <c r="G9" s="66">
        <v>12</v>
      </c>
      <c r="H9" s="87">
        <v>0</v>
      </c>
      <c r="I9" s="90">
        <v>2466</v>
      </c>
      <c r="J9" s="74">
        <v>201</v>
      </c>
      <c r="K9" s="80">
        <f t="shared" ref="K9" si="1">J9/G9</f>
        <v>16.75</v>
      </c>
      <c r="L9" s="75">
        <f t="shared" ref="L9" si="2">I9/J9</f>
        <v>12.26865671641791</v>
      </c>
      <c r="M9" s="90">
        <f>2466</f>
        <v>2466</v>
      </c>
      <c r="N9" s="74">
        <f>201</f>
        <v>201</v>
      </c>
      <c r="O9" s="75">
        <f t="shared" ref="O9" si="3">M9/N9</f>
        <v>12.26865671641791</v>
      </c>
      <c r="P9" s="65"/>
      <c r="Q9" s="65"/>
      <c r="R9" s="65"/>
      <c r="S9" s="65"/>
    </row>
    <row r="10" spans="1:19" ht="16.5" customHeight="1" x14ac:dyDescent="0.25">
      <c r="A10" s="85">
        <f t="shared" si="0"/>
        <v>7</v>
      </c>
      <c r="B10" s="95" t="s">
        <v>67</v>
      </c>
      <c r="C10" s="72">
        <v>43441</v>
      </c>
      <c r="D10" s="73" t="s">
        <v>11</v>
      </c>
      <c r="E10" s="98" t="s">
        <v>45</v>
      </c>
      <c r="F10" s="101">
        <v>1</v>
      </c>
      <c r="G10" s="66">
        <v>1</v>
      </c>
      <c r="H10" s="87">
        <v>11</v>
      </c>
      <c r="I10" s="90">
        <v>2376</v>
      </c>
      <c r="J10" s="74">
        <v>238</v>
      </c>
      <c r="K10" s="80">
        <v>71</v>
      </c>
      <c r="L10" s="75">
        <v>10.039436619718309</v>
      </c>
      <c r="M10" s="90">
        <f>89691.02+2376</f>
        <v>92067.02</v>
      </c>
      <c r="N10" s="74">
        <f>7738+238</f>
        <v>7976</v>
      </c>
      <c r="O10" s="75">
        <v>11.590982165934351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16</v>
      </c>
      <c r="C11" s="72">
        <v>43434</v>
      </c>
      <c r="D11" s="73" t="s">
        <v>11</v>
      </c>
      <c r="E11" s="98" t="s">
        <v>17</v>
      </c>
      <c r="F11" s="101">
        <v>1</v>
      </c>
      <c r="G11" s="66">
        <v>1</v>
      </c>
      <c r="H11" s="87">
        <v>24</v>
      </c>
      <c r="I11" s="90">
        <v>1782</v>
      </c>
      <c r="J11" s="74">
        <v>178</v>
      </c>
      <c r="K11" s="80">
        <f>J11/G11</f>
        <v>178</v>
      </c>
      <c r="L11" s="75">
        <f>I11/J11</f>
        <v>10.011235955056179</v>
      </c>
      <c r="M11" s="90">
        <f>2313+12582.72+6874.81+3062+163+408+831.6+2613.6+1900.8+2376+2138.4+1425.6+4633.21+2970+1188+3088.8+5940+2970+559+712.8+2376+2376+375+2376+1782</f>
        <v>68036.34</v>
      </c>
      <c r="N11" s="74">
        <f>190+901+543+542+27+34+166+523+380+475+428+285+927+594+238+618+1188+594+35+71+238+238+25+238+178</f>
        <v>9676</v>
      </c>
      <c r="O11" s="75">
        <f>M11/N11</f>
        <v>7.0314530797850345</v>
      </c>
      <c r="P11" s="65"/>
      <c r="Q11" s="65"/>
      <c r="R11" s="65"/>
      <c r="S11" s="65"/>
    </row>
    <row r="12" spans="1:19" s="14" customFormat="1" ht="16.5" customHeight="1" x14ac:dyDescent="0.25">
      <c r="A12" s="85">
        <f t="shared" si="0"/>
        <v>9</v>
      </c>
      <c r="B12" s="95" t="s">
        <v>36</v>
      </c>
      <c r="C12" s="72">
        <v>43861</v>
      </c>
      <c r="D12" s="73" t="s">
        <v>11</v>
      </c>
      <c r="E12" s="98" t="s">
        <v>20</v>
      </c>
      <c r="F12" s="101">
        <v>2</v>
      </c>
      <c r="G12" s="66">
        <v>2</v>
      </c>
      <c r="H12" s="87">
        <v>6</v>
      </c>
      <c r="I12" s="103">
        <v>1181.4000000000001</v>
      </c>
      <c r="J12" s="104">
        <v>108</v>
      </c>
      <c r="K12" s="80">
        <f>J12/G12</f>
        <v>54</v>
      </c>
      <c r="L12" s="75">
        <f t="shared" ref="L12" si="4">I12/J12</f>
        <v>10.93888888888889</v>
      </c>
      <c r="M12" s="90">
        <f>15864.1+66003+34616+26136.8+4695+4221.59+1181.4</f>
        <v>152717.88999999998</v>
      </c>
      <c r="N12" s="74">
        <f>1102+4234+2166+1585+312+369+108</f>
        <v>9876</v>
      </c>
      <c r="O12" s="75">
        <f>M12/N12</f>
        <v>15.463536857027135</v>
      </c>
      <c r="P12" s="29"/>
      <c r="Q12" s="29"/>
      <c r="R12" s="29"/>
      <c r="S12" s="29"/>
    </row>
    <row r="13" spans="1:19" s="14" customFormat="1" ht="16.5" customHeight="1" x14ac:dyDescent="0.25">
      <c r="A13" s="85">
        <f t="shared" si="0"/>
        <v>10</v>
      </c>
      <c r="B13" s="95" t="s">
        <v>23</v>
      </c>
      <c r="C13" s="72">
        <v>43805</v>
      </c>
      <c r="D13" s="73" t="s">
        <v>11</v>
      </c>
      <c r="E13" s="98" t="s">
        <v>20</v>
      </c>
      <c r="F13" s="101">
        <v>1</v>
      </c>
      <c r="G13" s="66">
        <v>1</v>
      </c>
      <c r="H13" s="87">
        <v>14</v>
      </c>
      <c r="I13" s="90">
        <v>1145</v>
      </c>
      <c r="J13" s="74">
        <v>66</v>
      </c>
      <c r="K13" s="80">
        <f>J13/G13</f>
        <v>66</v>
      </c>
      <c r="L13" s="75">
        <f>I13/J13</f>
        <v>17.348484848484848</v>
      </c>
      <c r="M13" s="90">
        <f>4434+28254.5+170260+146303.5+95116.5+78842+61952+26920+28394+23155.59+15761+9642+2690+1405+3357.5+1145</f>
        <v>697632.59</v>
      </c>
      <c r="N13" s="74">
        <f>227+1876+10164+9071+5949+4703+3692+1405+1418+1283+874+667+160+84+236+66</f>
        <v>41875</v>
      </c>
      <c r="O13" s="75">
        <f>M13/N13</f>
        <v>16.659882746268657</v>
      </c>
      <c r="P13" s="29"/>
      <c r="Q13" s="29"/>
      <c r="R13" s="29"/>
      <c r="S13" s="29"/>
    </row>
    <row r="14" spans="1:19" s="14" customFormat="1" ht="16.5" customHeight="1" x14ac:dyDescent="0.25">
      <c r="A14" s="85">
        <f t="shared" si="0"/>
        <v>11</v>
      </c>
      <c r="B14" s="95" t="s">
        <v>62</v>
      </c>
      <c r="C14" s="72">
        <v>43476</v>
      </c>
      <c r="D14" s="73" t="s">
        <v>11</v>
      </c>
      <c r="E14" s="98" t="s">
        <v>15</v>
      </c>
      <c r="F14" s="101">
        <v>1</v>
      </c>
      <c r="G14" s="66">
        <v>1</v>
      </c>
      <c r="H14" s="87">
        <v>16</v>
      </c>
      <c r="I14" s="90">
        <v>1193.9000000000001</v>
      </c>
      <c r="J14" s="74">
        <v>118</v>
      </c>
      <c r="K14" s="80">
        <f>J14/G14</f>
        <v>118</v>
      </c>
      <c r="L14" s="75">
        <f t="shared" ref="L14" si="5">I14/J14</f>
        <v>10.117796610169492</v>
      </c>
      <c r="M14" s="90">
        <f>1133.86+5136.8+71476.18+37543.29+18213.08+9578.2+2445+1095+831.6+4756.9+4158+1188+3326.4+8316+712.8+177+3334+1193.9</f>
        <v>174616.01</v>
      </c>
      <c r="N14" s="74">
        <f>81+394+5116+3707+1170+621+253+128+166+372+831+238+665+832+71+32+175+118</f>
        <v>14970</v>
      </c>
      <c r="O14" s="75">
        <f>M14/N14</f>
        <v>11.664396125584503</v>
      </c>
      <c r="P14" s="29"/>
      <c r="Q14" s="29"/>
      <c r="R14" s="29"/>
      <c r="S14" s="29"/>
    </row>
    <row r="15" spans="1:19" s="64" customFormat="1" ht="16.5" customHeight="1" x14ac:dyDescent="0.25">
      <c r="A15" s="85">
        <f t="shared" si="0"/>
        <v>12</v>
      </c>
      <c r="B15" s="95" t="s">
        <v>31</v>
      </c>
      <c r="C15" s="72">
        <v>43784</v>
      </c>
      <c r="D15" s="73" t="s">
        <v>11</v>
      </c>
      <c r="E15" s="98" t="s">
        <v>15</v>
      </c>
      <c r="F15" s="101">
        <v>1</v>
      </c>
      <c r="G15" s="66">
        <v>1</v>
      </c>
      <c r="H15" s="87">
        <v>10</v>
      </c>
      <c r="I15" s="90">
        <v>831.59</v>
      </c>
      <c r="J15" s="74">
        <v>83</v>
      </c>
      <c r="K15" s="80">
        <f>J15/G15</f>
        <v>83</v>
      </c>
      <c r="L15" s="75">
        <f>I15/J15</f>
        <v>10.019156626506025</v>
      </c>
      <c r="M15" s="90">
        <f>17571.5+113896.5+89784.5+34684+17899+6786+3475+230+2138.4+2327+831.59</f>
        <v>289623.49000000005</v>
      </c>
      <c r="N15" s="74">
        <f>1270+6725+5506+2074+1033+370+185+23+214+148+83</f>
        <v>17631</v>
      </c>
      <c r="O15" s="75">
        <f>M15/N15</f>
        <v>16.426946287788557</v>
      </c>
      <c r="P15" s="65"/>
      <c r="Q15" s="65"/>
      <c r="R15" s="65"/>
      <c r="S15" s="65"/>
    </row>
    <row r="16" spans="1:19" s="14" customFormat="1" ht="16.5" customHeight="1" x14ac:dyDescent="0.25">
      <c r="A16" s="85">
        <f t="shared" si="0"/>
        <v>13</v>
      </c>
      <c r="B16" s="95" t="s">
        <v>48</v>
      </c>
      <c r="C16" s="72">
        <v>43868</v>
      </c>
      <c r="D16" s="73" t="s">
        <v>11</v>
      </c>
      <c r="E16" s="98" t="s">
        <v>15</v>
      </c>
      <c r="F16" s="101">
        <v>3</v>
      </c>
      <c r="G16" s="66">
        <v>3</v>
      </c>
      <c r="H16" s="87">
        <v>5</v>
      </c>
      <c r="I16" s="90">
        <v>364</v>
      </c>
      <c r="J16" s="74">
        <v>42</v>
      </c>
      <c r="K16" s="80">
        <f t="shared" ref="K16" si="6">J16/G16</f>
        <v>14</v>
      </c>
      <c r="L16" s="75">
        <f>I16/J16</f>
        <v>8.6666666666666661</v>
      </c>
      <c r="M16" s="90">
        <f>14336+3202+732+5954.8+364</f>
        <v>24588.799999999999</v>
      </c>
      <c r="N16" s="74">
        <f>763+294+117+649+42</f>
        <v>1865</v>
      </c>
      <c r="O16" s="75">
        <f t="shared" ref="O16" si="7">M16/N16</f>
        <v>13.184343163538873</v>
      </c>
      <c r="P16" s="29"/>
      <c r="Q16" s="29"/>
      <c r="R16" s="29"/>
      <c r="S16" s="29"/>
    </row>
    <row r="17" spans="1:19" ht="16.5" customHeight="1" x14ac:dyDescent="0.25">
      <c r="A17" s="85">
        <f t="shared" si="0"/>
        <v>14</v>
      </c>
      <c r="B17" s="95" t="s">
        <v>58</v>
      </c>
      <c r="C17" s="72">
        <v>43518</v>
      </c>
      <c r="D17" s="73" t="s">
        <v>11</v>
      </c>
      <c r="E17" s="98" t="s">
        <v>20</v>
      </c>
      <c r="F17" s="101">
        <v>1</v>
      </c>
      <c r="G17" s="66">
        <v>1</v>
      </c>
      <c r="H17" s="87">
        <v>26</v>
      </c>
      <c r="I17" s="90">
        <v>665</v>
      </c>
      <c r="J17" s="74">
        <v>42</v>
      </c>
      <c r="K17" s="80">
        <f>J17/G17</f>
        <v>42</v>
      </c>
      <c r="L17" s="75">
        <f>I17/J17</f>
        <v>15.833333333333334</v>
      </c>
      <c r="M17" s="90">
        <f>951.93+2376+5504+5575.2+202975.26+83323.68+28927.78+14461.27+6846.21+4716+6329.9+712.8+3207.6+1425.6+3670+3326.4+1575+5940+5976+3564+2376+8316+32+48+32+2376+3088.8+1270+575+665</f>
        <v>410163.43</v>
      </c>
      <c r="N17" s="74">
        <f>68+475+339+348+13634+6300+1973+1006+652+359+1193+143+641+285+263+665+265+1188+1195+713+475+832+4+6+4+238+309+76+34+42</f>
        <v>33725</v>
      </c>
      <c r="O17" s="75">
        <f>M17/N17</f>
        <v>12.161999406968125</v>
      </c>
    </row>
    <row r="18" spans="1:19" s="64" customFormat="1" ht="16.5" customHeight="1" x14ac:dyDescent="0.25">
      <c r="A18" s="86">
        <f t="shared" si="0"/>
        <v>15</v>
      </c>
      <c r="B18" s="96" t="s">
        <v>26</v>
      </c>
      <c r="C18" s="76">
        <v>43798</v>
      </c>
      <c r="D18" s="71" t="s">
        <v>11</v>
      </c>
      <c r="E18" s="99" t="s">
        <v>15</v>
      </c>
      <c r="F18" s="102">
        <v>1</v>
      </c>
      <c r="G18" s="77">
        <v>1</v>
      </c>
      <c r="H18" s="88">
        <v>10</v>
      </c>
      <c r="I18" s="91">
        <v>64</v>
      </c>
      <c r="J18" s="78">
        <v>6</v>
      </c>
      <c r="K18" s="81">
        <f t="shared" ref="K18" si="8">J18/G18</f>
        <v>6</v>
      </c>
      <c r="L18" s="79">
        <f t="shared" ref="L18" si="9">I18/J18</f>
        <v>10.666666666666666</v>
      </c>
      <c r="M18" s="91">
        <f>57609+14732+14190.8+9119+2690+831.59+2138.4+48+72+64</f>
        <v>101494.79</v>
      </c>
      <c r="N18" s="78">
        <f>3514+958+1037+733+161+83+214+6+9+6</f>
        <v>6721</v>
      </c>
      <c r="O18" s="79">
        <f t="shared" ref="O18" si="10">M18/N18</f>
        <v>15.101144174973962</v>
      </c>
      <c r="P18" s="65"/>
      <c r="Q18" s="65"/>
      <c r="R18" s="65"/>
      <c r="S18" s="65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8" t="s">
        <v>10</v>
      </c>
      <c r="B1" s="109"/>
      <c r="C1" s="109"/>
      <c r="D1" s="109"/>
      <c r="E1" s="109"/>
      <c r="F1" s="110"/>
      <c r="G1" s="110"/>
      <c r="H1" s="110"/>
      <c r="I1" s="110"/>
      <c r="J1" s="110"/>
      <c r="K1" s="110"/>
      <c r="L1" s="111"/>
      <c r="M1" s="112" t="s">
        <v>59</v>
      </c>
      <c r="N1" s="113"/>
      <c r="O1" s="114"/>
    </row>
    <row r="2" spans="1:19" s="1" customFormat="1" ht="20.100000000000001" customHeight="1" x14ac:dyDescent="0.25">
      <c r="A2" s="40"/>
      <c r="B2" s="115" t="s">
        <v>0</v>
      </c>
      <c r="C2" s="117" t="s">
        <v>1</v>
      </c>
      <c r="D2" s="119" t="s">
        <v>2</v>
      </c>
      <c r="E2" s="121" t="s">
        <v>3</v>
      </c>
      <c r="F2" s="123" t="s">
        <v>12</v>
      </c>
      <c r="G2" s="119" t="s">
        <v>13</v>
      </c>
      <c r="H2" s="125" t="s">
        <v>14</v>
      </c>
      <c r="I2" s="105" t="s">
        <v>4</v>
      </c>
      <c r="J2" s="106"/>
      <c r="K2" s="106"/>
      <c r="L2" s="107"/>
      <c r="M2" s="105" t="s">
        <v>5</v>
      </c>
      <c r="N2" s="106"/>
      <c r="O2" s="107"/>
      <c r="P2" s="13"/>
      <c r="Q2" s="13"/>
      <c r="R2" s="13"/>
      <c r="S2" s="13"/>
    </row>
    <row r="3" spans="1:19" s="1" customFormat="1" ht="20.100000000000001" customHeight="1" x14ac:dyDescent="0.25">
      <c r="A3" s="41"/>
      <c r="B3" s="116"/>
      <c r="C3" s="118"/>
      <c r="D3" s="120"/>
      <c r="E3" s="122"/>
      <c r="F3" s="124"/>
      <c r="G3" s="120"/>
      <c r="H3" s="126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56</v>
      </c>
      <c r="C4" s="63">
        <v>43882</v>
      </c>
      <c r="D4" s="16" t="s">
        <v>11</v>
      </c>
      <c r="E4" s="61" t="s">
        <v>57</v>
      </c>
      <c r="F4" s="54">
        <v>30</v>
      </c>
      <c r="G4" s="38">
        <v>30</v>
      </c>
      <c r="H4" s="39">
        <v>2</v>
      </c>
      <c r="I4" s="35">
        <v>64828</v>
      </c>
      <c r="J4" s="17">
        <v>4318</v>
      </c>
      <c r="K4" s="28">
        <f>J4/G4</f>
        <v>143.93333333333334</v>
      </c>
      <c r="L4" s="18">
        <f>I4/J4</f>
        <v>15.013432144511349</v>
      </c>
      <c r="M4" s="35">
        <f>9551.75+52964+64828</f>
        <v>127343.75</v>
      </c>
      <c r="N4" s="17">
        <f>955+2850+4318</f>
        <v>8123</v>
      </c>
      <c r="O4" s="18">
        <f>M4/N4</f>
        <v>15.676935861135048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42</v>
      </c>
      <c r="C5" s="48">
        <v>43875</v>
      </c>
      <c r="D5" s="20" t="s">
        <v>11</v>
      </c>
      <c r="E5" s="50" t="s">
        <v>15</v>
      </c>
      <c r="F5" s="55">
        <v>12</v>
      </c>
      <c r="G5" s="15">
        <v>12</v>
      </c>
      <c r="H5" s="33">
        <v>3</v>
      </c>
      <c r="I5" s="36">
        <v>48713</v>
      </c>
      <c r="J5" s="21">
        <v>2458</v>
      </c>
      <c r="K5" s="26">
        <f>J5/G5</f>
        <v>204.83333333333334</v>
      </c>
      <c r="L5" s="22">
        <f>I5/J5</f>
        <v>19.818144833197721</v>
      </c>
      <c r="M5" s="36">
        <f>8336.5+107712.5+70355+48713</f>
        <v>235117</v>
      </c>
      <c r="N5" s="21">
        <f>585+6574+4093+2458</f>
        <v>13710</v>
      </c>
      <c r="O5" s="22">
        <f>M5/N5</f>
        <v>17.149307075127645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9" t="s">
        <v>60</v>
      </c>
      <c r="C6" s="48" t="s">
        <v>34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12596</v>
      </c>
      <c r="J6" s="21">
        <v>801</v>
      </c>
      <c r="K6" s="26">
        <f t="shared" ref="K6" si="1">J6/G6</f>
        <v>80.099999999999994</v>
      </c>
      <c r="L6" s="22">
        <f t="shared" ref="L6" si="2">I6/J6</f>
        <v>15.725343320848939</v>
      </c>
      <c r="M6" s="36">
        <f>12596</f>
        <v>12596</v>
      </c>
      <c r="N6" s="21">
        <f>801</f>
        <v>801</v>
      </c>
      <c r="O6" s="22">
        <f t="shared" ref="O6" si="3">M6/N6</f>
        <v>15.725343320848939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48</v>
      </c>
      <c r="C7" s="48">
        <v>43868</v>
      </c>
      <c r="D7" s="20" t="s">
        <v>11</v>
      </c>
      <c r="E7" s="50" t="s">
        <v>15</v>
      </c>
      <c r="F7" s="55">
        <v>5</v>
      </c>
      <c r="G7" s="15">
        <v>5</v>
      </c>
      <c r="H7" s="33">
        <v>4</v>
      </c>
      <c r="I7" s="36">
        <v>5954.8</v>
      </c>
      <c r="J7" s="21">
        <v>649</v>
      </c>
      <c r="K7" s="26">
        <f t="shared" ref="K7" si="4">J7/G7</f>
        <v>129.80000000000001</v>
      </c>
      <c r="L7" s="22">
        <f>I7/J7</f>
        <v>9.1753466872110945</v>
      </c>
      <c r="M7" s="36">
        <f>14336+3202+732+5954.8</f>
        <v>24224.799999999999</v>
      </c>
      <c r="N7" s="21">
        <f>763+294+117+649</f>
        <v>1823</v>
      </c>
      <c r="O7" s="22">
        <f t="shared" ref="O7" si="5">M7/N7</f>
        <v>13.28842567196928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36</v>
      </c>
      <c r="C8" s="48">
        <v>43861</v>
      </c>
      <c r="D8" s="20" t="s">
        <v>11</v>
      </c>
      <c r="E8" s="50" t="s">
        <v>20</v>
      </c>
      <c r="F8" s="55">
        <v>5</v>
      </c>
      <c r="G8" s="15">
        <v>5</v>
      </c>
      <c r="H8" s="33">
        <v>5</v>
      </c>
      <c r="I8" s="36">
        <v>4221.59</v>
      </c>
      <c r="J8" s="21">
        <v>369</v>
      </c>
      <c r="K8" s="26">
        <f t="shared" ref="K8" si="6">J8/G8</f>
        <v>73.8</v>
      </c>
      <c r="L8" s="22">
        <f t="shared" ref="L8" si="7">I8/J8</f>
        <v>11.440623306233062</v>
      </c>
      <c r="M8" s="36">
        <f>15864.1+66003+34616+26136.8+4695+4221.59</f>
        <v>151536.49</v>
      </c>
      <c r="N8" s="21">
        <f>1102+4234+2166+1585+312+369</f>
        <v>9768</v>
      </c>
      <c r="O8" s="22">
        <f t="shared" ref="O8" si="8">M8/N8</f>
        <v>15.513563677313677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4</v>
      </c>
      <c r="G9" s="15">
        <v>4</v>
      </c>
      <c r="H9" s="33">
        <v>13</v>
      </c>
      <c r="I9" s="36">
        <v>3357.5</v>
      </c>
      <c r="J9" s="21">
        <v>236</v>
      </c>
      <c r="K9" s="26">
        <f>J9/G9</f>
        <v>59</v>
      </c>
      <c r="L9" s="22">
        <f>I9/J9</f>
        <v>14.226694915254237</v>
      </c>
      <c r="M9" s="36">
        <f>4434+28254.5+170260+146303.5+95116.5+78842+61952+26920+28394+23155.59+15761+9642+2690+1405+3357.5</f>
        <v>696487.59</v>
      </c>
      <c r="N9" s="21">
        <f>227+1876+10164+9071+5949+4703+3692+1405+1418+1283+874+667+160+84+236</f>
        <v>41809</v>
      </c>
      <c r="O9" s="22">
        <f>M9/N9</f>
        <v>16.658795713841517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62</v>
      </c>
      <c r="C10" s="48">
        <v>43476</v>
      </c>
      <c r="D10" s="20" t="s">
        <v>11</v>
      </c>
      <c r="E10" s="50" t="s">
        <v>15</v>
      </c>
      <c r="F10" s="55">
        <v>1</v>
      </c>
      <c r="G10" s="15">
        <v>1</v>
      </c>
      <c r="H10" s="33">
        <v>15</v>
      </c>
      <c r="I10" s="36">
        <v>3334</v>
      </c>
      <c r="J10" s="21">
        <v>175</v>
      </c>
      <c r="K10" s="26">
        <f>J10/G10</f>
        <v>175</v>
      </c>
      <c r="L10" s="22">
        <f t="shared" ref="L10" si="9">I10/J10</f>
        <v>19.05142857142857</v>
      </c>
      <c r="M10" s="36">
        <f>1133.86+5136.8+71476.18+37543.29+18213.08+9578.2+2445+1095+831.6+4756.9+4158+1188+3326.4+8316+712.8+177+3334</f>
        <v>173422.11000000002</v>
      </c>
      <c r="N10" s="21">
        <f>81+394+5116+3707+1170+621+253+128+166+372+831+238+665+832+71+32+175</f>
        <v>14852</v>
      </c>
      <c r="O10" s="22">
        <f>M10/N10</f>
        <v>11.676683948289794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28</v>
      </c>
      <c r="C11" s="48">
        <v>43847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1840</v>
      </c>
      <c r="J11" s="21">
        <v>108</v>
      </c>
      <c r="K11" s="26">
        <f>J11/G11</f>
        <v>108</v>
      </c>
      <c r="L11" s="22">
        <f>I11/J11</f>
        <v>17.037037037037038</v>
      </c>
      <c r="M11" s="36">
        <f>7094+6322+81615.5+55490+18395+22750.99+7634+1726+1840</f>
        <v>202867.49</v>
      </c>
      <c r="N11" s="21">
        <f>472+486+4852+3459+1110+1378+722+104+108</f>
        <v>12691</v>
      </c>
      <c r="O11" s="22">
        <f>M11/N11</f>
        <v>15.985146166574737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61</v>
      </c>
      <c r="C12" s="48">
        <v>43903</v>
      </c>
      <c r="D12" s="20" t="s">
        <v>11</v>
      </c>
      <c r="E12" s="50" t="s">
        <v>20</v>
      </c>
      <c r="F12" s="55">
        <v>1</v>
      </c>
      <c r="G12" s="15">
        <v>1</v>
      </c>
      <c r="H12" s="33">
        <v>0</v>
      </c>
      <c r="I12" s="36">
        <v>882</v>
      </c>
      <c r="J12" s="21">
        <v>47</v>
      </c>
      <c r="K12" s="26">
        <f t="shared" ref="K12" si="10">J12/G12</f>
        <v>47</v>
      </c>
      <c r="L12" s="22">
        <f t="shared" ref="L12" si="11">I12/J12</f>
        <v>18.76595744680851</v>
      </c>
      <c r="M12" s="36">
        <f>882</f>
        <v>882</v>
      </c>
      <c r="N12" s="21">
        <f>47</f>
        <v>47</v>
      </c>
      <c r="O12" s="22">
        <f t="shared" ref="O12" si="12">M12/N12</f>
        <v>18.76595744680851</v>
      </c>
      <c r="P12" s="29"/>
      <c r="Q12" s="29"/>
      <c r="R12" s="29"/>
      <c r="S12" s="29"/>
    </row>
    <row r="13" spans="1:19" ht="16.5" customHeight="1" x14ac:dyDescent="0.25">
      <c r="A13" s="32">
        <f t="shared" si="0"/>
        <v>10</v>
      </c>
      <c r="B13" s="51" t="s">
        <v>58</v>
      </c>
      <c r="C13" s="52">
        <v>43518</v>
      </c>
      <c r="D13" s="19" t="s">
        <v>11</v>
      </c>
      <c r="E13" s="53" t="s">
        <v>20</v>
      </c>
      <c r="F13" s="56">
        <v>1</v>
      </c>
      <c r="G13" s="23">
        <v>1</v>
      </c>
      <c r="H13" s="34">
        <v>25</v>
      </c>
      <c r="I13" s="37">
        <v>575</v>
      </c>
      <c r="J13" s="24">
        <v>34</v>
      </c>
      <c r="K13" s="27">
        <f>J13/G13</f>
        <v>34</v>
      </c>
      <c r="L13" s="25">
        <f>I13/J13</f>
        <v>16.911764705882351</v>
      </c>
      <c r="M13" s="37">
        <f>951.93+2376+5504+5575.2+202975.26+83323.68+28927.78+14461.27+6846.21+4716+6329.9+712.8+3207.6+1425.6+3670+3326.4+1575+5940+5976+3564+2376+8316+32+48+32+2376+3088.8+1270+575</f>
        <v>409498.43</v>
      </c>
      <c r="N13" s="24">
        <f>68+475+339+348+13634+6300+1973+1006+652+359+1193+143+641+285+263+665+265+1188+1195+713+475+832+4+6+4+238+309+76+34</f>
        <v>33683</v>
      </c>
      <c r="O13" s="25">
        <f>M13/N13</f>
        <v>12.15742154796188</v>
      </c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2020_32</vt:lpstr>
      <vt:lpstr>2020_31</vt:lpstr>
      <vt:lpstr>2020_30</vt:lpstr>
      <vt:lpstr>2020_29</vt:lpstr>
      <vt:lpstr>2020_28</vt:lpstr>
      <vt:lpstr>2020_27</vt:lpstr>
      <vt:lpstr>2020_11</vt:lpstr>
      <vt:lpstr>2020_10</vt:lpstr>
      <vt:lpstr>2020_09</vt:lpstr>
      <vt:lpstr>2020_08</vt:lpstr>
      <vt:lpstr>2020_07</vt:lpstr>
      <vt:lpstr>2020_06</vt:lpstr>
      <vt:lpstr>2020_05</vt:lpstr>
      <vt:lpstr>2020_04</vt:lpstr>
      <vt:lpstr>2020_03</vt:lpstr>
      <vt:lpstr>2020_02</vt:lpstr>
      <vt:lpstr>2020_01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_bLu3</cp:lastModifiedBy>
  <cp:lastPrinted>2017-04-14T13:11:00Z</cp:lastPrinted>
  <dcterms:created xsi:type="dcterms:W3CDTF">2016-01-11T07:44:58Z</dcterms:created>
  <dcterms:modified xsi:type="dcterms:W3CDTF">2020-08-14T08:16:05Z</dcterms:modified>
</cp:coreProperties>
</file>