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0_30_24-30.07" sheetId="221" r:id="rId1"/>
    <sheet name="2020_29_17-23.07" sheetId="220" r:id="rId2"/>
    <sheet name="2020_28_10-16.07" sheetId="219" r:id="rId3"/>
    <sheet name="2020_27_03-09.07" sheetId="218" r:id="rId4"/>
    <sheet name="2020_10_13-19.03" sheetId="217" r:id="rId5"/>
    <sheet name="2020_10_06-12.03" sheetId="216" r:id="rId6"/>
    <sheet name="2020_09_28.02-05.03" sheetId="215" r:id="rId7"/>
    <sheet name="2020_08_21-27.02" sheetId="214" r:id="rId8"/>
    <sheet name="2020_07_14-20.02" sheetId="213" r:id="rId9"/>
    <sheet name="2020_06_07-09.02" sheetId="212" r:id="rId10"/>
    <sheet name="2020_05_31.01-06.02" sheetId="211" r:id="rId11"/>
    <sheet name="2020_04_24-30.01" sheetId="210" r:id="rId12"/>
    <sheet name="2020_03_17-23.01" sheetId="209" r:id="rId13"/>
    <sheet name="2020_02_10-16.01" sheetId="208" r:id="rId14"/>
    <sheet name="2020_01_03-09.01" sheetId="207" r:id="rId15"/>
  </sheets>
  <calcPr calcId="145621"/>
</workbook>
</file>

<file path=xl/calcChain.xml><?xml version="1.0" encoding="utf-8"?>
<calcChain xmlns="http://schemas.openxmlformats.org/spreadsheetml/2006/main">
  <c r="B7" i="221" l="1"/>
  <c r="B8" i="221" s="1"/>
  <c r="B9" i="221" s="1"/>
  <c r="B10" i="221" s="1"/>
  <c r="B11" i="221" s="1"/>
  <c r="B12" i="221" s="1"/>
  <c r="B13" i="221" s="1"/>
  <c r="B14" i="221" s="1"/>
  <c r="O9" i="221"/>
  <c r="N9" i="221"/>
  <c r="O6" i="221"/>
  <c r="N6" i="221"/>
  <c r="O11" i="221"/>
  <c r="N11" i="221"/>
  <c r="O8" i="221"/>
  <c r="N8" i="221"/>
  <c r="O12" i="221"/>
  <c r="N12" i="221"/>
  <c r="O7" i="221"/>
  <c r="N7" i="221"/>
  <c r="O14" i="221"/>
  <c r="N14" i="221"/>
  <c r="O13" i="221"/>
  <c r="N13" i="221"/>
  <c r="O10" i="221"/>
  <c r="N10" i="221"/>
  <c r="M11" i="221"/>
  <c r="L11" i="221"/>
  <c r="P11" i="221" l="1"/>
  <c r="M13" i="221"/>
  <c r="L13" i="221"/>
  <c r="M7" i="221"/>
  <c r="L7" i="221"/>
  <c r="M12" i="221"/>
  <c r="L12" i="221"/>
  <c r="M14" i="221"/>
  <c r="L14" i="221"/>
  <c r="M10" i="221"/>
  <c r="L10" i="221"/>
  <c r="M8" i="221"/>
  <c r="L8" i="221"/>
  <c r="M9" i="221"/>
  <c r="L9" i="221"/>
  <c r="M6" i="221"/>
  <c r="L6" i="221"/>
  <c r="B6" i="221"/>
  <c r="P9" i="221" l="1"/>
  <c r="P8" i="221"/>
  <c r="P10" i="221"/>
  <c r="P14" i="221"/>
  <c r="P12" i="221"/>
  <c r="P7" i="221"/>
  <c r="P13" i="221"/>
  <c r="P6" i="221"/>
  <c r="B7" i="220"/>
  <c r="B8" i="220" s="1"/>
  <c r="B9" i="220" s="1"/>
  <c r="B10" i="220" s="1"/>
  <c r="B11" i="220" s="1"/>
  <c r="B12" i="220" s="1"/>
  <c r="B13" i="220" s="1"/>
  <c r="B14" i="220" s="1"/>
  <c r="B15" i="220" s="1"/>
  <c r="B16" i="220" s="1"/>
  <c r="B6" i="220"/>
  <c r="O13" i="220"/>
  <c r="N13" i="220"/>
  <c r="O10" i="220"/>
  <c r="N10" i="220"/>
  <c r="O16" i="220"/>
  <c r="N16" i="220"/>
  <c r="O15" i="220"/>
  <c r="N15" i="220"/>
  <c r="O8" i="220"/>
  <c r="N8" i="220"/>
  <c r="O6" i="220"/>
  <c r="N6" i="220"/>
  <c r="O12" i="220"/>
  <c r="N12" i="220"/>
  <c r="O11" i="220"/>
  <c r="N11" i="220"/>
  <c r="O7" i="220"/>
  <c r="N7" i="220"/>
  <c r="O14" i="220"/>
  <c r="N14" i="220"/>
  <c r="M13" i="220"/>
  <c r="L13" i="220"/>
  <c r="M7" i="220"/>
  <c r="L7" i="220"/>
  <c r="M12" i="220"/>
  <c r="L12" i="220"/>
  <c r="M11" i="220"/>
  <c r="L11" i="220"/>
  <c r="P7" i="220" l="1"/>
  <c r="P11" i="220"/>
  <c r="P13" i="220"/>
  <c r="P12" i="220"/>
  <c r="O9" i="220" l="1"/>
  <c r="N9" i="220"/>
  <c r="M9" i="220"/>
  <c r="L9" i="220"/>
  <c r="M16" i="220"/>
  <c r="L16" i="220"/>
  <c r="M14" i="220"/>
  <c r="L14" i="220"/>
  <c r="M15" i="220"/>
  <c r="L15" i="220"/>
  <c r="M8" i="220"/>
  <c r="L8" i="220"/>
  <c r="M10" i="220"/>
  <c r="L10" i="220"/>
  <c r="M6" i="220"/>
  <c r="L6" i="220"/>
  <c r="P8" i="220" l="1"/>
  <c r="P15" i="220"/>
  <c r="P6" i="220"/>
  <c r="P10" i="220"/>
  <c r="P14" i="220"/>
  <c r="P16" i="220"/>
  <c r="P9" i="220"/>
  <c r="B8" i="219"/>
  <c r="B9" i="219" s="1"/>
  <c r="B10" i="219" s="1"/>
  <c r="B11" i="219" s="1"/>
  <c r="B12" i="219" s="1"/>
  <c r="B13" i="219" s="1"/>
  <c r="B7" i="219"/>
  <c r="B6" i="219"/>
  <c r="O10" i="219"/>
  <c r="N10" i="219"/>
  <c r="O8" i="219"/>
  <c r="N8" i="219"/>
  <c r="N12" i="219"/>
  <c r="O12" i="219"/>
  <c r="O11" i="219"/>
  <c r="N11" i="219"/>
  <c r="M11" i="219"/>
  <c r="L11" i="219"/>
  <c r="O9" i="219"/>
  <c r="N9" i="219"/>
  <c r="M9" i="219"/>
  <c r="L9" i="219"/>
  <c r="O7" i="219"/>
  <c r="N7" i="219"/>
  <c r="O6" i="219"/>
  <c r="N6" i="219"/>
  <c r="O13" i="219"/>
  <c r="N13" i="219"/>
  <c r="P11" i="219" l="1"/>
  <c r="P9" i="219"/>
  <c r="P8" i="219"/>
  <c r="M8" i="219"/>
  <c r="L8" i="219"/>
  <c r="M13" i="219"/>
  <c r="L13" i="219"/>
  <c r="M10" i="219"/>
  <c r="L10" i="219"/>
  <c r="P12" i="219"/>
  <c r="M12" i="219"/>
  <c r="L12" i="219"/>
  <c r="M6" i="219"/>
  <c r="L6" i="219"/>
  <c r="M7" i="219"/>
  <c r="L7" i="219"/>
  <c r="P6" i="219" l="1"/>
  <c r="P10" i="219"/>
  <c r="P13" i="219"/>
  <c r="P7" i="219"/>
  <c r="B7" i="218"/>
  <c r="B8" i="218" s="1"/>
  <c r="B9" i="218" s="1"/>
  <c r="B10" i="218" s="1"/>
  <c r="B11" i="218" s="1"/>
  <c r="B12" i="218" s="1"/>
  <c r="B13" i="218" s="1"/>
  <c r="B14" i="218" s="1"/>
  <c r="B15" i="218" s="1"/>
  <c r="B6" i="218"/>
  <c r="O9" i="218"/>
  <c r="N9" i="218"/>
  <c r="O14" i="218"/>
  <c r="N14" i="218"/>
  <c r="O12" i="218"/>
  <c r="N12" i="218"/>
  <c r="O7" i="218"/>
  <c r="N7" i="218"/>
  <c r="P7" i="218" s="1"/>
  <c r="O8" i="218"/>
  <c r="N8" i="218"/>
  <c r="O11" i="218"/>
  <c r="N11" i="218"/>
  <c r="P11" i="218" s="1"/>
  <c r="O10" i="218"/>
  <c r="N10" i="218"/>
  <c r="O6" i="218"/>
  <c r="N6" i="218"/>
  <c r="O15" i="218"/>
  <c r="N15" i="218"/>
  <c r="O13" i="218"/>
  <c r="N13" i="218"/>
  <c r="M10" i="218"/>
  <c r="L10" i="218"/>
  <c r="M7" i="218"/>
  <c r="L7" i="218"/>
  <c r="M12" i="218"/>
  <c r="L12" i="218"/>
  <c r="M11" i="218"/>
  <c r="L11" i="218"/>
  <c r="M8" i="218"/>
  <c r="L8" i="218"/>
  <c r="P12" i="218" l="1"/>
  <c r="P8" i="218"/>
  <c r="P10" i="218"/>
  <c r="M15" i="218"/>
  <c r="L15" i="218"/>
  <c r="P15" i="218" l="1"/>
  <c r="P13" i="218"/>
  <c r="M13" i="218"/>
  <c r="L13" i="218"/>
  <c r="M14" i="218"/>
  <c r="L14" i="218"/>
  <c r="M6" i="218"/>
  <c r="L6" i="218"/>
  <c r="M9" i="218"/>
  <c r="L9" i="218"/>
  <c r="P9" i="218" l="1"/>
  <c r="P6" i="218"/>
  <c r="P14" i="218"/>
  <c r="B7" i="217"/>
  <c r="B8" i="217" s="1"/>
  <c r="B9" i="217" s="1"/>
  <c r="B10" i="217" s="1"/>
  <c r="B11" i="217" s="1"/>
  <c r="B12" i="217" s="1"/>
  <c r="B6" i="217"/>
  <c r="O12" i="217"/>
  <c r="N12" i="217"/>
  <c r="O9" i="217"/>
  <c r="N9" i="217"/>
  <c r="O11" i="217"/>
  <c r="N11" i="217"/>
  <c r="O7" i="217"/>
  <c r="N7" i="217"/>
  <c r="O6" i="217"/>
  <c r="N6" i="217"/>
  <c r="O10" i="217"/>
  <c r="N10" i="217"/>
  <c r="O8" i="217" l="1"/>
  <c r="N8" i="217"/>
  <c r="P9" i="217" l="1"/>
  <c r="M9" i="217"/>
  <c r="L9" i="217"/>
  <c r="P6" i="217" l="1"/>
  <c r="M6" i="217"/>
  <c r="L6" i="217"/>
  <c r="M11" i="217"/>
  <c r="L11" i="217"/>
  <c r="M12" i="217"/>
  <c r="L12" i="217"/>
  <c r="P8" i="217"/>
  <c r="M8" i="217"/>
  <c r="L8" i="217"/>
  <c r="P10" i="217"/>
  <c r="M10" i="217"/>
  <c r="L10" i="217"/>
  <c r="P7" i="217"/>
  <c r="M7" i="217"/>
  <c r="L7" i="217"/>
  <c r="P12" i="217" l="1"/>
  <c r="P11" i="217"/>
  <c r="B7" i="216" l="1"/>
  <c r="B8" i="216" s="1"/>
  <c r="B9" i="216" s="1"/>
  <c r="B10" i="216" s="1"/>
  <c r="B11" i="216" s="1"/>
  <c r="B12" i="216" s="1"/>
  <c r="B13" i="216" s="1"/>
  <c r="B14" i="216" s="1"/>
  <c r="B15" i="216" s="1"/>
  <c r="B16" i="216" s="1"/>
  <c r="B17" i="216" s="1"/>
  <c r="B18" i="216" s="1"/>
  <c r="B6" i="216"/>
  <c r="O16" i="216"/>
  <c r="N16" i="216"/>
  <c r="O6" i="216"/>
  <c r="N6" i="216"/>
  <c r="O11" i="216"/>
  <c r="N11" i="216"/>
  <c r="O10" i="216"/>
  <c r="N10" i="216"/>
  <c r="O12" i="216"/>
  <c r="N12" i="216"/>
  <c r="O14" i="216"/>
  <c r="N14" i="216"/>
  <c r="O17" i="216"/>
  <c r="N17" i="216"/>
  <c r="O13" i="216"/>
  <c r="N13" i="216"/>
  <c r="O7" i="216"/>
  <c r="N7" i="216"/>
  <c r="O8" i="216"/>
  <c r="N8" i="216"/>
  <c r="O15" i="216"/>
  <c r="N15" i="216"/>
  <c r="O18" i="216"/>
  <c r="N18" i="216"/>
  <c r="O9" i="216"/>
  <c r="N9" i="216"/>
  <c r="P14" i="216" l="1"/>
  <c r="M14" i="216"/>
  <c r="L14" i="216"/>
  <c r="M12" i="216" l="1"/>
  <c r="L12" i="216"/>
  <c r="P12" i="216" l="1"/>
  <c r="M13" i="216"/>
  <c r="L13" i="216"/>
  <c r="M11" i="216"/>
  <c r="L11" i="216"/>
  <c r="P7" i="216"/>
  <c r="M7" i="216"/>
  <c r="L7" i="216"/>
  <c r="M18" i="216"/>
  <c r="L18" i="216"/>
  <c r="M16" i="216"/>
  <c r="L16" i="216"/>
  <c r="M17" i="216"/>
  <c r="L17" i="216"/>
  <c r="M10" i="216"/>
  <c r="L10" i="216"/>
  <c r="M8" i="216"/>
  <c r="L8" i="216"/>
  <c r="M9" i="216"/>
  <c r="L9" i="216"/>
  <c r="M15" i="216"/>
  <c r="L15" i="216"/>
  <c r="M6" i="216"/>
  <c r="L6" i="216"/>
  <c r="P11" i="216" l="1"/>
  <c r="P13" i="216"/>
  <c r="P6" i="216"/>
  <c r="P15" i="216"/>
  <c r="P10" i="216"/>
  <c r="P17" i="216"/>
  <c r="P16" i="216"/>
  <c r="P18" i="216"/>
  <c r="P8" i="216"/>
  <c r="P9" i="216"/>
  <c r="B7" i="215" l="1"/>
  <c r="B8" i="215" s="1"/>
  <c r="B9" i="215" s="1"/>
  <c r="B10" i="215" s="1"/>
  <c r="B11" i="215" s="1"/>
  <c r="B12" i="215" s="1"/>
  <c r="B13" i="215" s="1"/>
  <c r="B14" i="215" s="1"/>
  <c r="B15" i="215" s="1"/>
  <c r="B16" i="215" s="1"/>
  <c r="B17" i="215" s="1"/>
  <c r="B18" i="215" s="1"/>
  <c r="B19" i="215" s="1"/>
  <c r="B20" i="215" s="1"/>
  <c r="B6" i="215"/>
  <c r="O14" i="215"/>
  <c r="N14" i="215"/>
  <c r="O15" i="215"/>
  <c r="N15" i="215"/>
  <c r="O18" i="215"/>
  <c r="N18" i="215"/>
  <c r="O12" i="215"/>
  <c r="N12" i="215"/>
  <c r="O10" i="215"/>
  <c r="N10" i="215"/>
  <c r="O13" i="215"/>
  <c r="N13" i="215"/>
  <c r="O6" i="215"/>
  <c r="N6" i="215"/>
  <c r="O9" i="215"/>
  <c r="N9" i="215"/>
  <c r="O7" i="215"/>
  <c r="N7" i="215"/>
  <c r="O20" i="215"/>
  <c r="N20" i="215"/>
  <c r="O8" i="215"/>
  <c r="N8" i="215"/>
  <c r="O16" i="215"/>
  <c r="N16" i="215"/>
  <c r="O19" i="215"/>
  <c r="N19" i="215"/>
  <c r="O11" i="215"/>
  <c r="N11" i="215"/>
  <c r="O17" i="215"/>
  <c r="N17" i="215"/>
  <c r="M14" i="215" l="1"/>
  <c r="L14" i="215"/>
  <c r="P14" i="215" l="1"/>
  <c r="M12" i="215"/>
  <c r="L12" i="215"/>
  <c r="P12" i="215" l="1"/>
  <c r="M15" i="215"/>
  <c r="L15" i="215"/>
  <c r="P15" i="215" l="1"/>
  <c r="M13" i="215"/>
  <c r="L13" i="215"/>
  <c r="M10" i="215"/>
  <c r="L10" i="215"/>
  <c r="P10" i="215" l="1"/>
  <c r="P13" i="215"/>
  <c r="M7" i="215"/>
  <c r="L7" i="215"/>
  <c r="M9" i="215"/>
  <c r="L9" i="215"/>
  <c r="M18" i="215"/>
  <c r="L18" i="215"/>
  <c r="M16" i="215"/>
  <c r="L16" i="215"/>
  <c r="M11" i="215"/>
  <c r="L11" i="215"/>
  <c r="M17" i="215"/>
  <c r="L17" i="215"/>
  <c r="M20" i="215"/>
  <c r="L20" i="215"/>
  <c r="M8" i="215"/>
  <c r="L8" i="215"/>
  <c r="M19" i="215"/>
  <c r="L19" i="215"/>
  <c r="M6" i="215"/>
  <c r="L6" i="215"/>
  <c r="P8" i="215" l="1"/>
  <c r="P20" i="215"/>
  <c r="P11" i="215"/>
  <c r="P9" i="215"/>
  <c r="P7" i="215"/>
  <c r="P6" i="215"/>
  <c r="P19" i="215"/>
  <c r="P17" i="215"/>
  <c r="P16" i="215"/>
  <c r="P18" i="215"/>
  <c r="B7" i="214"/>
  <c r="B8" i="214" s="1"/>
  <c r="B9" i="214" s="1"/>
  <c r="B10" i="214" s="1"/>
  <c r="B11" i="214" s="1"/>
  <c r="B12" i="214" s="1"/>
  <c r="B13" i="214" s="1"/>
  <c r="B14" i="214" s="1"/>
  <c r="B15" i="214" s="1"/>
  <c r="B16" i="214" s="1"/>
  <c r="B17" i="214" s="1"/>
  <c r="B18" i="214" s="1"/>
  <c r="B19" i="214" s="1"/>
  <c r="B20" i="214" s="1"/>
  <c r="B6" i="214"/>
  <c r="O12" i="214"/>
  <c r="N12" i="214"/>
  <c r="O11" i="214"/>
  <c r="N11" i="214"/>
  <c r="O19" i="214"/>
  <c r="N19" i="214"/>
  <c r="O6" i="214"/>
  <c r="N6" i="214"/>
  <c r="O14" i="214"/>
  <c r="N14" i="214"/>
  <c r="O16" i="214"/>
  <c r="N16" i="214"/>
  <c r="O15" i="214"/>
  <c r="N15" i="214"/>
  <c r="O18" i="214"/>
  <c r="N18" i="214"/>
  <c r="O9" i="214"/>
  <c r="N9" i="214"/>
  <c r="O10" i="214"/>
  <c r="N10" i="214"/>
  <c r="O8" i="214"/>
  <c r="N8" i="214"/>
  <c r="O20" i="214"/>
  <c r="N20" i="214"/>
  <c r="O13" i="214"/>
  <c r="N13" i="214"/>
  <c r="O17" i="214"/>
  <c r="N17" i="214"/>
  <c r="O7" i="214"/>
  <c r="N7" i="214"/>
  <c r="L9" i="214" l="1"/>
  <c r="M9" i="214"/>
  <c r="P9" i="214"/>
  <c r="P12" i="214" l="1"/>
  <c r="M12" i="214"/>
  <c r="L12" i="214"/>
  <c r="P19" i="214" l="1"/>
  <c r="M19" i="214"/>
  <c r="L19" i="214"/>
  <c r="P15" i="214"/>
  <c r="M15" i="214"/>
  <c r="L15" i="214"/>
  <c r="P14" i="214"/>
  <c r="M14" i="214"/>
  <c r="L14" i="214"/>
  <c r="M18" i="214"/>
  <c r="L18" i="214"/>
  <c r="M16" i="214"/>
  <c r="L16" i="214"/>
  <c r="P16" i="214" l="1"/>
  <c r="P18" i="214"/>
  <c r="P17" i="214"/>
  <c r="M17" i="214"/>
  <c r="L17" i="214"/>
  <c r="M13" i="214"/>
  <c r="L13" i="214"/>
  <c r="M11" i="214"/>
  <c r="L11" i="214"/>
  <c r="M20" i="214"/>
  <c r="L20" i="214"/>
  <c r="M7" i="214"/>
  <c r="L7" i="214"/>
  <c r="M8" i="214"/>
  <c r="L8" i="214"/>
  <c r="P10" i="214"/>
  <c r="M10" i="214"/>
  <c r="L10" i="214"/>
  <c r="P6" i="214"/>
  <c r="M6" i="214"/>
  <c r="L6" i="214"/>
  <c r="P7" i="214" l="1"/>
  <c r="P11" i="214"/>
  <c r="P13" i="214"/>
  <c r="P20" i="214"/>
  <c r="P8" i="214"/>
  <c r="B7" i="213" l="1"/>
  <c r="B8" i="213" s="1"/>
  <c r="B9" i="213" s="1"/>
  <c r="B10" i="213" s="1"/>
  <c r="B11" i="213" s="1"/>
  <c r="B12" i="213" s="1"/>
  <c r="B13" i="213" s="1"/>
  <c r="B14" i="213" s="1"/>
  <c r="B15" i="213" s="1"/>
  <c r="B16" i="213" s="1"/>
  <c r="B17" i="213" s="1"/>
  <c r="B18" i="213" s="1"/>
  <c r="B19" i="213" s="1"/>
  <c r="O9" i="213"/>
  <c r="N9" i="213"/>
  <c r="O15" i="213"/>
  <c r="N15" i="213"/>
  <c r="O16" i="213"/>
  <c r="N16" i="213"/>
  <c r="O6" i="213"/>
  <c r="N6" i="213"/>
  <c r="O14" i="213"/>
  <c r="N14" i="213"/>
  <c r="O13" i="213"/>
  <c r="N13" i="213"/>
  <c r="O12" i="213"/>
  <c r="N12" i="213"/>
  <c r="O10" i="213"/>
  <c r="N10" i="213"/>
  <c r="O19" i="213"/>
  <c r="N19" i="213"/>
  <c r="O7" i="213"/>
  <c r="N7" i="213"/>
  <c r="O8" i="213"/>
  <c r="N8" i="213"/>
  <c r="O11" i="213"/>
  <c r="N11" i="213"/>
  <c r="O17" i="213"/>
  <c r="N17" i="213"/>
  <c r="O18" i="213"/>
  <c r="N18" i="213"/>
  <c r="M12" i="213" l="1"/>
  <c r="L12" i="213"/>
  <c r="M14" i="213"/>
  <c r="L14" i="213"/>
  <c r="M16" i="213"/>
  <c r="L16" i="213"/>
  <c r="P10" i="213"/>
  <c r="M10" i="213"/>
  <c r="L10" i="213"/>
  <c r="P19" i="213"/>
  <c r="M19" i="213"/>
  <c r="L19" i="213"/>
  <c r="P7" i="213"/>
  <c r="M7" i="213"/>
  <c r="L7" i="213"/>
  <c r="M15" i="213"/>
  <c r="L15" i="213"/>
  <c r="M13" i="213"/>
  <c r="L13" i="213"/>
  <c r="M18" i="213"/>
  <c r="L18" i="213"/>
  <c r="M17" i="213"/>
  <c r="L17" i="213"/>
  <c r="M11" i="213"/>
  <c r="L11" i="213"/>
  <c r="M9" i="213"/>
  <c r="L9" i="213"/>
  <c r="M8" i="213"/>
  <c r="L8" i="213"/>
  <c r="M6" i="213"/>
  <c r="L6" i="213"/>
  <c r="B6" i="213"/>
  <c r="P14" i="213" l="1"/>
  <c r="P12" i="213"/>
  <c r="P18" i="213"/>
  <c r="P15" i="213"/>
  <c r="P16" i="213"/>
  <c r="P9" i="213"/>
  <c r="P6" i="213"/>
  <c r="P13" i="213"/>
  <c r="P17" i="213"/>
  <c r="P8" i="213"/>
  <c r="P11" i="213"/>
  <c r="B8" i="212" l="1"/>
  <c r="B9" i="212" s="1"/>
  <c r="B10" i="212" s="1"/>
  <c r="B11" i="212" s="1"/>
  <c r="B12" i="212" s="1"/>
  <c r="B13" i="212" s="1"/>
  <c r="B14" i="212" s="1"/>
  <c r="B15" i="212" s="1"/>
  <c r="B16" i="212" s="1"/>
  <c r="B17" i="212" s="1"/>
  <c r="B18" i="212" s="1"/>
  <c r="B19" i="212" s="1"/>
  <c r="B20" i="212" s="1"/>
  <c r="O18" i="212"/>
  <c r="N18" i="212"/>
  <c r="O13" i="212"/>
  <c r="N13" i="212"/>
  <c r="O19" i="212"/>
  <c r="N19" i="212"/>
  <c r="O14" i="212"/>
  <c r="N14" i="212"/>
  <c r="O16" i="212"/>
  <c r="N16" i="212"/>
  <c r="O11" i="212"/>
  <c r="N11" i="212"/>
  <c r="O7" i="212"/>
  <c r="N7" i="212"/>
  <c r="O9" i="212"/>
  <c r="N9" i="212"/>
  <c r="O10" i="212"/>
  <c r="N10" i="212"/>
  <c r="O12" i="212"/>
  <c r="N12" i="212"/>
  <c r="O8" i="212"/>
  <c r="N8" i="212"/>
  <c r="O20" i="212"/>
  <c r="N20" i="212"/>
  <c r="O17" i="212"/>
  <c r="N17" i="212"/>
  <c r="O15" i="212"/>
  <c r="N15" i="212"/>
  <c r="O6" i="212"/>
  <c r="N6" i="212"/>
  <c r="P11" i="212" l="1"/>
  <c r="M11" i="212"/>
  <c r="L11" i="212"/>
  <c r="M14" i="212" l="1"/>
  <c r="L14" i="212"/>
  <c r="P14" i="212" l="1"/>
  <c r="M19" i="212"/>
  <c r="L19" i="212"/>
  <c r="P16" i="212"/>
  <c r="M16" i="212"/>
  <c r="L16" i="212"/>
  <c r="M17" i="212"/>
  <c r="L17" i="212"/>
  <c r="M18" i="212"/>
  <c r="L18" i="212"/>
  <c r="B6" i="212"/>
  <c r="B7" i="212" s="1"/>
  <c r="M20" i="212"/>
  <c r="L20" i="212"/>
  <c r="M8" i="212"/>
  <c r="L8" i="212"/>
  <c r="M13" i="212"/>
  <c r="L13" i="212"/>
  <c r="M15" i="212"/>
  <c r="L15" i="212"/>
  <c r="M9" i="212"/>
  <c r="L9" i="212"/>
  <c r="M12" i="212"/>
  <c r="L12" i="212"/>
  <c r="M10" i="212"/>
  <c r="L10" i="212"/>
  <c r="M6" i="212"/>
  <c r="L6" i="212"/>
  <c r="M7" i="212"/>
  <c r="L7" i="212"/>
  <c r="P19" i="212" l="1"/>
  <c r="P10" i="212"/>
  <c r="P7" i="212"/>
  <c r="P8" i="212"/>
  <c r="P18" i="212"/>
  <c r="P17" i="212"/>
  <c r="P9" i="212"/>
  <c r="P12" i="212"/>
  <c r="P15" i="212"/>
  <c r="P13" i="212"/>
  <c r="P6" i="212"/>
  <c r="P20" i="212"/>
  <c r="B7" i="211"/>
  <c r="B8" i="211" s="1"/>
  <c r="B9" i="211" s="1"/>
  <c r="B10" i="211" s="1"/>
  <c r="B11" i="211" s="1"/>
  <c r="B12" i="211" s="1"/>
  <c r="B13" i="211" s="1"/>
  <c r="B14" i="211" s="1"/>
  <c r="B15" i="211" s="1"/>
  <c r="B16" i="211" s="1"/>
  <c r="B17" i="211" s="1"/>
  <c r="B18" i="211" s="1"/>
  <c r="B19" i="211" s="1"/>
  <c r="B6" i="211"/>
  <c r="O12" i="211"/>
  <c r="N12" i="211"/>
  <c r="O7" i="211"/>
  <c r="N7" i="211"/>
  <c r="O16" i="211"/>
  <c r="N16" i="211"/>
  <c r="O19" i="211"/>
  <c r="N19" i="211"/>
  <c r="O13" i="211"/>
  <c r="N13" i="211"/>
  <c r="O17" i="211"/>
  <c r="N17" i="211"/>
  <c r="O15" i="211"/>
  <c r="N15" i="211"/>
  <c r="O6" i="211"/>
  <c r="N6" i="211"/>
  <c r="O10" i="211"/>
  <c r="N10" i="211"/>
  <c r="O8" i="211"/>
  <c r="N8" i="211"/>
  <c r="O9" i="211"/>
  <c r="N9" i="211"/>
  <c r="O11" i="211"/>
  <c r="N11" i="211"/>
  <c r="O14" i="211"/>
  <c r="N14" i="211"/>
  <c r="O18" i="211"/>
  <c r="N18" i="211"/>
  <c r="M19" i="211" l="1"/>
  <c r="L19" i="211"/>
  <c r="P19" i="211" l="1"/>
  <c r="M15" i="211"/>
  <c r="L15" i="211"/>
  <c r="P17" i="211"/>
  <c r="M17" i="211"/>
  <c r="L17" i="211"/>
  <c r="M16" i="211"/>
  <c r="L16" i="211"/>
  <c r="P16" i="211" l="1"/>
  <c r="P15" i="211"/>
  <c r="M12" i="211"/>
  <c r="L12" i="211"/>
  <c r="M18" i="211"/>
  <c r="L18" i="211"/>
  <c r="M11" i="211"/>
  <c r="L11" i="211"/>
  <c r="M6" i="211"/>
  <c r="L6" i="211"/>
  <c r="M13" i="211"/>
  <c r="L13" i="211"/>
  <c r="M14" i="211"/>
  <c r="L14" i="211"/>
  <c r="M10" i="211"/>
  <c r="L10" i="211"/>
  <c r="M7" i="211"/>
  <c r="L7" i="211"/>
  <c r="M8" i="211"/>
  <c r="L8" i="211"/>
  <c r="M9" i="211"/>
  <c r="L9" i="211"/>
  <c r="P12" i="211" l="1"/>
  <c r="P9" i="211"/>
  <c r="P8" i="211"/>
  <c r="P10" i="211"/>
  <c r="P14" i="211"/>
  <c r="P13" i="211"/>
  <c r="P11" i="211"/>
  <c r="P18" i="211"/>
  <c r="P6" i="211"/>
  <c r="P7" i="211"/>
  <c r="B7" i="210"/>
  <c r="B8" i="210" s="1"/>
  <c r="B9" i="210" s="1"/>
  <c r="B10" i="210" s="1"/>
  <c r="B11" i="210" s="1"/>
  <c r="B12" i="210" s="1"/>
  <c r="B13" i="210" s="1"/>
  <c r="B14" i="210" s="1"/>
  <c r="B15" i="210" s="1"/>
  <c r="B16" i="210" s="1"/>
  <c r="B17" i="210" s="1"/>
  <c r="B18" i="210" s="1"/>
  <c r="B19" i="210" s="1"/>
  <c r="B6" i="210"/>
  <c r="O8" i="210"/>
  <c r="N8" i="210"/>
  <c r="O19" i="210"/>
  <c r="N19" i="210"/>
  <c r="O11" i="210"/>
  <c r="N11" i="210"/>
  <c r="O13" i="210"/>
  <c r="N13" i="210"/>
  <c r="O17" i="210"/>
  <c r="N17" i="210"/>
  <c r="O18" i="210"/>
  <c r="N18" i="210"/>
  <c r="O14" i="210"/>
  <c r="N14" i="210"/>
  <c r="O12" i="210"/>
  <c r="N12" i="210"/>
  <c r="P12" i="210" s="1"/>
  <c r="O9" i="210"/>
  <c r="N9" i="210"/>
  <c r="O7" i="210"/>
  <c r="N7" i="210"/>
  <c r="O6" i="210"/>
  <c r="N6" i="210"/>
  <c r="O10" i="210"/>
  <c r="N10" i="210"/>
  <c r="O16" i="210"/>
  <c r="N16" i="210"/>
  <c r="O15" i="210"/>
  <c r="N15" i="210"/>
  <c r="L12" i="210"/>
  <c r="M12" i="210"/>
  <c r="M19" i="210" l="1"/>
  <c r="L19" i="210"/>
  <c r="P19" i="210" l="1"/>
  <c r="M18" i="210"/>
  <c r="L18" i="210"/>
  <c r="P14" i="210"/>
  <c r="M14" i="210"/>
  <c r="L14" i="210"/>
  <c r="P18" i="210" l="1"/>
  <c r="M17" i="210"/>
  <c r="L17" i="210"/>
  <c r="M7" i="210"/>
  <c r="L7" i="210"/>
  <c r="P9" i="210"/>
  <c r="M9" i="210"/>
  <c r="L9" i="210"/>
  <c r="M11" i="210"/>
  <c r="L11" i="210"/>
  <c r="M16" i="210"/>
  <c r="L16" i="210"/>
  <c r="M13" i="210"/>
  <c r="L13" i="210"/>
  <c r="M15" i="210"/>
  <c r="L15" i="210"/>
  <c r="M10" i="210"/>
  <c r="L10" i="210"/>
  <c r="M8" i="210"/>
  <c r="L8" i="210"/>
  <c r="M6" i="210"/>
  <c r="L6" i="210"/>
  <c r="P10" i="210" l="1"/>
  <c r="P13" i="210"/>
  <c r="P11" i="210"/>
  <c r="P17" i="210"/>
  <c r="P7" i="210"/>
  <c r="P6" i="210"/>
  <c r="P8" i="210"/>
  <c r="P15" i="210"/>
  <c r="P16" i="210"/>
  <c r="B7" i="209" l="1"/>
  <c r="B8" i="209" s="1"/>
  <c r="B9" i="209" s="1"/>
  <c r="B10" i="209" s="1"/>
  <c r="B11" i="209" s="1"/>
  <c r="B12" i="209" s="1"/>
  <c r="B13" i="209" s="1"/>
  <c r="B14" i="209" s="1"/>
  <c r="B15" i="209" s="1"/>
  <c r="B16" i="209" s="1"/>
  <c r="B17" i="209" s="1"/>
  <c r="B18" i="209" s="1"/>
  <c r="B19" i="209" s="1"/>
  <c r="B20" i="209" s="1"/>
  <c r="B21" i="209" s="1"/>
  <c r="B22" i="209" s="1"/>
  <c r="B23" i="209" s="1"/>
  <c r="B6" i="209"/>
  <c r="O11" i="209"/>
  <c r="N11" i="209"/>
  <c r="O9" i="209"/>
  <c r="N9" i="209"/>
  <c r="O23" i="209"/>
  <c r="N23" i="209"/>
  <c r="O7" i="209"/>
  <c r="N7" i="209"/>
  <c r="O22" i="209"/>
  <c r="N22" i="209"/>
  <c r="O6" i="209"/>
  <c r="N6" i="209"/>
  <c r="O8" i="209"/>
  <c r="N8" i="209"/>
  <c r="O16" i="209" l="1"/>
  <c r="N16" i="209"/>
  <c r="O14" i="209"/>
  <c r="N14" i="209"/>
  <c r="O17" i="209"/>
  <c r="N17" i="209"/>
  <c r="O12" i="209"/>
  <c r="N12" i="209"/>
  <c r="O10" i="209"/>
  <c r="N10" i="209"/>
  <c r="O21" i="209"/>
  <c r="N21" i="209"/>
  <c r="O20" i="209"/>
  <c r="N20" i="209"/>
  <c r="O15" i="209"/>
  <c r="N15" i="209"/>
  <c r="O18" i="209"/>
  <c r="N18" i="209"/>
  <c r="O13" i="209"/>
  <c r="N13" i="209"/>
  <c r="O19" i="209"/>
  <c r="N19" i="209"/>
  <c r="P17" i="209" l="1"/>
  <c r="M17" i="209"/>
  <c r="L17" i="209"/>
  <c r="M16" i="209" l="1"/>
  <c r="L16" i="209"/>
  <c r="M19" i="209"/>
  <c r="L19" i="209"/>
  <c r="M15" i="209"/>
  <c r="L15" i="209"/>
  <c r="M13" i="209"/>
  <c r="L13" i="209"/>
  <c r="M20" i="209"/>
  <c r="L20" i="209"/>
  <c r="M9" i="209"/>
  <c r="L9" i="209"/>
  <c r="M22" i="209"/>
  <c r="L22" i="209"/>
  <c r="P22" i="209" l="1"/>
  <c r="P20" i="209"/>
  <c r="P13" i="209"/>
  <c r="P15" i="209"/>
  <c r="P19" i="209"/>
  <c r="P16" i="209"/>
  <c r="P9" i="209"/>
  <c r="P6" i="209" l="1"/>
  <c r="M6" i="209"/>
  <c r="L6" i="209"/>
  <c r="M18" i="209"/>
  <c r="L18" i="209"/>
  <c r="M10" i="209"/>
  <c r="L10" i="209"/>
  <c r="M21" i="209"/>
  <c r="L21" i="209"/>
  <c r="M12" i="209"/>
  <c r="L12" i="209"/>
  <c r="M23" i="209"/>
  <c r="L23" i="209"/>
  <c r="M14" i="209"/>
  <c r="L14" i="209"/>
  <c r="M11" i="209"/>
  <c r="L11" i="209"/>
  <c r="M7" i="209"/>
  <c r="L7" i="209"/>
  <c r="M8" i="209"/>
  <c r="L8" i="209"/>
  <c r="P18" i="209" l="1"/>
  <c r="P12" i="209"/>
  <c r="P8" i="209"/>
  <c r="P7" i="209"/>
  <c r="P11" i="209"/>
  <c r="P14" i="209"/>
  <c r="P23" i="209"/>
  <c r="P10" i="209"/>
  <c r="P21" i="209"/>
  <c r="B8" i="208" l="1"/>
  <c r="B9" i="208" s="1"/>
  <c r="B10" i="208" s="1"/>
  <c r="B11" i="208" s="1"/>
  <c r="B12" i="208" s="1"/>
  <c r="B13" i="208" s="1"/>
  <c r="B14" i="208" s="1"/>
  <c r="B15" i="208" s="1"/>
  <c r="B16" i="208" s="1"/>
  <c r="B17" i="208" s="1"/>
  <c r="O16" i="208"/>
  <c r="N16" i="208"/>
  <c r="O6" i="208"/>
  <c r="N6" i="208"/>
  <c r="O8" i="208"/>
  <c r="N8" i="208"/>
  <c r="O9" i="208"/>
  <c r="N9" i="208"/>
  <c r="O14" i="208"/>
  <c r="N14" i="208"/>
  <c r="O10" i="208"/>
  <c r="N10" i="208"/>
  <c r="O7" i="208"/>
  <c r="N7" i="208"/>
  <c r="O11" i="208"/>
  <c r="N11" i="208"/>
  <c r="O15" i="208"/>
  <c r="N15" i="208"/>
  <c r="M15" i="208"/>
  <c r="L15" i="208"/>
  <c r="P15" i="208" l="1"/>
  <c r="O17" i="208"/>
  <c r="N17" i="208"/>
  <c r="O12" i="208"/>
  <c r="N12" i="208"/>
  <c r="O13" i="208"/>
  <c r="N13" i="208"/>
  <c r="M11" i="208" l="1"/>
  <c r="L11" i="208"/>
  <c r="P11" i="208" l="1"/>
  <c r="M17" i="208"/>
  <c r="L17" i="208"/>
  <c r="P17" i="208" l="1"/>
  <c r="M16" i="208"/>
  <c r="L16" i="208"/>
  <c r="P14" i="208"/>
  <c r="M14" i="208"/>
  <c r="L14" i="208"/>
  <c r="P13" i="208"/>
  <c r="M13" i="208"/>
  <c r="L13" i="208"/>
  <c r="P16" i="208" l="1"/>
  <c r="M10" i="208"/>
  <c r="L10" i="208"/>
  <c r="M12" i="208"/>
  <c r="L12" i="208"/>
  <c r="P9" i="208"/>
  <c r="M9" i="208"/>
  <c r="L9" i="208"/>
  <c r="P8" i="208"/>
  <c r="M8" i="208"/>
  <c r="L8" i="208"/>
  <c r="P7" i="208"/>
  <c r="M7" i="208"/>
  <c r="L7" i="208"/>
  <c r="M6" i="208"/>
  <c r="L6" i="208"/>
  <c r="B6" i="208"/>
  <c r="B7" i="208" s="1"/>
  <c r="P12" i="208" l="1"/>
  <c r="P10" i="208"/>
  <c r="P6" i="208"/>
  <c r="B7" i="207" l="1"/>
  <c r="B8" i="207" s="1"/>
  <c r="B9" i="207" s="1"/>
  <c r="B10" i="207" s="1"/>
  <c r="B11" i="207" s="1"/>
  <c r="B12" i="207" s="1"/>
  <c r="B13" i="207" s="1"/>
  <c r="B14" i="207" s="1"/>
  <c r="B6" i="207"/>
  <c r="O14" i="207"/>
  <c r="N14" i="207"/>
  <c r="O11" i="207"/>
  <c r="N11" i="207"/>
  <c r="O12" i="207"/>
  <c r="N12" i="207"/>
  <c r="O6" i="207"/>
  <c r="N6" i="207"/>
  <c r="O8" i="207"/>
  <c r="N8" i="207"/>
  <c r="O9" i="207"/>
  <c r="N9" i="207"/>
  <c r="O10" i="207"/>
  <c r="N10" i="207"/>
  <c r="O13" i="207"/>
  <c r="N13" i="207"/>
  <c r="O7" i="207"/>
  <c r="N7" i="207"/>
  <c r="P14" i="207" l="1"/>
  <c r="M14" i="207"/>
  <c r="L14" i="207"/>
  <c r="P11" i="207" l="1"/>
  <c r="M11" i="207"/>
  <c r="L11" i="207"/>
  <c r="P12" i="207"/>
  <c r="M12" i="207"/>
  <c r="L12" i="207"/>
  <c r="P6" i="207" l="1"/>
  <c r="M6" i="207"/>
  <c r="L6" i="207"/>
  <c r="P10" i="207"/>
  <c r="M10" i="207"/>
  <c r="L10" i="207"/>
  <c r="P13" i="207"/>
  <c r="M13" i="207"/>
  <c r="L13" i="207"/>
  <c r="P9" i="207"/>
  <c r="M9" i="207"/>
  <c r="L9" i="207"/>
  <c r="P7" i="207"/>
  <c r="M7" i="207"/>
  <c r="L7" i="207"/>
  <c r="P8" i="207"/>
  <c r="M8" i="207"/>
  <c r="L8" i="207"/>
</calcChain>
</file>

<file path=xl/sharedStrings.xml><?xml version="1.0" encoding="utf-8"?>
<sst xmlns="http://schemas.openxmlformats.org/spreadsheetml/2006/main" count="867" uniqueCount="105">
  <si>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</si>
  <si>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</si>
  <si>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</si>
  <si>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</si>
  <si>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</si>
  <si>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</si>
  <si>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</si>
  <si>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</si>
  <si>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</si>
  <si>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</si>
  <si>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</si>
  <si>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</si>
  <si>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</si>
  <si>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</si>
  <si>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</si>
  <si>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</si>
  <si>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</si>
  <si>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</si>
  <si>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DFGS</t>
  </si>
  <si>
    <t>UP &amp; AWAY</t>
  </si>
  <si>
    <t>KIKORIKI: DEJA VU</t>
  </si>
  <si>
    <t>PARASITE</t>
  </si>
  <si>
    <t>ARAF 3: CİNLER KİTABI</t>
  </si>
  <si>
    <t>BOONIE BEARS: BLAST INTO THE PAST</t>
  </si>
  <si>
    <t>DİLSİZ</t>
  </si>
  <si>
    <t>RASATHANE FİLM</t>
  </si>
  <si>
    <t>DONKEY KING, THE</t>
  </si>
  <si>
    <t>CNS PROD.</t>
  </si>
  <si>
    <t>JUDY</t>
  </si>
  <si>
    <t>2020 / 01</t>
  </si>
  <si>
    <t>03 - 09 Ocak 2020</t>
  </si>
  <si>
    <t>HEREDITARY</t>
  </si>
  <si>
    <t>10 - 16 Ocak 2020</t>
  </si>
  <si>
    <t>COCONUT THE LITTLE DRAGON: INTO THE JUNGLE</t>
  </si>
  <si>
    <t>PAIN &amp; GLORY</t>
  </si>
  <si>
    <t>KUKLALI KÖŞK</t>
  </si>
  <si>
    <t>FİYAKA FİLM &amp; TRT</t>
  </si>
  <si>
    <t>STOLEN PRINCESS, THE</t>
  </si>
  <si>
    <t>TABALUGA</t>
  </si>
  <si>
    <t>FİLMA</t>
  </si>
  <si>
    <t>CATS AND PEACHTOPIA</t>
  </si>
  <si>
    <t>2020 / 03</t>
  </si>
  <si>
    <t>2020 / 02</t>
  </si>
  <si>
    <t>17 - 23 Ocak 2020</t>
  </si>
  <si>
    <t>SHAUN THE SHEEP MOVIE: FARMAGEDDON</t>
  </si>
  <si>
    <t>FAREWELL, THE</t>
  </si>
  <si>
    <t>HERE COMES THE GRUMP</t>
  </si>
  <si>
    <t>PRINCESS AND THE DRAGON, THE</t>
  </si>
  <si>
    <t>TWO TAILS</t>
  </si>
  <si>
    <t>RABBIT SCHOOL</t>
  </si>
  <si>
    <t>2020 / 04</t>
  </si>
  <si>
    <t>24 - 30 Ocak 2020</t>
  </si>
  <si>
    <t>YOUNG CANNIBALS, THE</t>
  </si>
  <si>
    <t>DEEP</t>
  </si>
  <si>
    <t>PLOEY: YOU NEVER FLY ALONE</t>
  </si>
  <si>
    <t>RÜZGARIN HATIRALARI</t>
  </si>
  <si>
    <t>NAR FİLM &amp; MOST PROD. &amp; İSTANBUL DİJ.</t>
  </si>
  <si>
    <t>LATTE AND THE MAGIC WATERSTONE</t>
  </si>
  <si>
    <t>2020 / 05</t>
  </si>
  <si>
    <t>31 Ocak - 06 Şubat 2020</t>
  </si>
  <si>
    <t>BIKES</t>
  </si>
  <si>
    <t>TRAIN TO BUSAN</t>
  </si>
  <si>
    <t>2020 / 06</t>
  </si>
  <si>
    <t>DRAGON SPELL, THE</t>
  </si>
  <si>
    <r>
      <t xml:space="preserve">ARTIST, THE </t>
    </r>
    <r>
      <rPr>
        <b/>
        <sz val="9"/>
        <rFont val="Calibri"/>
        <family val="2"/>
        <charset val="162"/>
        <scheme val="minor"/>
      </rPr>
      <t>(Tekrar Vizyon)</t>
    </r>
  </si>
  <si>
    <t>2020 / 07</t>
  </si>
  <si>
    <t>14 - 20 Şubat 2020</t>
  </si>
  <si>
    <t>MASALLARDAN GERİYE KALAN</t>
  </si>
  <si>
    <t>MINT PRODÜKSİYON</t>
  </si>
  <si>
    <t>SEBERG</t>
  </si>
  <si>
    <t>TRUE HISTORY OF THE KELLY GANG</t>
  </si>
  <si>
    <t>2020 / 08</t>
  </si>
  <si>
    <t>21 - 27 Şubat 2020</t>
  </si>
  <si>
    <t>IN THE FADE</t>
  </si>
  <si>
    <t>07 - 13 Şubat 2020</t>
  </si>
  <si>
    <t>GEGEN DIE WAND</t>
  </si>
  <si>
    <t>2020 / 09</t>
  </si>
  <si>
    <t>28 Şubat - 05 Mart 2020</t>
  </si>
  <si>
    <t>GOOD TIME</t>
  </si>
  <si>
    <t>MANCHESTER BY THE SEA</t>
  </si>
  <si>
    <t>JACKIE</t>
  </si>
  <si>
    <t>2020 / 10</t>
  </si>
  <si>
    <t>06 - 12 Mart 2020</t>
  </si>
  <si>
    <t>FIXIES VS. CRABOTS</t>
  </si>
  <si>
    <t>CURRENT WAR, THE</t>
  </si>
  <si>
    <t>CAPT'N SHARKY</t>
  </si>
  <si>
    <t>2020 / 11</t>
  </si>
  <si>
    <t>13 - 19 Mart 2020</t>
  </si>
  <si>
    <t>ARAF 4: MERYEM</t>
  </si>
  <si>
    <t>EYES F. &amp; MATİNE F.</t>
  </si>
  <si>
    <t>2020 / 27</t>
  </si>
  <si>
    <t>03 - 09 Temmuz 2020</t>
  </si>
  <si>
    <t>KARIŞIK KASET</t>
  </si>
  <si>
    <t>OLD MAN &amp; THE GUN, THE</t>
  </si>
  <si>
    <t>2020 / 28</t>
  </si>
  <si>
    <t>10 - 16 Temmuz 2020</t>
  </si>
  <si>
    <t>KIZIM GİBİ KOKUYORSUN</t>
  </si>
  <si>
    <t>SARGONA FİLM</t>
  </si>
  <si>
    <t>2020 / 29</t>
  </si>
  <si>
    <t>17 - 23 Temmuz 2020</t>
  </si>
  <si>
    <t>TIME FREAK</t>
  </si>
  <si>
    <t>ADOPT A DADDY</t>
  </si>
  <si>
    <t>2020 / 30</t>
  </si>
  <si>
    <t>24 - 30 Temmuz 2020</t>
  </si>
  <si>
    <t>JULIET, NAKED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</si>
</sst>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9" fontId="9" fillId="3" borderId="4" xfId="0" applyNumberFormat="1" applyFont="1" applyFill="1" applyBorder="1" applyAlignment="1">
      <alignment horizontal="left" vertical="center" shrinkToFit="1"/>
    </xf>
    <xf numFmtId="165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67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8" fontId="9" fillId="0" borderId="38" xfId="0" applyNumberFormat="1" applyFont="1" applyFill="1" applyBorder="1" applyAlignment="1">
      <alignment vertical="center" shrinkToFit="1"/>
    </xf>
    <xf numFmtId="167" fontId="9" fillId="0" borderId="39" xfId="2" applyNumberFormat="1" applyFont="1" applyFill="1" applyBorder="1" applyAlignment="1" applyProtection="1">
      <alignment vertical="center" shrinkToFit="1"/>
      <protection locked="0"/>
    </xf>
    <xf numFmtId="168" fontId="9" fillId="3" borderId="43" xfId="0" applyNumberFormat="1" applyFont="1" applyFill="1" applyBorder="1" applyAlignment="1">
      <alignment vertical="center" shrinkToFit="1"/>
    </xf>
    <xf numFmtId="0" fontId="9" fillId="4" borderId="26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17</v>
      </c>
      <c r="H6" s="32">
        <v>17</v>
      </c>
      <c r="I6" s="33">
        <v>5</v>
      </c>
      <c r="J6" s="34">
        <v>7046</v>
      </c>
      <c r="K6" s="35">
        <v>516</v>
      </c>
      <c r="L6" s="36">
        <f>K6/H6</f>
        <v>30.352941176470587</v>
      </c>
      <c r="M6" s="37">
        <f>+J6/K6</f>
        <v>13.655038759689923</v>
      </c>
      <c r="N6" s="38">
        <f>209269+2420+3159+5695+7046</f>
        <v>227589</v>
      </c>
      <c r="O6" s="39">
        <f>11877+152+220+415+516</f>
        <v>13180</v>
      </c>
      <c r="P6" s="40">
        <f>N6/O6</f>
        <v>17.267754172989378</v>
      </c>
      <c r="Q6" s="2"/>
      <c r="R6" s="2"/>
      <c r="S6" s="2"/>
    </row>
    <row r="7" spans="1:19" s="8" customFormat="1" ht="22.5" customHeight="1" x14ac:dyDescent="0.25">
      <c r="B7" s="9">
        <f t="shared" ref="B7:B14" si="0">B6+1</f>
        <v>2</v>
      </c>
      <c r="C7" s="18" t="s">
        <v>44</v>
      </c>
      <c r="D7" s="19">
        <v>43770</v>
      </c>
      <c r="E7" s="20" t="s">
        <v>15</v>
      </c>
      <c r="F7" s="20" t="s">
        <v>16</v>
      </c>
      <c r="G7" s="21">
        <v>1</v>
      </c>
      <c r="H7" s="21">
        <v>1</v>
      </c>
      <c r="I7" s="22">
        <v>10</v>
      </c>
      <c r="J7" s="10">
        <v>1200</v>
      </c>
      <c r="K7" s="11">
        <v>80</v>
      </c>
      <c r="L7" s="23">
        <f>K7/H7</f>
        <v>80</v>
      </c>
      <c r="M7" s="24">
        <f>+J7/K7</f>
        <v>15</v>
      </c>
      <c r="N7" s="25">
        <f>609662.5+131067+15933+4836+875+910+542+6309.6+300+1200</f>
        <v>771635.1</v>
      </c>
      <c r="O7" s="26">
        <f>34810+8470+1105+335+81+87+51+629+29+80</f>
        <v>45677</v>
      </c>
      <c r="P7" s="27">
        <f>N7/O7</f>
        <v>16.89329640738227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52</v>
      </c>
      <c r="D8" s="19">
        <v>43854</v>
      </c>
      <c r="E8" s="20" t="s">
        <v>15</v>
      </c>
      <c r="F8" s="20" t="s">
        <v>15</v>
      </c>
      <c r="G8" s="21">
        <v>4</v>
      </c>
      <c r="H8" s="21">
        <v>4</v>
      </c>
      <c r="I8" s="22">
        <v>7</v>
      </c>
      <c r="J8" s="10">
        <v>1123</v>
      </c>
      <c r="K8" s="11">
        <v>79</v>
      </c>
      <c r="L8" s="23">
        <f>K8/H8</f>
        <v>19.75</v>
      </c>
      <c r="M8" s="24">
        <f>+J8/K8</f>
        <v>14.215189873417721</v>
      </c>
      <c r="N8" s="25">
        <f>42933.5+11236+9203+3099+234+798+1123</f>
        <v>68626.5</v>
      </c>
      <c r="O8" s="26">
        <f>2608+685+538+176+14+46+79</f>
        <v>4146</v>
      </c>
      <c r="P8" s="27">
        <f>N8/O8</f>
        <v>16.552460202604919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96</v>
      </c>
      <c r="D9" s="19">
        <v>44022</v>
      </c>
      <c r="E9" s="20" t="s">
        <v>15</v>
      </c>
      <c r="F9" s="20" t="s">
        <v>97</v>
      </c>
      <c r="G9" s="21">
        <v>2</v>
      </c>
      <c r="H9" s="21">
        <v>2</v>
      </c>
      <c r="I9" s="22">
        <v>3</v>
      </c>
      <c r="J9" s="10">
        <v>831</v>
      </c>
      <c r="K9" s="11">
        <v>45</v>
      </c>
      <c r="L9" s="23">
        <f>K9/H9</f>
        <v>22.5</v>
      </c>
      <c r="M9" s="24">
        <f>+J9/K9</f>
        <v>18.466666666666665</v>
      </c>
      <c r="N9" s="25">
        <f>1613+832+831</f>
        <v>3276</v>
      </c>
      <c r="O9" s="26">
        <f>125+56+45</f>
        <v>226</v>
      </c>
      <c r="P9" s="27">
        <f>N9/O9</f>
        <v>14.495575221238939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24</v>
      </c>
      <c r="J10" s="10">
        <v>665</v>
      </c>
      <c r="K10" s="11">
        <v>51</v>
      </c>
      <c r="L10" s="23">
        <f>K10/H10</f>
        <v>51</v>
      </c>
      <c r="M10" s="24">
        <f>+J10/K10</f>
        <v>13.03921568627451</v>
      </c>
      <c r="N10" s="25">
        <f>27204+550044+312325+331653+234959.2+204582.5+144904+128591.5+68901.5+76727+73179.5+86760.8+102319.5+89592+64930.5+628549+1455046.5+981957+747644+394027.5+70399+9194+2414+612+665</f>
        <v>6787182</v>
      </c>
      <c r="O10" s="26">
        <f>1873+26223+14137+14500+11472+10085+6575+6015+3308+3477+3326+4437+4671+4097+2926+45580+108273+74395+48685+25493+4405+820+114+47+51</f>
        <v>424985</v>
      </c>
      <c r="P10" s="27">
        <f>N10/O10</f>
        <v>15.970403661305694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104</v>
      </c>
      <c r="D11" s="19">
        <v>43553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180</v>
      </c>
      <c r="K11" s="11">
        <v>18</v>
      </c>
      <c r="L11" s="23">
        <f>K11/H11</f>
        <v>18</v>
      </c>
      <c r="M11" s="24">
        <f>+J11/K11</f>
        <v>10</v>
      </c>
      <c r="N11" s="25">
        <f>168079.31+16344.15+4752+3892+6058.8+912+180</f>
        <v>200218.25999999998</v>
      </c>
      <c r="O11" s="26">
        <f>9102+943+475+384+606+65+18</f>
        <v>11593</v>
      </c>
      <c r="P11" s="27">
        <f>N11/O11</f>
        <v>17.270616751487964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45</v>
      </c>
      <c r="D12" s="19">
        <v>43854</v>
      </c>
      <c r="E12" s="20" t="s">
        <v>15</v>
      </c>
      <c r="F12" s="20" t="s">
        <v>15</v>
      </c>
      <c r="G12" s="21">
        <v>1</v>
      </c>
      <c r="H12" s="21">
        <v>1</v>
      </c>
      <c r="I12" s="22">
        <v>9</v>
      </c>
      <c r="J12" s="10">
        <v>160</v>
      </c>
      <c r="K12" s="11">
        <v>16</v>
      </c>
      <c r="L12" s="23">
        <f>K12/H12</f>
        <v>16</v>
      </c>
      <c r="M12" s="24">
        <f>+J12/K12</f>
        <v>10</v>
      </c>
      <c r="N12" s="25">
        <f>5439+1652+94419+26989+8240+1167+3409.2+2970+335+40+160</f>
        <v>144820.20000000001</v>
      </c>
      <c r="O12" s="26">
        <f>337+106+4328+1517+645+137+353+297+19+4+16</f>
        <v>7759</v>
      </c>
      <c r="P12" s="27">
        <f>N12/O12</f>
        <v>18.664802165227478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84</v>
      </c>
      <c r="D13" s="19">
        <v>43721</v>
      </c>
      <c r="E13" s="20" t="s">
        <v>15</v>
      </c>
      <c r="F13" s="20" t="s">
        <v>16</v>
      </c>
      <c r="G13" s="21">
        <v>1</v>
      </c>
      <c r="H13" s="21">
        <v>1</v>
      </c>
      <c r="I13" s="22">
        <v>13</v>
      </c>
      <c r="J13" s="10">
        <v>100</v>
      </c>
      <c r="K13" s="11">
        <v>10</v>
      </c>
      <c r="L13" s="23">
        <f t="shared" ref="L13" si="1">K13/H13</f>
        <v>10</v>
      </c>
      <c r="M13" s="24">
        <f t="shared" ref="M13" si="2">+J13/K13</f>
        <v>10</v>
      </c>
      <c r="N13" s="25">
        <f>1189575.5+908177.5+623160.5+325667+65052+1396+8874.8+7840.8+10692+2376+2376+1325+100</f>
        <v>3146613.0999999996</v>
      </c>
      <c r="O13" s="26">
        <f>63951+49598+33178+16470+2937+78+929+784+1070+238+238+72+10</f>
        <v>169553</v>
      </c>
      <c r="P13" s="27">
        <f t="shared" ref="P13" si="3">N13/O13</f>
        <v>18.558286199595404</v>
      </c>
      <c r="Q13" s="2"/>
      <c r="R13" s="2"/>
      <c r="S13" s="2"/>
    </row>
    <row r="14" spans="1:19" s="8" customFormat="1" ht="22.5" customHeight="1" thickBot="1" x14ac:dyDescent="0.3">
      <c r="B14" s="41">
        <f t="shared" si="0"/>
        <v>9</v>
      </c>
      <c r="C14" s="42" t="s">
        <v>28</v>
      </c>
      <c r="D14" s="43">
        <v>43833</v>
      </c>
      <c r="E14" s="44" t="s">
        <v>15</v>
      </c>
      <c r="F14" s="44" t="s">
        <v>15</v>
      </c>
      <c r="G14" s="45">
        <v>1</v>
      </c>
      <c r="H14" s="45">
        <v>1</v>
      </c>
      <c r="I14" s="46">
        <v>12</v>
      </c>
      <c r="J14" s="47">
        <v>60</v>
      </c>
      <c r="K14" s="48">
        <v>6</v>
      </c>
      <c r="L14" s="49">
        <f>K14/H14</f>
        <v>6</v>
      </c>
      <c r="M14" s="50">
        <f>+J14/K14</f>
        <v>10</v>
      </c>
      <c r="N14" s="51">
        <f>2396+241386.5+98796.5+39896+13025+3620+9820+13166.5+27977+165+7095+40+60</f>
        <v>457443.5</v>
      </c>
      <c r="O14" s="52">
        <f>125+9946+4192+2079+536+139+417+654+2168+11+658+4+6</f>
        <v>20935</v>
      </c>
      <c r="P14" s="53">
        <f>N14/O14</f>
        <v>21.850656794841175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74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20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66</v>
      </c>
      <c r="H6" s="32">
        <v>66</v>
      </c>
      <c r="I6" s="33">
        <v>15</v>
      </c>
      <c r="J6" s="34">
        <v>628549</v>
      </c>
      <c r="K6" s="35">
        <v>45580</v>
      </c>
      <c r="L6" s="36">
        <f>K6/H6</f>
        <v>690.60606060606062</v>
      </c>
      <c r="M6" s="37">
        <f>+J6/K6</f>
        <v>13.790017551557701</v>
      </c>
      <c r="N6" s="38">
        <f>27204+550044+312325+331653+234959.2+204582.5+144904+128591.5+68901.5+76727+73179.5+86760.8+102319.5+89592+64930.5+628549</f>
        <v>3125223</v>
      </c>
      <c r="O6" s="39">
        <f>1873+26223+14137+14500+11472+10085+6575+6015+3308+3477+3326+4437+4671+4097+2926+45580</f>
        <v>162702</v>
      </c>
      <c r="P6" s="40">
        <f>N6/O6</f>
        <v>19.208264188516427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40</v>
      </c>
      <c r="H7" s="21">
        <v>40</v>
      </c>
      <c r="I7" s="22">
        <v>2</v>
      </c>
      <c r="J7" s="10">
        <v>37013</v>
      </c>
      <c r="K7" s="11">
        <v>2254</v>
      </c>
      <c r="L7" s="23">
        <f t="shared" ref="L7" si="1">K7/H7</f>
        <v>56.35</v>
      </c>
      <c r="M7" s="24">
        <f t="shared" ref="M7" si="2">+J7/K7</f>
        <v>16.421029281277729</v>
      </c>
      <c r="N7" s="25">
        <f>9454+241951+37013</f>
        <v>288418</v>
      </c>
      <c r="O7" s="26">
        <f>556+13027+2254</f>
        <v>15837</v>
      </c>
      <c r="P7" s="27">
        <f t="shared" ref="P7" si="3">N7/O7</f>
        <v>18.211656248026774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3</v>
      </c>
      <c r="H8" s="21">
        <v>3</v>
      </c>
      <c r="I8" s="22">
        <v>6</v>
      </c>
      <c r="J8" s="10">
        <v>9820</v>
      </c>
      <c r="K8" s="11">
        <v>417</v>
      </c>
      <c r="L8" s="23">
        <f>K8/H8</f>
        <v>139</v>
      </c>
      <c r="M8" s="24">
        <f>+J8/K8</f>
        <v>23.549160671462829</v>
      </c>
      <c r="N8" s="25">
        <f>2396+241386.5+98796.5+39896+13025+3620+9820</f>
        <v>408940</v>
      </c>
      <c r="O8" s="26">
        <f>125+9946+4192+2079+536+139+417</f>
        <v>17434</v>
      </c>
      <c r="P8" s="27">
        <f>N8/O8</f>
        <v>23.456464379947228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4</v>
      </c>
      <c r="H9" s="21">
        <v>4</v>
      </c>
      <c r="I9" s="22">
        <v>3</v>
      </c>
      <c r="J9" s="10">
        <v>9203</v>
      </c>
      <c r="K9" s="11">
        <v>538</v>
      </c>
      <c r="L9" s="23">
        <f>K9/H9</f>
        <v>134.5</v>
      </c>
      <c r="M9" s="24">
        <f>+J9/K9</f>
        <v>17.105947955390334</v>
      </c>
      <c r="N9" s="25">
        <f>42933.5+11236+9203</f>
        <v>63372.5</v>
      </c>
      <c r="O9" s="26">
        <f>2608+685+538</f>
        <v>3831</v>
      </c>
      <c r="P9" s="27">
        <f>N9/O9</f>
        <v>16.542025580788305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45</v>
      </c>
      <c r="D10" s="19">
        <v>43854</v>
      </c>
      <c r="E10" s="20" t="s">
        <v>15</v>
      </c>
      <c r="F10" s="20" t="s">
        <v>15</v>
      </c>
      <c r="G10" s="21">
        <v>7</v>
      </c>
      <c r="H10" s="21">
        <v>7</v>
      </c>
      <c r="I10" s="22">
        <v>3</v>
      </c>
      <c r="J10" s="10">
        <v>8240</v>
      </c>
      <c r="K10" s="11">
        <v>645</v>
      </c>
      <c r="L10" s="23">
        <f>K10/H10</f>
        <v>92.142857142857139</v>
      </c>
      <c r="M10" s="24">
        <f>+J10/K10</f>
        <v>12.775193798449612</v>
      </c>
      <c r="N10" s="25">
        <f>5439+1652+94419+26989+8240</f>
        <v>136739</v>
      </c>
      <c r="O10" s="26">
        <f>337+106+4328+1517+645</f>
        <v>6933</v>
      </c>
      <c r="P10" s="27">
        <f>N10/O10</f>
        <v>19.722919371123613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64</v>
      </c>
      <c r="D11" s="19">
        <v>43868</v>
      </c>
      <c r="E11" s="20" t="s">
        <v>15</v>
      </c>
      <c r="F11" s="20" t="s">
        <v>15</v>
      </c>
      <c r="G11" s="21">
        <v>15</v>
      </c>
      <c r="H11" s="21">
        <v>15</v>
      </c>
      <c r="I11" s="22">
        <v>1</v>
      </c>
      <c r="J11" s="10">
        <v>5823</v>
      </c>
      <c r="K11" s="11">
        <v>460</v>
      </c>
      <c r="L11" s="23">
        <f>K11/H11</f>
        <v>30.666666666666668</v>
      </c>
      <c r="M11" s="24">
        <f>+J11/K11</f>
        <v>12.658695652173913</v>
      </c>
      <c r="N11" s="25">
        <f>5823</f>
        <v>5823</v>
      </c>
      <c r="O11" s="26">
        <f>460</f>
        <v>460</v>
      </c>
      <c r="P11" s="27">
        <f>N11/O11</f>
        <v>12.658695652173913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44</v>
      </c>
      <c r="D12" s="19">
        <v>43770</v>
      </c>
      <c r="E12" s="20" t="s">
        <v>15</v>
      </c>
      <c r="F12" s="20" t="s">
        <v>16</v>
      </c>
      <c r="G12" s="21">
        <v>14</v>
      </c>
      <c r="H12" s="21">
        <v>14</v>
      </c>
      <c r="I12" s="22">
        <v>4</v>
      </c>
      <c r="J12" s="10">
        <v>4836</v>
      </c>
      <c r="K12" s="11">
        <v>335</v>
      </c>
      <c r="L12" s="23">
        <f t="shared" ref="L12" si="4">K12/H12</f>
        <v>23.928571428571427</v>
      </c>
      <c r="M12" s="24">
        <f t="shared" ref="M12" si="5">+J12/K12</f>
        <v>14.435820895522388</v>
      </c>
      <c r="N12" s="25">
        <f>609662.5+131067+15933+4836</f>
        <v>761498.5</v>
      </c>
      <c r="O12" s="26">
        <f>34810+8470+1105+335</f>
        <v>44720</v>
      </c>
      <c r="P12" s="27">
        <f t="shared" ref="P12" si="6">N12/O12</f>
        <v>17.028141771019676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20</v>
      </c>
      <c r="J13" s="10">
        <v>3564</v>
      </c>
      <c r="K13" s="11">
        <v>356</v>
      </c>
      <c r="L13" s="23">
        <f>K13/H13</f>
        <v>356</v>
      </c>
      <c r="M13" s="24">
        <f>+J13/K13</f>
        <v>10.011235955056179</v>
      </c>
      <c r="N13" s="25">
        <f>528+327252+32278+11310+11072+6736+7179.6+7500.5+2520+7656+6544+9085+10856+235+1425.6+6058.8+4752+4158+10692+4158+3564</f>
        <v>475560.49999999994</v>
      </c>
      <c r="O13" s="26">
        <f>44+19588+2088+742+697+433+644+622+252+762+659+915+1186+23+143+606+475+416+1069+416+356</f>
        <v>32136</v>
      </c>
      <c r="P13" s="27">
        <f>N13/O13</f>
        <v>14.798372541697782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63</v>
      </c>
      <c r="D14" s="19">
        <v>42762</v>
      </c>
      <c r="E14" s="20" t="s">
        <v>15</v>
      </c>
      <c r="F14" s="20" t="s">
        <v>15</v>
      </c>
      <c r="G14" s="21">
        <v>1</v>
      </c>
      <c r="H14" s="21">
        <v>1</v>
      </c>
      <c r="I14" s="22">
        <v>26</v>
      </c>
      <c r="J14" s="10">
        <v>2376</v>
      </c>
      <c r="K14" s="11">
        <v>238</v>
      </c>
      <c r="L14" s="23">
        <f>K14/H14</f>
        <v>238</v>
      </c>
      <c r="M14" s="24">
        <f>+J14/K14</f>
        <v>9.9831932773109244</v>
      </c>
      <c r="N14" s="25">
        <f>423552.43+137520.75+35366.07+17928+7616+7160+3154.1+4667.5+6534+4989.6+1663.2+1425.6+1493+1425.6+2376+1782+3564+1188+2613.6+2970+1900.8+1188+1188+1188+2851.2+2376</f>
        <v>679681.44999999972</v>
      </c>
      <c r="O14" s="26">
        <f>38960+12726+3679+2231+936+916+489+837+1306+998+333+285+266+285+475+356+713+238+523+594+380+238+238+238+285+238</f>
        <v>68763</v>
      </c>
      <c r="P14" s="27">
        <f>N14/O14</f>
        <v>9.8844065849366629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34</v>
      </c>
      <c r="D15" s="19">
        <v>43749</v>
      </c>
      <c r="E15" s="20" t="s">
        <v>15</v>
      </c>
      <c r="F15" s="20" t="s">
        <v>15</v>
      </c>
      <c r="G15" s="21">
        <v>1</v>
      </c>
      <c r="H15" s="21">
        <v>1</v>
      </c>
      <c r="I15" s="22">
        <v>13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196923+135978.5+95605.5+44166.7+22738+10355+3032+3658+836+2613.6+1900.8+7716+2376</f>
        <v>527899.1</v>
      </c>
      <c r="O15" s="26">
        <f>9042+6709+4673+2472+1161+572+223+278+55+261+190+375+238</f>
        <v>26249</v>
      </c>
      <c r="P15" s="27">
        <f>N15/O15</f>
        <v>20.111208046020799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33</v>
      </c>
      <c r="D16" s="19">
        <v>43553</v>
      </c>
      <c r="E16" s="20" t="s">
        <v>15</v>
      </c>
      <c r="F16" s="20" t="s">
        <v>15</v>
      </c>
      <c r="G16" s="21">
        <v>1</v>
      </c>
      <c r="H16" s="21">
        <v>1</v>
      </c>
      <c r="I16" s="22">
        <v>27</v>
      </c>
      <c r="J16" s="10">
        <v>2376</v>
      </c>
      <c r="K16" s="11">
        <v>238</v>
      </c>
      <c r="L16" s="23">
        <f>K16/H16</f>
        <v>238</v>
      </c>
      <c r="M16" s="24">
        <f>+J16/K16</f>
        <v>9.9831932773109244</v>
      </c>
      <c r="N16" s="25">
        <f>242051.53+84771.14+16642.4+11940+9318+39740+646+120+110+294+1188+624+2970+950.4+2245.6+816+3761+156+2970+872+2376+1900.8+4870.8+1008+2772+2376+2376</f>
        <v>439865.67</v>
      </c>
      <c r="O16" s="26">
        <f>16251+6356+2005+1652+1427+6553+85+12+11+44+228+52+297+95+224+63+373+11+297+109+238+190+487+126+271+238+238</f>
        <v>37933</v>
      </c>
      <c r="P16" s="27">
        <f>N16/O16</f>
        <v>11.595857696464819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24</v>
      </c>
      <c r="D17" s="19">
        <v>43798</v>
      </c>
      <c r="E17" s="20" t="s">
        <v>15</v>
      </c>
      <c r="F17" s="20" t="s">
        <v>25</v>
      </c>
      <c r="G17" s="21">
        <v>1</v>
      </c>
      <c r="H17" s="21">
        <v>1</v>
      </c>
      <c r="I17" s="22">
        <v>9</v>
      </c>
      <c r="J17" s="10">
        <v>2306</v>
      </c>
      <c r="K17" s="11">
        <v>144</v>
      </c>
      <c r="L17" s="23">
        <f>K17/H17</f>
        <v>144</v>
      </c>
      <c r="M17" s="24">
        <f>+J17/K17</f>
        <v>16.013888888888889</v>
      </c>
      <c r="N17" s="25">
        <f>35291.5+48192+38988+17228+262+15638+12162+3564+2306</f>
        <v>173631.5</v>
      </c>
      <c r="O17" s="26">
        <f>2413+3488+2602+1575+14+1533+1204+356+144</f>
        <v>13329</v>
      </c>
      <c r="P17" s="27">
        <f>N17/O17</f>
        <v>13.026596143746717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35</v>
      </c>
      <c r="D18" s="19">
        <v>43574</v>
      </c>
      <c r="E18" s="20" t="s">
        <v>15</v>
      </c>
      <c r="F18" s="20" t="s">
        <v>36</v>
      </c>
      <c r="G18" s="21">
        <v>1</v>
      </c>
      <c r="H18" s="21">
        <v>1</v>
      </c>
      <c r="I18" s="22">
        <v>20</v>
      </c>
      <c r="J18" s="10">
        <v>2138.4</v>
      </c>
      <c r="K18" s="11">
        <v>214</v>
      </c>
      <c r="L18" s="23">
        <f t="shared" ref="L18" si="7">K18/H18</f>
        <v>214</v>
      </c>
      <c r="M18" s="24">
        <f t="shared" ref="M18" si="8">+J18/K18</f>
        <v>9.9925233644859812</v>
      </c>
      <c r="N18" s="25">
        <f>891639.74+514882.09+251917.6+155493.17+92232.86+40370.81+3230.5+5765.5+5346+3682.8+1900.8+7840.8+1782+7365.6+2376+2376+2376+8791.2+7128+2138.4</f>
        <v>2008635.8700000003</v>
      </c>
      <c r="O18" s="26">
        <f>62063+37438+17963+14142+7891+3653+298+589+515+368+190+784+178+737+238+238+238+879+713+214</f>
        <v>149329</v>
      </c>
      <c r="P18" s="27">
        <f t="shared" ref="P18" si="9">N18/O18</f>
        <v>13.451076950893667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19</v>
      </c>
      <c r="D19" s="19">
        <v>43483</v>
      </c>
      <c r="E19" s="20" t="s">
        <v>15</v>
      </c>
      <c r="F19" s="20" t="s">
        <v>15</v>
      </c>
      <c r="G19" s="21">
        <v>1</v>
      </c>
      <c r="H19" s="21">
        <v>1</v>
      </c>
      <c r="I19" s="22">
        <v>26</v>
      </c>
      <c r="J19" s="10">
        <v>2138.4</v>
      </c>
      <c r="K19" s="11">
        <v>214</v>
      </c>
      <c r="L19" s="23">
        <f t="shared" ref="L19" si="10">K19/H19</f>
        <v>214</v>
      </c>
      <c r="M19" s="24">
        <f t="shared" ref="M19" si="11">+J19/K19</f>
        <v>9.9925233644859812</v>
      </c>
      <c r="N19" s="25">
        <f>527858+247239.4+60544.33+22935.5+9543+2112+182+5741.35+198+6446.8+1900.8+8316+430+1188+1260+2970+2970+2019.6+4468.8+1782+4202+5464.8+272+5702.4+1782+2138.4</f>
        <v>929667.18000000017</v>
      </c>
      <c r="O19" s="26">
        <f>42309+20316+4739+1857+1470+254+18+778+33+974+190+913+139+119+105+297+297+202+452+178+451+546+34+570+178+214</f>
        <v>77633</v>
      </c>
      <c r="P19" s="27">
        <f t="shared" ref="P19" si="12">N19/O19</f>
        <v>11.975154637847309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26</v>
      </c>
      <c r="D20" s="43">
        <v>43770</v>
      </c>
      <c r="E20" s="44" t="s">
        <v>15</v>
      </c>
      <c r="F20" s="44" t="s">
        <v>27</v>
      </c>
      <c r="G20" s="45">
        <v>6</v>
      </c>
      <c r="H20" s="45">
        <v>6</v>
      </c>
      <c r="I20" s="46">
        <v>8</v>
      </c>
      <c r="J20" s="47">
        <v>272</v>
      </c>
      <c r="K20" s="48">
        <v>34</v>
      </c>
      <c r="L20" s="49">
        <f>K20/H20</f>
        <v>5.666666666666667</v>
      </c>
      <c r="M20" s="50">
        <f>+J20/K20</f>
        <v>8</v>
      </c>
      <c r="N20" s="51">
        <f>378926+79846+19515+14964+8765+3960+2220+272</f>
        <v>508468</v>
      </c>
      <c r="O20" s="52">
        <f>21844+4905+1778+1322+907+396+268+34</f>
        <v>31454</v>
      </c>
      <c r="P20" s="53">
        <f>N20/O20</f>
        <v>16.165447955744899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57</v>
      </c>
      <c r="D6" s="30">
        <v>43861</v>
      </c>
      <c r="E6" s="31" t="s">
        <v>15</v>
      </c>
      <c r="F6" s="31" t="s">
        <v>15</v>
      </c>
      <c r="G6" s="32">
        <v>132</v>
      </c>
      <c r="H6" s="32">
        <v>132</v>
      </c>
      <c r="I6" s="33">
        <v>1</v>
      </c>
      <c r="J6" s="34">
        <v>241951</v>
      </c>
      <c r="K6" s="35">
        <v>13027</v>
      </c>
      <c r="L6" s="36">
        <f t="shared" ref="L6" si="0">K6/H6</f>
        <v>98.689393939393938</v>
      </c>
      <c r="M6" s="37">
        <f t="shared" ref="M6" si="1">+J6/K6</f>
        <v>18.573040607968068</v>
      </c>
      <c r="N6" s="38">
        <f>9454+241951</f>
        <v>251405</v>
      </c>
      <c r="O6" s="39">
        <f>556+13027</f>
        <v>13583</v>
      </c>
      <c r="P6" s="40">
        <f t="shared" ref="P6" si="2">N6/O6</f>
        <v>18.508797761908269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11</v>
      </c>
      <c r="H7" s="21">
        <v>11</v>
      </c>
      <c r="I7" s="22">
        <v>14</v>
      </c>
      <c r="J7" s="10">
        <v>64930.5</v>
      </c>
      <c r="K7" s="11">
        <v>2926</v>
      </c>
      <c r="L7" s="23">
        <f>K7/H7</f>
        <v>266</v>
      </c>
      <c r="M7" s="24">
        <f>+J7/K7</f>
        <v>22.190874914559124</v>
      </c>
      <c r="N7" s="25">
        <f>27204+550044+312325+331653+234959.2+204582.5+144904+128591.5+68901.5+76727+73179.5+86760.8+102319.5+89592+64930.5</f>
        <v>2496674</v>
      </c>
      <c r="O7" s="26">
        <f>1873+26223+14137+14500+11472+10085+6575+6015+3308+3477+3326+4437+4671+4097+2926</f>
        <v>117122</v>
      </c>
      <c r="P7" s="27">
        <f>N7/O7</f>
        <v>21.316866173733374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45</v>
      </c>
      <c r="D8" s="19">
        <v>43854</v>
      </c>
      <c r="E8" s="20" t="s">
        <v>15</v>
      </c>
      <c r="F8" s="20" t="s">
        <v>15</v>
      </c>
      <c r="G8" s="21">
        <v>16</v>
      </c>
      <c r="H8" s="21">
        <v>16</v>
      </c>
      <c r="I8" s="22">
        <v>2</v>
      </c>
      <c r="J8" s="10">
        <v>26989</v>
      </c>
      <c r="K8" s="11">
        <v>1517</v>
      </c>
      <c r="L8" s="23">
        <f>K8/H8</f>
        <v>94.8125</v>
      </c>
      <c r="M8" s="24">
        <f>+J8/K8</f>
        <v>17.791034937376402</v>
      </c>
      <c r="N8" s="25">
        <f>5439+1652+94419+26989</f>
        <v>128499</v>
      </c>
      <c r="O8" s="26">
        <f>337+106+4328+1517</f>
        <v>6288</v>
      </c>
      <c r="P8" s="27">
        <f>N8/O8</f>
        <v>20.435591603053435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44</v>
      </c>
      <c r="D9" s="19">
        <v>43770</v>
      </c>
      <c r="E9" s="20" t="s">
        <v>15</v>
      </c>
      <c r="F9" s="20" t="s">
        <v>16</v>
      </c>
      <c r="G9" s="21">
        <v>17</v>
      </c>
      <c r="H9" s="21">
        <v>17</v>
      </c>
      <c r="I9" s="22">
        <v>3</v>
      </c>
      <c r="J9" s="10">
        <v>15933</v>
      </c>
      <c r="K9" s="11">
        <v>1105</v>
      </c>
      <c r="L9" s="23">
        <f t="shared" ref="L9" si="4">K9/H9</f>
        <v>65</v>
      </c>
      <c r="M9" s="24">
        <f t="shared" ref="M9" si="5">+J9/K9</f>
        <v>14.419004524886878</v>
      </c>
      <c r="N9" s="25">
        <f>609662.5+131067+15933</f>
        <v>756662.5</v>
      </c>
      <c r="O9" s="26">
        <f>34810+8470+1105</f>
        <v>44385</v>
      </c>
      <c r="P9" s="27">
        <f t="shared" ref="P9" si="6">N9/O9</f>
        <v>17.047707558859976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52</v>
      </c>
      <c r="D10" s="19">
        <v>43854</v>
      </c>
      <c r="E10" s="20" t="s">
        <v>15</v>
      </c>
      <c r="F10" s="20" t="s">
        <v>15</v>
      </c>
      <c r="G10" s="21">
        <v>8</v>
      </c>
      <c r="H10" s="21">
        <v>8</v>
      </c>
      <c r="I10" s="22">
        <v>2</v>
      </c>
      <c r="J10" s="10">
        <v>11236</v>
      </c>
      <c r="K10" s="11">
        <v>685</v>
      </c>
      <c r="L10" s="23">
        <f t="shared" ref="L10:L14" si="7">K10/H10</f>
        <v>85.625</v>
      </c>
      <c r="M10" s="24">
        <f t="shared" ref="M10:M14" si="8">+J10/K10</f>
        <v>16.402919708029199</v>
      </c>
      <c r="N10" s="25">
        <f>42933.5+11236</f>
        <v>54169.5</v>
      </c>
      <c r="O10" s="26">
        <f>2608+685</f>
        <v>3293</v>
      </c>
      <c r="P10" s="27">
        <f t="shared" ref="P10:P14" si="9">N10/O10</f>
        <v>16.449893713938657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23</v>
      </c>
      <c r="D11" s="19">
        <v>43784</v>
      </c>
      <c r="E11" s="20" t="s">
        <v>15</v>
      </c>
      <c r="F11" s="20" t="s">
        <v>15</v>
      </c>
      <c r="G11" s="21">
        <v>5</v>
      </c>
      <c r="H11" s="21">
        <v>5</v>
      </c>
      <c r="I11" s="22">
        <v>11</v>
      </c>
      <c r="J11" s="10">
        <v>8569.4</v>
      </c>
      <c r="K11" s="11">
        <v>868</v>
      </c>
      <c r="L11" s="23">
        <f>K11/H11</f>
        <v>173.6</v>
      </c>
      <c r="M11" s="24">
        <f>+J11/K11</f>
        <v>9.8725806451612907</v>
      </c>
      <c r="N11" s="25">
        <f>1245183.5+169614.5+71865.8+29102.5+19785+3392+8359+7998.6+13914.4+4053+8569.4</f>
        <v>1581837.7</v>
      </c>
      <c r="O11" s="26">
        <f>74795+11280+5220+2328+1564+254+823+805+1562+445+868</f>
        <v>99944</v>
      </c>
      <c r="P11" s="27">
        <f>N11/O11</f>
        <v>15.827240254542543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34</v>
      </c>
      <c r="D12" s="19">
        <v>43749</v>
      </c>
      <c r="E12" s="20" t="s">
        <v>15</v>
      </c>
      <c r="F12" s="20" t="s">
        <v>15</v>
      </c>
      <c r="G12" s="21">
        <v>3</v>
      </c>
      <c r="H12" s="21">
        <v>3</v>
      </c>
      <c r="I12" s="22">
        <v>12</v>
      </c>
      <c r="J12" s="10">
        <v>7716</v>
      </c>
      <c r="K12" s="11">
        <v>375</v>
      </c>
      <c r="L12" s="23">
        <f t="shared" si="7"/>
        <v>125</v>
      </c>
      <c r="M12" s="24">
        <f t="shared" si="8"/>
        <v>20.576000000000001</v>
      </c>
      <c r="N12" s="25">
        <f>196923+135978.5+95605.5+44166.7+22738+10355+3032+3658+836+2613.6+1900.8+7716</f>
        <v>525523.1</v>
      </c>
      <c r="O12" s="26">
        <f>9042+6709+4673+2472+1161+572+223+278+55+261+190+375</f>
        <v>26011</v>
      </c>
      <c r="P12" s="27">
        <f t="shared" si="9"/>
        <v>20.203879128061203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2</v>
      </c>
      <c r="H13" s="21">
        <v>2</v>
      </c>
      <c r="I13" s="22">
        <v>19</v>
      </c>
      <c r="J13" s="10">
        <v>4158</v>
      </c>
      <c r="K13" s="11">
        <v>416</v>
      </c>
      <c r="L13" s="23">
        <f>K13/H13</f>
        <v>208</v>
      </c>
      <c r="M13" s="24">
        <f>+J13/K13</f>
        <v>9.9951923076923084</v>
      </c>
      <c r="N13" s="25">
        <f>528+327252+32278+11310+11072+6736+7179.6+7500.5+2520+7656+6544+9085+10856+235+1425.6+6058.8+4752+4158+10692+4158</f>
        <v>471996.49999999994</v>
      </c>
      <c r="O13" s="26">
        <f>44+19588+2088+742+697+433+644+622+252+762+659+915+1186+23+143+606+475+416+1069+416</f>
        <v>31780</v>
      </c>
      <c r="P13" s="27">
        <f>N13/O13</f>
        <v>14.851998112020137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28</v>
      </c>
      <c r="D14" s="19">
        <v>43833</v>
      </c>
      <c r="E14" s="20" t="s">
        <v>15</v>
      </c>
      <c r="F14" s="20" t="s">
        <v>15</v>
      </c>
      <c r="G14" s="21">
        <v>2</v>
      </c>
      <c r="H14" s="21">
        <v>2</v>
      </c>
      <c r="I14" s="22">
        <v>5</v>
      </c>
      <c r="J14" s="10">
        <v>3620</v>
      </c>
      <c r="K14" s="11">
        <v>139</v>
      </c>
      <c r="L14" s="23">
        <f t="shared" si="7"/>
        <v>69.5</v>
      </c>
      <c r="M14" s="24">
        <f t="shared" si="8"/>
        <v>26.043165467625901</v>
      </c>
      <c r="N14" s="25">
        <f>2396+241386.5+98796.5+39896+13025+3620</f>
        <v>399120</v>
      </c>
      <c r="O14" s="26">
        <f>125+9946+4192+2079+536+139</f>
        <v>17017</v>
      </c>
      <c r="P14" s="27">
        <f t="shared" si="9"/>
        <v>23.454192865957573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49</v>
      </c>
      <c r="D15" s="19">
        <v>42909</v>
      </c>
      <c r="E15" s="20" t="s">
        <v>15</v>
      </c>
      <c r="F15" s="20" t="s">
        <v>15</v>
      </c>
      <c r="G15" s="21">
        <v>1</v>
      </c>
      <c r="H15" s="21">
        <v>1</v>
      </c>
      <c r="I15" s="22">
        <v>43</v>
      </c>
      <c r="J15" s="10">
        <v>2970</v>
      </c>
      <c r="K15" s="11">
        <v>297</v>
      </c>
      <c r="L15" s="23">
        <f t="shared" ref="L15" si="10">K15/H15</f>
        <v>297</v>
      </c>
      <c r="M15" s="24">
        <f t="shared" ref="M15" si="11">+J15/K15</f>
        <v>10</v>
      </c>
      <c r="N15" s="25">
        <f>122354.03+94669.39+16269.56+666+1226.5+638+202+294+1663.2+2376+5397+2374+3808+1782+1782+220+1188+2235+1988+2557+4376.4+2436+1782+2132+3207.6+1782+2970+1188+1900.8+3564+2376+1425.6+1425.6+1425.6+1425.6+1425.6+3020.35+1425.6+3564+1188+1900.8+2376+2970</f>
        <v>314977.22999999981</v>
      </c>
      <c r="O15" s="26">
        <f>10701+8555+1724+85+137+75+18+26+333+475+1107+450+770+356+356+44+238+396+185+438+775+465+356+406+641+356+594+238+380+713+475+285+285+285+285+286+302+143+356+119+190+238+297</f>
        <v>34939</v>
      </c>
      <c r="P15" s="27">
        <f t="shared" ref="P15" si="12">N15/O15</f>
        <v>9.0150613927130081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60</v>
      </c>
      <c r="D16" s="19">
        <v>43602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17</v>
      </c>
      <c r="J16" s="10">
        <v>2970</v>
      </c>
      <c r="K16" s="11">
        <v>297</v>
      </c>
      <c r="L16" s="23">
        <f t="shared" ref="L16" si="13">K16/H16</f>
        <v>297</v>
      </c>
      <c r="M16" s="24">
        <f t="shared" ref="M16" si="14">+J16/K16</f>
        <v>10</v>
      </c>
      <c r="N16" s="25">
        <f>75118.41+13690.5+596+27+1940.8+1188+1170.4+170+24+48+2970+2376+1900.8+2851.2+11642.4+2376+2970</f>
        <v>121059.51</v>
      </c>
      <c r="O16" s="26">
        <f>5768+1430+59+2+194+200+117+17+2+4+297+238+190+285+1164+238+297</f>
        <v>10502</v>
      </c>
      <c r="P16" s="27">
        <f t="shared" ref="P16" si="15">N16/O16</f>
        <v>11.527281470196153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38</v>
      </c>
      <c r="D17" s="19">
        <v>43525</v>
      </c>
      <c r="E17" s="20" t="s">
        <v>15</v>
      </c>
      <c r="F17" s="20" t="s">
        <v>39</v>
      </c>
      <c r="G17" s="21">
        <v>1</v>
      </c>
      <c r="H17" s="21">
        <v>1</v>
      </c>
      <c r="I17" s="22">
        <v>20</v>
      </c>
      <c r="J17" s="10">
        <v>2376</v>
      </c>
      <c r="K17" s="11">
        <v>238</v>
      </c>
      <c r="L17" s="23">
        <f>K17/H17</f>
        <v>238</v>
      </c>
      <c r="M17" s="24">
        <f>+J17/K17</f>
        <v>9.9831932773109244</v>
      </c>
      <c r="N17" s="25">
        <f>355473.23+81117.14+13155+7325+1044+3017.8+3088.8+1470+1166+95+427+1188+1188+2970+2376+4772.8+3343.6+1440+464+2376</f>
        <v>487497.36999999994</v>
      </c>
      <c r="O17" s="26">
        <f>23507+6505+1334+637+162+359+309+210+183+10+61+221+119+297+238+473+332+180+58+238</f>
        <v>35433</v>
      </c>
      <c r="P17" s="27">
        <f>N17/O17</f>
        <v>13.758286625462137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26</v>
      </c>
      <c r="D18" s="19">
        <v>43770</v>
      </c>
      <c r="E18" s="20" t="s">
        <v>15</v>
      </c>
      <c r="F18" s="20" t="s">
        <v>27</v>
      </c>
      <c r="G18" s="21">
        <v>11</v>
      </c>
      <c r="H18" s="21">
        <v>11</v>
      </c>
      <c r="I18" s="22">
        <v>7</v>
      </c>
      <c r="J18" s="10">
        <v>2220</v>
      </c>
      <c r="K18" s="11">
        <v>268</v>
      </c>
      <c r="L18" s="23">
        <f>K18/H18</f>
        <v>24.363636363636363</v>
      </c>
      <c r="M18" s="24">
        <f>+J18/K18</f>
        <v>8.2835820895522385</v>
      </c>
      <c r="N18" s="25">
        <f>378926+79846+19515+14964+8765+3960+2220</f>
        <v>508196</v>
      </c>
      <c r="O18" s="26">
        <f>21844+4905+1778+1322+907+396+268</f>
        <v>31420</v>
      </c>
      <c r="P18" s="27">
        <f>N18/O18</f>
        <v>16.174283895607893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42" t="s">
        <v>61</v>
      </c>
      <c r="D19" s="43">
        <v>42937</v>
      </c>
      <c r="E19" s="44" t="s">
        <v>15</v>
      </c>
      <c r="F19" s="44" t="s">
        <v>15</v>
      </c>
      <c r="G19" s="45">
        <v>1</v>
      </c>
      <c r="H19" s="45">
        <v>1</v>
      </c>
      <c r="I19" s="46">
        <v>17</v>
      </c>
      <c r="J19" s="47">
        <v>1238</v>
      </c>
      <c r="K19" s="48">
        <v>65</v>
      </c>
      <c r="L19" s="49">
        <f>K19/H19</f>
        <v>65</v>
      </c>
      <c r="M19" s="50">
        <f>+J19/K19</f>
        <v>19.046153846153846</v>
      </c>
      <c r="N19" s="51">
        <f>269804.79+164384.5+59611.7+14283.71+4947+4540+252+643+343+320+1046+846+115+1058+744+406+1238</f>
        <v>524582.69999999995</v>
      </c>
      <c r="O19" s="52">
        <f>23691+14253+5286+1293+335+376+26+85+43+38+108+91+13+112+77+42+65</f>
        <v>45934</v>
      </c>
      <c r="P19" s="53">
        <f>N19/O19</f>
        <v>11.420357469412634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43</v>
      </c>
      <c r="H6" s="32">
        <v>43</v>
      </c>
      <c r="I6" s="33">
        <v>2</v>
      </c>
      <c r="J6" s="34">
        <v>131067</v>
      </c>
      <c r="K6" s="35">
        <v>8470</v>
      </c>
      <c r="L6" s="36">
        <f t="shared" ref="L6:L10" si="0">K6/H6</f>
        <v>196.97674418604652</v>
      </c>
      <c r="M6" s="37">
        <f t="shared" ref="M6:M10" si="1">+J6/K6</f>
        <v>15.474262101534828</v>
      </c>
      <c r="N6" s="38">
        <f>609662.5+131067</f>
        <v>740729.5</v>
      </c>
      <c r="O6" s="39">
        <f>34810+8470</f>
        <v>43280</v>
      </c>
      <c r="P6" s="40">
        <f t="shared" ref="P6:P10" si="2">N6/O6</f>
        <v>17.114822088724583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45</v>
      </c>
      <c r="D7" s="19">
        <v>43854</v>
      </c>
      <c r="E7" s="20" t="s">
        <v>15</v>
      </c>
      <c r="F7" s="20" t="s">
        <v>15</v>
      </c>
      <c r="G7" s="21">
        <v>41</v>
      </c>
      <c r="H7" s="21">
        <v>41</v>
      </c>
      <c r="I7" s="22">
        <v>1</v>
      </c>
      <c r="J7" s="10">
        <v>94419</v>
      </c>
      <c r="K7" s="11">
        <v>4328</v>
      </c>
      <c r="L7" s="23">
        <f>K7/H7</f>
        <v>105.5609756097561</v>
      </c>
      <c r="M7" s="24">
        <f>+J7/K7</f>
        <v>21.815850277264325</v>
      </c>
      <c r="N7" s="25">
        <f>5439+1652+94419</f>
        <v>101510</v>
      </c>
      <c r="O7" s="26">
        <f>337+106+4328</f>
        <v>4771</v>
      </c>
      <c r="P7" s="27">
        <f>N7/O7</f>
        <v>21.276461957660867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10</v>
      </c>
      <c r="H8" s="21">
        <v>10</v>
      </c>
      <c r="I8" s="22">
        <v>13</v>
      </c>
      <c r="J8" s="10">
        <v>89592</v>
      </c>
      <c r="K8" s="11">
        <v>4097</v>
      </c>
      <c r="L8" s="23">
        <f t="shared" si="0"/>
        <v>409.7</v>
      </c>
      <c r="M8" s="24">
        <f t="shared" si="1"/>
        <v>21.867708079082256</v>
      </c>
      <c r="N8" s="25">
        <f>27204+550044+312325+331653+234959.2+204582.5+144904+128591.5+68901.5+76727+73179.5+86760.8+102319.5+89592</f>
        <v>2431743.5</v>
      </c>
      <c r="O8" s="26">
        <f>1873+26223+14137+14500+11472+10085+6575+6015+3308+3477+3326+4437+4671+4097</f>
        <v>114196</v>
      </c>
      <c r="P8" s="27">
        <f t="shared" si="2"/>
        <v>21.294471785351501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32</v>
      </c>
      <c r="H9" s="21">
        <v>32</v>
      </c>
      <c r="I9" s="22">
        <v>1</v>
      </c>
      <c r="J9" s="10">
        <v>42933.5</v>
      </c>
      <c r="K9" s="11">
        <v>2608</v>
      </c>
      <c r="L9" s="23">
        <f t="shared" si="0"/>
        <v>81.5</v>
      </c>
      <c r="M9" s="24">
        <f t="shared" si="1"/>
        <v>16.462231595092025</v>
      </c>
      <c r="N9" s="25">
        <f>42933.5</f>
        <v>42933.5</v>
      </c>
      <c r="O9" s="26">
        <f>2608</f>
        <v>2608</v>
      </c>
      <c r="P9" s="27">
        <f t="shared" si="2"/>
        <v>16.462231595092025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7</v>
      </c>
      <c r="H10" s="21">
        <v>7</v>
      </c>
      <c r="I10" s="22">
        <v>4</v>
      </c>
      <c r="J10" s="10">
        <v>13025</v>
      </c>
      <c r="K10" s="11">
        <v>536</v>
      </c>
      <c r="L10" s="23">
        <f t="shared" si="0"/>
        <v>76.571428571428569</v>
      </c>
      <c r="M10" s="24">
        <f t="shared" si="1"/>
        <v>24.300373134328357</v>
      </c>
      <c r="N10" s="25">
        <f>2396+241386.5+98796.5+39896+13025</f>
        <v>395500</v>
      </c>
      <c r="O10" s="26">
        <f>125+9946+4192+2079+536</f>
        <v>16878</v>
      </c>
      <c r="P10" s="27">
        <f t="shared" si="2"/>
        <v>23.432871193269346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3</v>
      </c>
      <c r="H11" s="21">
        <v>3</v>
      </c>
      <c r="I11" s="22">
        <v>18</v>
      </c>
      <c r="J11" s="10">
        <v>10692</v>
      </c>
      <c r="K11" s="11">
        <v>1069</v>
      </c>
      <c r="L11" s="23">
        <f>K11/H11</f>
        <v>356.33333333333331</v>
      </c>
      <c r="M11" s="24">
        <f>+J11/K11</f>
        <v>10.001870907390083</v>
      </c>
      <c r="N11" s="25">
        <f>528+327252+32278+11310+11072+6736+7179.6+7500.5+2520+7656+6544+9085+10856+235+1425.6+6058.8+4752+4158+10692</f>
        <v>467838.49999999994</v>
      </c>
      <c r="O11" s="26">
        <f>44+19588+2088+742+697+433+644+622+252+762+659+915+1186+23+143+606+475+416+1069</f>
        <v>31364</v>
      </c>
      <c r="P11" s="27">
        <f>N11/O11</f>
        <v>14.916416911108275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20</v>
      </c>
      <c r="H12" s="21">
        <v>20</v>
      </c>
      <c r="I12" s="22">
        <v>0</v>
      </c>
      <c r="J12" s="10">
        <v>9454</v>
      </c>
      <c r="K12" s="11">
        <v>556</v>
      </c>
      <c r="L12" s="23">
        <f t="shared" ref="L12" si="4">K12/H12</f>
        <v>27.8</v>
      </c>
      <c r="M12" s="24">
        <f t="shared" ref="M12" si="5">+J12/K12</f>
        <v>17.003597122302157</v>
      </c>
      <c r="N12" s="25">
        <f>9454</f>
        <v>9454</v>
      </c>
      <c r="O12" s="26">
        <f>556</f>
        <v>556</v>
      </c>
      <c r="P12" s="27">
        <f t="shared" ref="P12" si="6">N12/O12</f>
        <v>17.003597122302157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35</v>
      </c>
      <c r="D13" s="19">
        <v>43574</v>
      </c>
      <c r="E13" s="20" t="s">
        <v>15</v>
      </c>
      <c r="F13" s="20" t="s">
        <v>36</v>
      </c>
      <c r="G13" s="21">
        <v>2</v>
      </c>
      <c r="H13" s="21">
        <v>2</v>
      </c>
      <c r="I13" s="22">
        <v>19</v>
      </c>
      <c r="J13" s="10">
        <v>7128</v>
      </c>
      <c r="K13" s="11">
        <v>713</v>
      </c>
      <c r="L13" s="23">
        <f t="shared" ref="L13" si="7">K13/H13</f>
        <v>356.5</v>
      </c>
      <c r="M13" s="24">
        <f t="shared" ref="M13" si="8">+J13/K13</f>
        <v>9.9971949509116413</v>
      </c>
      <c r="N13" s="25">
        <f>891639.74+514882.09+251917.6+155493.17+92232.86+40370.81+3230.5+5765.5+5346+3682.8+1900.8+7840.8+1782+7365.6+2376+2376+2376+8791.2+7128</f>
        <v>2006497.4700000004</v>
      </c>
      <c r="O13" s="26">
        <f>62063+37438+17963+14142+7891+3653+298+589+515+368+190+784+178+737+238+238+238+879+713</f>
        <v>149115</v>
      </c>
      <c r="P13" s="27">
        <f t="shared" ref="P13" si="9">N13/O13</f>
        <v>13.456040438587671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53</v>
      </c>
      <c r="D14" s="19">
        <v>43308</v>
      </c>
      <c r="E14" s="20" t="s">
        <v>15</v>
      </c>
      <c r="F14" s="20" t="s">
        <v>15</v>
      </c>
      <c r="G14" s="21">
        <v>2</v>
      </c>
      <c r="H14" s="21">
        <v>2</v>
      </c>
      <c r="I14" s="22">
        <v>44</v>
      </c>
      <c r="J14" s="10">
        <v>5940</v>
      </c>
      <c r="K14" s="11">
        <v>594</v>
      </c>
      <c r="L14" s="23">
        <f>K14/H14</f>
        <v>297</v>
      </c>
      <c r="M14" s="24">
        <f>+J14/K14</f>
        <v>10</v>
      </c>
      <c r="N14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</f>
        <v>964220.74000000022</v>
      </c>
      <c r="O14" s="26">
        <f>42973+17328+5998+6197+1033+414+245+22+235+417+156+153+996+870+1003+1031+681+3392+1258+183+43+1293+337+105+234+760+597+618+39+238+102+190+273+32+22+190+297+297+202+297+1128+238+238+594</f>
        <v>92949</v>
      </c>
      <c r="P14" s="27">
        <f>N14/O14</f>
        <v>10.373653724085253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23</v>
      </c>
      <c r="D15" s="19">
        <v>43784</v>
      </c>
      <c r="E15" s="20" t="s">
        <v>15</v>
      </c>
      <c r="F15" s="20" t="s">
        <v>15</v>
      </c>
      <c r="G15" s="21">
        <v>3</v>
      </c>
      <c r="H15" s="21">
        <v>3</v>
      </c>
      <c r="I15" s="22">
        <v>10</v>
      </c>
      <c r="J15" s="10">
        <v>4053</v>
      </c>
      <c r="K15" s="11">
        <v>445</v>
      </c>
      <c r="L15" s="23">
        <f>K15/H15</f>
        <v>148.33333333333334</v>
      </c>
      <c r="M15" s="24">
        <f>+J15/K15</f>
        <v>9.107865168539325</v>
      </c>
      <c r="N15" s="25">
        <f>1245183.5+169614.5+71865.8+29102.5+19785+3392+8359+7998.6+13914.4+4053</f>
        <v>1573268.3</v>
      </c>
      <c r="O15" s="26">
        <f>74795+11280+5220+2328+1564+254+823+805+1562+445</f>
        <v>99076</v>
      </c>
      <c r="P15" s="27">
        <f>N15/O15</f>
        <v>15.879408736727362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26</v>
      </c>
      <c r="D16" s="19">
        <v>43770</v>
      </c>
      <c r="E16" s="20" t="s">
        <v>15</v>
      </c>
      <c r="F16" s="20" t="s">
        <v>27</v>
      </c>
      <c r="G16" s="21">
        <v>2</v>
      </c>
      <c r="H16" s="21">
        <v>2</v>
      </c>
      <c r="I16" s="22">
        <v>6</v>
      </c>
      <c r="J16" s="10">
        <v>3960</v>
      </c>
      <c r="K16" s="11">
        <v>396</v>
      </c>
      <c r="L16" s="23">
        <f>K16/H16</f>
        <v>198</v>
      </c>
      <c r="M16" s="24">
        <f>+J16/K16</f>
        <v>10</v>
      </c>
      <c r="N16" s="25">
        <f>378926+79846+19515+14964+8765+3960</f>
        <v>505976</v>
      </c>
      <c r="O16" s="26">
        <f>21844+4905+1778+1322+907+396</f>
        <v>31152</v>
      </c>
      <c r="P16" s="27">
        <f>N16/O16</f>
        <v>16.242167437082692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33</v>
      </c>
      <c r="D17" s="19">
        <v>43553</v>
      </c>
      <c r="E17" s="20" t="s">
        <v>15</v>
      </c>
      <c r="F17" s="20" t="s">
        <v>15</v>
      </c>
      <c r="G17" s="21">
        <v>1</v>
      </c>
      <c r="H17" s="21">
        <v>1</v>
      </c>
      <c r="I17" s="22">
        <v>26</v>
      </c>
      <c r="J17" s="10">
        <v>2376</v>
      </c>
      <c r="K17" s="11">
        <v>238</v>
      </c>
      <c r="L17" s="23">
        <f t="shared" ref="L17" si="10">K17/H17</f>
        <v>238</v>
      </c>
      <c r="M17" s="24">
        <f t="shared" ref="M17" si="11">+J17/K17</f>
        <v>9.9831932773109244</v>
      </c>
      <c r="N17" s="25">
        <f>242051.53+84771.14+16642.4+11940+9318+39740+646+120+110+294+1188+624+2970+950.4+2245.6+816+3761+156+2970+872+2376+1900.8+4870.8+1008+2772+2376</f>
        <v>437489.67</v>
      </c>
      <c r="O17" s="26">
        <f>16251+6356+2005+1652+1427+6553+85+12+11+44+228+52+297+95+224+63+373+11+297+109+238+190+487+126+271+238</f>
        <v>37695</v>
      </c>
      <c r="P17" s="27">
        <f t="shared" ref="P17" si="12">N17/O17</f>
        <v>11.606039793076004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54</v>
      </c>
      <c r="D18" s="19">
        <v>43161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37</v>
      </c>
      <c r="J18" s="10">
        <v>2138.4</v>
      </c>
      <c r="K18" s="11">
        <v>214</v>
      </c>
      <c r="L18" s="23">
        <f>K18/H18</f>
        <v>214</v>
      </c>
      <c r="M18" s="24">
        <f>+J18/K18</f>
        <v>9.9925233644859812</v>
      </c>
      <c r="N18" s="25">
        <f>497489.97+269062.17+147783.93+70711.07+15734.2+5590+2679.59+23328.62+13579.6+22946+2122+3564+3719+1438+700+7128.01+1648+235+145+14472.01+695+1900.8+582+1188+3020.35+205+1782+1900+1425.6+2851.2+1900.8+304+1900.8+2019.6+2376+2376+2138.4</f>
        <v>1132641.7200000002</v>
      </c>
      <c r="O18" s="26">
        <f>40750+23970+12901+6015+1973+1102+423+4956+3286+5218+468+713+744+288+140+1426+252+47+32+2887+139+380+97+231+604+41+356+350+285+570+380+38+190+202+238+238+214</f>
        <v>112144</v>
      </c>
      <c r="P18" s="27">
        <f>N18/O18</f>
        <v>10.099886931088601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54" t="s">
        <v>55</v>
      </c>
      <c r="D19" s="55">
        <v>42349</v>
      </c>
      <c r="E19" s="56" t="s">
        <v>15</v>
      </c>
      <c r="F19" s="56" t="s">
        <v>56</v>
      </c>
      <c r="G19" s="57">
        <v>1</v>
      </c>
      <c r="H19" s="57">
        <v>1</v>
      </c>
      <c r="I19" s="58">
        <v>16</v>
      </c>
      <c r="J19" s="47">
        <v>1188</v>
      </c>
      <c r="K19" s="48">
        <v>119</v>
      </c>
      <c r="L19" s="59">
        <f t="shared" ref="L19" si="13">K19/H19</f>
        <v>119</v>
      </c>
      <c r="M19" s="60">
        <f t="shared" ref="M19" si="14">+J19/K19</f>
        <v>9.9831932773109244</v>
      </c>
      <c r="N19" s="61">
        <f>4610+181831.64+60277+23669.6+15152.2+8814+4094.2+1838.2+1782+884+2376+66+133+182+280+2376+1188</f>
        <v>309553.84000000003</v>
      </c>
      <c r="O19" s="62">
        <f>449+13754+5226+2264+1349+791+419+193+356+121+475+10+20+28+28+475+119</f>
        <v>26077</v>
      </c>
      <c r="P19" s="63">
        <f t="shared" ref="P19" si="15">N19/O19</f>
        <v>11.87076120719408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43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130</v>
      </c>
      <c r="H6" s="32">
        <v>130</v>
      </c>
      <c r="I6" s="33">
        <v>1</v>
      </c>
      <c r="J6" s="34">
        <v>609662.5</v>
      </c>
      <c r="K6" s="35">
        <v>34810</v>
      </c>
      <c r="L6" s="36">
        <f>K6/H6</f>
        <v>267.76923076923077</v>
      </c>
      <c r="M6" s="37">
        <f>+J6/K6</f>
        <v>17.514004596380349</v>
      </c>
      <c r="N6" s="38">
        <f>609662.5</f>
        <v>609662.5</v>
      </c>
      <c r="O6" s="39">
        <f>34810</f>
        <v>34810</v>
      </c>
      <c r="P6" s="40">
        <f>N6/O6</f>
        <v>17.514004596380349</v>
      </c>
      <c r="Q6" s="2"/>
      <c r="R6" s="2"/>
      <c r="S6" s="2"/>
    </row>
    <row r="7" spans="1:19" s="8" customFormat="1" ht="22.5" customHeight="1" x14ac:dyDescent="0.25">
      <c r="B7" s="9">
        <f t="shared" ref="B7:B2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12</v>
      </c>
      <c r="H7" s="21">
        <v>12</v>
      </c>
      <c r="I7" s="22">
        <v>12</v>
      </c>
      <c r="J7" s="10">
        <v>102319.5</v>
      </c>
      <c r="K7" s="11">
        <v>4671</v>
      </c>
      <c r="L7" s="23">
        <f>K7/H7</f>
        <v>389.25</v>
      </c>
      <c r="M7" s="24">
        <f>+J7/K7</f>
        <v>21.905266538214516</v>
      </c>
      <c r="N7" s="25">
        <f>27204+550044+312325+331653+234959.2+204582.5+144904+128591.5+68901.5+76727+73179.5+86760.8+102319.5</f>
        <v>2342151.5</v>
      </c>
      <c r="O7" s="26">
        <f>1873+26223+14137+14500+11472+10085+6575+6015+3308+3477+3326+4437+4671</f>
        <v>110099</v>
      </c>
      <c r="P7" s="27">
        <f>N7/O7</f>
        <v>21.273140537152926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26</v>
      </c>
      <c r="H8" s="21">
        <v>26</v>
      </c>
      <c r="I8" s="22">
        <v>3</v>
      </c>
      <c r="J8" s="10">
        <v>39896</v>
      </c>
      <c r="K8" s="11">
        <v>2079</v>
      </c>
      <c r="L8" s="23">
        <f>K8/H8</f>
        <v>79.961538461538467</v>
      </c>
      <c r="M8" s="24">
        <f>+J8/K8</f>
        <v>19.189995189995191</v>
      </c>
      <c r="N8" s="25">
        <f>2396+241386.5+98796.5+39896</f>
        <v>382475</v>
      </c>
      <c r="O8" s="26">
        <f>125+9946+4192+2079</f>
        <v>16342</v>
      </c>
      <c r="P8" s="27">
        <f>N8/O8</f>
        <v>23.404418063884471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23</v>
      </c>
      <c r="D9" s="19">
        <v>43784</v>
      </c>
      <c r="E9" s="20" t="s">
        <v>15</v>
      </c>
      <c r="F9" s="20" t="s">
        <v>15</v>
      </c>
      <c r="G9" s="21">
        <v>5</v>
      </c>
      <c r="H9" s="21">
        <v>5</v>
      </c>
      <c r="I9" s="22">
        <v>9</v>
      </c>
      <c r="J9" s="10">
        <v>13914.4</v>
      </c>
      <c r="K9" s="11">
        <v>1562</v>
      </c>
      <c r="L9" s="23">
        <f>K9/H9</f>
        <v>312.39999999999998</v>
      </c>
      <c r="M9" s="24">
        <f>+J9/K9</f>
        <v>8.9080665813060183</v>
      </c>
      <c r="N9" s="25">
        <f>1245183.5+169614.5+71865.8+29102.5+19785+3392+8359+7998.6+13914.4</f>
        <v>1569215.3</v>
      </c>
      <c r="O9" s="26">
        <f>74795+11280+5220+2328+1564+254+823+805+1562</f>
        <v>98631</v>
      </c>
      <c r="P9" s="27">
        <f>N9/O9</f>
        <v>15.909960357291318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35</v>
      </c>
      <c r="D10" s="19">
        <v>43574</v>
      </c>
      <c r="E10" s="20" t="s">
        <v>15</v>
      </c>
      <c r="F10" s="20" t="s">
        <v>36</v>
      </c>
      <c r="G10" s="21">
        <v>2</v>
      </c>
      <c r="H10" s="21">
        <v>2</v>
      </c>
      <c r="I10" s="22">
        <v>18</v>
      </c>
      <c r="J10" s="10">
        <v>8791.2000000000007</v>
      </c>
      <c r="K10" s="11">
        <v>879</v>
      </c>
      <c r="L10" s="23">
        <f t="shared" ref="L10" si="1">K10/H10</f>
        <v>439.5</v>
      </c>
      <c r="M10" s="24">
        <f t="shared" ref="M10" si="2">+J10/K10</f>
        <v>10.001365187713311</v>
      </c>
      <c r="N10" s="25">
        <f>891639.74+514882.09+251917.6+155493.17+92232.86+40370.81+3230.5+5765.5+5346+3682.8+1900.8+7840.8+1782+7365.6+2376+2376+2376+8791.2</f>
        <v>1999369.4700000004</v>
      </c>
      <c r="O10" s="26">
        <f>62063+37438+17963+14142+7891+3653+298+589+515+368+190+784+178+737+238+238+238+879</f>
        <v>148402</v>
      </c>
      <c r="P10" s="27">
        <f t="shared" ref="P10" si="3">N10/O10</f>
        <v>13.472658522122346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14</v>
      </c>
      <c r="H11" s="21">
        <v>14</v>
      </c>
      <c r="I11" s="22">
        <v>5</v>
      </c>
      <c r="J11" s="10">
        <v>8765</v>
      </c>
      <c r="K11" s="11">
        <v>907</v>
      </c>
      <c r="L11" s="23">
        <f t="shared" ref="L11" si="4">K11/H11</f>
        <v>64.785714285714292</v>
      </c>
      <c r="M11" s="24">
        <f t="shared" ref="M11" si="5">+J11/K11</f>
        <v>9.6637265711135605</v>
      </c>
      <c r="N11" s="25">
        <f>378926+79846+19515+14964+8765</f>
        <v>502016</v>
      </c>
      <c r="O11" s="26">
        <f>21844+4905+1778+1322+907</f>
        <v>30756</v>
      </c>
      <c r="P11" s="27">
        <f t="shared" ref="P11" si="6">N11/O11</f>
        <v>16.322538691637405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40</v>
      </c>
      <c r="D12" s="19">
        <v>43707</v>
      </c>
      <c r="E12" s="20" t="s">
        <v>15</v>
      </c>
      <c r="F12" s="20" t="s">
        <v>15</v>
      </c>
      <c r="G12" s="21">
        <v>2</v>
      </c>
      <c r="H12" s="21">
        <v>2</v>
      </c>
      <c r="I12" s="22">
        <v>17</v>
      </c>
      <c r="J12" s="10">
        <v>4158</v>
      </c>
      <c r="K12" s="11">
        <v>416</v>
      </c>
      <c r="L12" s="23">
        <f t="shared" ref="L12" si="7">K12/H12</f>
        <v>208</v>
      </c>
      <c r="M12" s="24">
        <f t="shared" ref="M12" si="8">+J12/K12</f>
        <v>9.9951923076923084</v>
      </c>
      <c r="N12" s="25">
        <f>528+327252+32278+11310+11072+6736+7179.6+7500.5+2520+7656+6544+9085+10856+235+1425.6+6058.8+4752+4158</f>
        <v>457146.49999999994</v>
      </c>
      <c r="O12" s="26">
        <f>44+19588+2088+742+697+433+644+622+252+762+659+915+1186+23+143+606+475+416</f>
        <v>30295</v>
      </c>
      <c r="P12" s="27">
        <f t="shared" ref="P12" si="9">N12/O12</f>
        <v>15.089833305826042</v>
      </c>
      <c r="Q12" s="2"/>
      <c r="R12" s="2"/>
      <c r="S12" s="2"/>
    </row>
    <row r="13" spans="1:19" s="8" customFormat="1" ht="22.5" customHeight="1" x14ac:dyDescent="0.25">
      <c r="A13" s="6"/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35</v>
      </c>
      <c r="J13" s="10">
        <v>3564</v>
      </c>
      <c r="K13" s="11">
        <v>356</v>
      </c>
      <c r="L13" s="23">
        <f t="shared" ref="L13" si="10">K13/H13</f>
        <v>356</v>
      </c>
      <c r="M13" s="24">
        <f t="shared" ref="M13" si="11">+J13/K13</f>
        <v>10.011235955056179</v>
      </c>
      <c r="N13" s="25">
        <f>253247.5+149295.58+15859.32+4584.5+2411.5+3720+12495.5+4450.35+2776+2759+1350+4138+1092+3269.8+3671+217+329+917+707+3424.8+539+154+190+1900.8+322+960+1670+2248+1110+4170+3389.6+1440+1188+4989.6+3564</f>
        <v>498549.84999999986</v>
      </c>
      <c r="O13" s="26">
        <f>19143+12254+1684+564+362+430+2365+827+266+245+112+440+166+446+543+31+49+133+101+358+85+23+19+190+49+96+167+308+111+417+339+144+119+499+356</f>
        <v>43441</v>
      </c>
      <c r="P13" s="27">
        <f t="shared" ref="P13" si="12">N13/O13</f>
        <v>11.476481894983998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24</v>
      </c>
      <c r="D14" s="19">
        <v>43798</v>
      </c>
      <c r="E14" s="20" t="s">
        <v>15</v>
      </c>
      <c r="F14" s="20" t="s">
        <v>25</v>
      </c>
      <c r="G14" s="21">
        <v>1</v>
      </c>
      <c r="H14" s="21">
        <v>1</v>
      </c>
      <c r="I14" s="22">
        <v>8</v>
      </c>
      <c r="J14" s="10">
        <v>3564</v>
      </c>
      <c r="K14" s="11">
        <v>356</v>
      </c>
      <c r="L14" s="23">
        <f>K14/H14</f>
        <v>356</v>
      </c>
      <c r="M14" s="24">
        <f>+J14/K14</f>
        <v>10.011235955056179</v>
      </c>
      <c r="N14" s="25">
        <f>35291.5+48192+38988+17228+262+15638+12162+3564</f>
        <v>171325.5</v>
      </c>
      <c r="O14" s="26">
        <f>2413+3488+2602+1575+14+1533+1204+356</f>
        <v>13185</v>
      </c>
      <c r="P14" s="27">
        <f>N14/O14</f>
        <v>12.993970420932879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47</v>
      </c>
      <c r="D15" s="19">
        <v>43420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340263.14+120802.53+43129.24+7931+5813+3586.8+1856+7037.95+1771+1587.1+5940+376+2592+1260+717+105+301+7128+2201.8+2376+3088.8+1430+4739+1334+1731+4752+2851.2+2376</f>
        <v>579076.56000000006</v>
      </c>
      <c r="O15" s="26">
        <f>25607+9223+4045+1192+761+534+308+1347+277+302+1188+47+502+180+97+15+43+713+233+238+309+86+374+80+104+475+285+238</f>
        <v>48803</v>
      </c>
      <c r="P15" s="27">
        <f>N15/O15</f>
        <v>11.865593508595785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49</v>
      </c>
      <c r="D16" s="19">
        <v>42909</v>
      </c>
      <c r="E16" s="20" t="s">
        <v>15</v>
      </c>
      <c r="F16" s="20" t="s">
        <v>15</v>
      </c>
      <c r="G16" s="21">
        <v>1</v>
      </c>
      <c r="H16" s="21">
        <v>1</v>
      </c>
      <c r="I16" s="22">
        <v>42</v>
      </c>
      <c r="J16" s="10">
        <v>2376</v>
      </c>
      <c r="K16" s="11">
        <v>238</v>
      </c>
      <c r="L16" s="23">
        <f t="shared" ref="L16" si="13">K16/H16</f>
        <v>238</v>
      </c>
      <c r="M16" s="24">
        <f t="shared" ref="M16" si="14">+J16/K16</f>
        <v>9.9831932773109244</v>
      </c>
      <c r="N16" s="25">
        <f>122354.03+94669.39+16269.56+666+1226.5+638+202+294+1663.2+2376+5397+2374+3808+1782+1782+220+1188+2235+1988+2557+4376.4+2436+1782+2132+3207.6+1782+2970+1188+1900.8+3564+2376+1425.6+1425.6+1425.6+1425.6+1425.6+3020.35+1425.6+3564+1188+1900.8+2376</f>
        <v>312007.22999999981</v>
      </c>
      <c r="O16" s="26">
        <f>10701+8555+1724+85+137+75+18+26+333+475+1107+450+770+356+356+44+238+396+185+438+775+465+356+406+641+356+594+238+380+713+475+285+285+285+285+286+302+143+356+119+190+238</f>
        <v>34642</v>
      </c>
      <c r="P16" s="27">
        <f t="shared" ref="P16" si="15">N16/O16</f>
        <v>9.0066171121759666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34</v>
      </c>
      <c r="D17" s="19">
        <v>43749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1900.8</v>
      </c>
      <c r="K17" s="11">
        <v>190</v>
      </c>
      <c r="L17" s="23">
        <f>K17/H17</f>
        <v>190</v>
      </c>
      <c r="M17" s="24">
        <f>+J17/K17</f>
        <v>10.00421052631579</v>
      </c>
      <c r="N17" s="25">
        <f>196923+135978.5+95605.5+44166.7+22738+10355+3032+3658+836+2613.6+1900.8</f>
        <v>517807.1</v>
      </c>
      <c r="O17" s="26">
        <f>9042+6709+4673+2472+1161+572+223+278+55+261+190</f>
        <v>25636</v>
      </c>
      <c r="P17" s="27">
        <f>N17/O17</f>
        <v>20.198435793415509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32</v>
      </c>
      <c r="J18" s="10">
        <v>1782</v>
      </c>
      <c r="K18" s="11">
        <v>178</v>
      </c>
      <c r="L18" s="23">
        <f t="shared" ref="L18:L23" si="16">K18/H18</f>
        <v>178</v>
      </c>
      <c r="M18" s="24">
        <f t="shared" ref="M18:M23" si="17">+J18/K18</f>
        <v>10.011235955056179</v>
      </c>
      <c r="N18" s="25">
        <f>756124.27+309986.75+62187.82+5738+2459+1782+5295.01+1558.6+288+675+1528+700+450+989.25+1782+1782.01+1782+5464.8+1782+1425.6+3020.35+1782+375+432+3207.6+2970+3088.8+1900.8+2376+1425.6+1782+1782</f>
        <v>1187922.2600000007</v>
      </c>
      <c r="O18" s="26">
        <f>59281+25601+5279+535+460+356+992+294+36+163+323+140+45+182+356+356+356+1093+356+285+604+356+75+72+641+594+618+190+238+143+178+178</f>
        <v>100376</v>
      </c>
      <c r="P18" s="27">
        <f t="shared" ref="P18:P23" si="18">N18/O18</f>
        <v>11.834724037618562</v>
      </c>
      <c r="Q18" s="2"/>
      <c r="R18" s="2"/>
      <c r="S18" s="2"/>
    </row>
    <row r="19" spans="1:19" s="8" customFormat="1" ht="22.5" customHeight="1" x14ac:dyDescent="0.25">
      <c r="A19" s="1"/>
      <c r="B19" s="9">
        <f t="shared" si="0"/>
        <v>14</v>
      </c>
      <c r="C19" s="18" t="s">
        <v>48</v>
      </c>
      <c r="D19" s="19">
        <v>43273</v>
      </c>
      <c r="E19" s="20" t="s">
        <v>15</v>
      </c>
      <c r="F19" s="20" t="s">
        <v>15</v>
      </c>
      <c r="G19" s="21">
        <v>1</v>
      </c>
      <c r="H19" s="21">
        <v>1</v>
      </c>
      <c r="I19" s="22">
        <v>35</v>
      </c>
      <c r="J19" s="10">
        <v>1782</v>
      </c>
      <c r="K19" s="11">
        <v>178</v>
      </c>
      <c r="L19" s="23">
        <f t="shared" si="16"/>
        <v>178</v>
      </c>
      <c r="M19" s="24">
        <f t="shared" si="17"/>
        <v>10.011235955056179</v>
      </c>
      <c r="N19" s="25">
        <f>532776.22+317104.78+119969.82+10804.6+3846+42.5+8.5+196+729+645+176+1990.01+3020.35+1782+2494.8+2376+1782+1188+2032+1203+4395.6+3174.3+3020.35+830+2376+1188+350+1900.8+1900.8+1900.8+2019.6+2970+1900.8+3564+1782</f>
        <v>1037439.6300000002</v>
      </c>
      <c r="O19" s="26">
        <f>43302+26433+10224+1132+481+5+1+28+93+63+22+408+604+356+499+475+356+238+406+154+879+627+604+166+238+119+50+190+190+190+202+297+190+356+178</f>
        <v>89756</v>
      </c>
      <c r="P19" s="27">
        <f t="shared" si="18"/>
        <v>11.558443223851333</v>
      </c>
      <c r="Q19" s="2"/>
      <c r="R19" s="2"/>
      <c r="S19" s="2"/>
    </row>
    <row r="20" spans="1:19" s="8" customFormat="1" ht="22.5" customHeight="1" x14ac:dyDescent="0.25">
      <c r="B20" s="9">
        <f t="shared" si="0"/>
        <v>15</v>
      </c>
      <c r="C20" s="18" t="s">
        <v>19</v>
      </c>
      <c r="D20" s="19">
        <v>43483</v>
      </c>
      <c r="E20" s="20" t="s">
        <v>15</v>
      </c>
      <c r="F20" s="20" t="s">
        <v>15</v>
      </c>
      <c r="G20" s="21">
        <v>1</v>
      </c>
      <c r="H20" s="21">
        <v>1</v>
      </c>
      <c r="I20" s="22">
        <v>25</v>
      </c>
      <c r="J20" s="10">
        <v>1782</v>
      </c>
      <c r="K20" s="11">
        <v>178</v>
      </c>
      <c r="L20" s="23">
        <f t="shared" si="16"/>
        <v>178</v>
      </c>
      <c r="M20" s="24">
        <f t="shared" si="17"/>
        <v>10.011235955056179</v>
      </c>
      <c r="N20" s="25">
        <f>527858+247239.4+60544.33+22935.5+9543+2112+182+5741.35+198+6446.8+1900.8+8316+430+1188+1260+2970+2970+2019.6+4468.8+1782+4202+5464.8+272+5702.4+1782</f>
        <v>927528.78000000014</v>
      </c>
      <c r="O20" s="26">
        <f>42309+20316+4739+1857+1470+254+18+778+33+974+190+913+139+119+105+297+297+202+452+178+451+546+34+570+178</f>
        <v>77419</v>
      </c>
      <c r="P20" s="27">
        <f t="shared" si="18"/>
        <v>11.98063498624369</v>
      </c>
      <c r="Q20" s="2"/>
      <c r="R20" s="2"/>
      <c r="S20" s="2"/>
    </row>
    <row r="21" spans="1:19" s="8" customFormat="1" ht="22.5" customHeight="1" x14ac:dyDescent="0.25">
      <c r="B21" s="9">
        <f t="shared" si="0"/>
        <v>16</v>
      </c>
      <c r="C21" s="18" t="s">
        <v>20</v>
      </c>
      <c r="D21" s="19">
        <v>43616</v>
      </c>
      <c r="E21" s="20" t="s">
        <v>15</v>
      </c>
      <c r="F21" s="20" t="s">
        <v>15</v>
      </c>
      <c r="G21" s="21">
        <v>1</v>
      </c>
      <c r="H21" s="21">
        <v>1</v>
      </c>
      <c r="I21" s="22">
        <v>21</v>
      </c>
      <c r="J21" s="10">
        <v>1782</v>
      </c>
      <c r="K21" s="11">
        <v>178</v>
      </c>
      <c r="L21" s="23">
        <f t="shared" si="16"/>
        <v>178</v>
      </c>
      <c r="M21" s="24">
        <f t="shared" si="17"/>
        <v>10.011235955056179</v>
      </c>
      <c r="N21" s="25">
        <f>191549.39+52037.07+6685+1927+2630+1965+1236+1276+1161+1084+2970+260+64+1082+2970+1900.8+1900.8+3326.4+5702.4+2970+1782</f>
        <v>286478.86000000004</v>
      </c>
      <c r="O21" s="26">
        <f>11758+3775+525+149+189+149+222+100+88+92+297+26+4+85+297+190+190+333+570+297+178</f>
        <v>19514</v>
      </c>
      <c r="P21" s="27">
        <f t="shared" si="18"/>
        <v>14.680683611765915</v>
      </c>
      <c r="Q21" s="2"/>
      <c r="R21" s="2"/>
      <c r="S21" s="2"/>
    </row>
    <row r="22" spans="1:19" s="8" customFormat="1" ht="22.5" customHeight="1" x14ac:dyDescent="0.25">
      <c r="B22" s="9">
        <f t="shared" si="0"/>
        <v>17</v>
      </c>
      <c r="C22" s="18" t="s">
        <v>45</v>
      </c>
      <c r="D22" s="19">
        <v>43854</v>
      </c>
      <c r="E22" s="20" t="s">
        <v>15</v>
      </c>
      <c r="F22" s="20" t="s">
        <v>15</v>
      </c>
      <c r="G22" s="21">
        <v>1</v>
      </c>
      <c r="H22" s="21">
        <v>1</v>
      </c>
      <c r="I22" s="22">
        <v>0</v>
      </c>
      <c r="J22" s="10">
        <v>1652</v>
      </c>
      <c r="K22" s="11">
        <v>106</v>
      </c>
      <c r="L22" s="23">
        <f>K22/H22</f>
        <v>106</v>
      </c>
      <c r="M22" s="24">
        <f>+J22/K22</f>
        <v>15.584905660377359</v>
      </c>
      <c r="N22" s="25">
        <f>5439+1652</f>
        <v>7091</v>
      </c>
      <c r="O22" s="26">
        <f>337+106</f>
        <v>443</v>
      </c>
      <c r="P22" s="27">
        <f>N22/O22</f>
        <v>16.006772009029344</v>
      </c>
      <c r="Q22" s="2"/>
      <c r="R22" s="2"/>
      <c r="S22" s="2"/>
    </row>
    <row r="23" spans="1:19" s="8" customFormat="1" ht="22.5" customHeight="1" thickBot="1" x14ac:dyDescent="0.3">
      <c r="B23" s="41">
        <f t="shared" si="0"/>
        <v>18</v>
      </c>
      <c r="C23" s="42" t="s">
        <v>22</v>
      </c>
      <c r="D23" s="43">
        <v>43770</v>
      </c>
      <c r="E23" s="44" t="s">
        <v>15</v>
      </c>
      <c r="F23" s="44" t="s">
        <v>18</v>
      </c>
      <c r="G23" s="45">
        <v>1</v>
      </c>
      <c r="H23" s="45">
        <v>1</v>
      </c>
      <c r="I23" s="46">
        <v>12</v>
      </c>
      <c r="J23" s="47">
        <v>1024</v>
      </c>
      <c r="K23" s="48">
        <v>68</v>
      </c>
      <c r="L23" s="49">
        <f t="shared" si="16"/>
        <v>68</v>
      </c>
      <c r="M23" s="50">
        <f t="shared" si="17"/>
        <v>15.058823529411764</v>
      </c>
      <c r="N23" s="51">
        <f>430865.5+53423.5+38159+24745+12960+12416+18593+11559+10901+5222+7250+1024</f>
        <v>627118</v>
      </c>
      <c r="O23" s="52">
        <f>24867+3556+2839+1891+888+864+1378+840+895+394+556+68</f>
        <v>39036</v>
      </c>
      <c r="P23" s="53">
        <f t="shared" si="18"/>
        <v>16.065119376985347</v>
      </c>
      <c r="Q23" s="2"/>
      <c r="R23" s="2"/>
      <c r="S2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27</v>
      </c>
      <c r="H6" s="32">
        <v>27</v>
      </c>
      <c r="I6" s="33">
        <v>2</v>
      </c>
      <c r="J6" s="34">
        <v>98796.5</v>
      </c>
      <c r="K6" s="35">
        <v>4192</v>
      </c>
      <c r="L6" s="36">
        <f>K6/H6</f>
        <v>155.25925925925927</v>
      </c>
      <c r="M6" s="37">
        <f>+J6/K6</f>
        <v>23.567867366412212</v>
      </c>
      <c r="N6" s="38">
        <f>2396+241386.5+98796.5</f>
        <v>342579</v>
      </c>
      <c r="O6" s="39">
        <f>125+9946+4192</f>
        <v>14263</v>
      </c>
      <c r="P6" s="40">
        <f>N6/O6</f>
        <v>24.018719764425438</v>
      </c>
      <c r="Q6" s="2"/>
      <c r="R6" s="2"/>
      <c r="S6" s="2"/>
    </row>
    <row r="7" spans="1:19" s="8" customFormat="1" ht="22.5" customHeight="1" x14ac:dyDescent="0.25">
      <c r="B7" s="9">
        <f t="shared" ref="B7:B17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17</v>
      </c>
      <c r="H7" s="21">
        <v>17</v>
      </c>
      <c r="I7" s="22">
        <v>11</v>
      </c>
      <c r="J7" s="10">
        <v>86760.8</v>
      </c>
      <c r="K7" s="11">
        <v>4437</v>
      </c>
      <c r="L7" s="23">
        <f>K7/H7</f>
        <v>261</v>
      </c>
      <c r="M7" s="24">
        <f>+J7/K7</f>
        <v>19.553932837502817</v>
      </c>
      <c r="N7" s="25">
        <f>27204+550044+312325+331653+234959.2+204582.5+144904+128591.5+68901.5+76727+73179.5+86760.8</f>
        <v>2239832</v>
      </c>
      <c r="O7" s="26">
        <f>1873+26223+14137+14500+11472+10085+6575+6015+3308+3477+3326+4437</f>
        <v>105428</v>
      </c>
      <c r="P7" s="27">
        <f>N7/O7</f>
        <v>21.245134119968132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22</v>
      </c>
      <c r="H8" s="21">
        <v>22</v>
      </c>
      <c r="I8" s="22">
        <v>4</v>
      </c>
      <c r="J8" s="10">
        <v>14964</v>
      </c>
      <c r="K8" s="11">
        <v>1322</v>
      </c>
      <c r="L8" s="23">
        <f t="shared" ref="L8" si="1">K8/H8</f>
        <v>60.090909090909093</v>
      </c>
      <c r="M8" s="24">
        <f t="shared" ref="M8" si="2">+J8/K8</f>
        <v>11.319213313161876</v>
      </c>
      <c r="N8" s="25">
        <f>378926+79846+19515+14964</f>
        <v>493251</v>
      </c>
      <c r="O8" s="26">
        <f>21844+4905+1778+1322</f>
        <v>29849</v>
      </c>
      <c r="P8" s="27">
        <f t="shared" ref="P8" si="3">N8/O8</f>
        <v>16.524875205199503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7</v>
      </c>
      <c r="J9" s="10">
        <v>12162</v>
      </c>
      <c r="K9" s="11">
        <v>1204</v>
      </c>
      <c r="L9" s="23">
        <f>K9/H9</f>
        <v>401.33333333333331</v>
      </c>
      <c r="M9" s="24">
        <f>+J9/K9</f>
        <v>10.101328903654485</v>
      </c>
      <c r="N9" s="25">
        <f>35291.5+48192+38988+17228+262+15638+12162</f>
        <v>167761.5</v>
      </c>
      <c r="O9" s="26">
        <f>2413+3488+2602+1575+14+1533+1204</f>
        <v>12829</v>
      </c>
      <c r="P9" s="27">
        <f>N9/O9</f>
        <v>13.076740197988931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22</v>
      </c>
      <c r="D10" s="19">
        <v>43770</v>
      </c>
      <c r="E10" s="20" t="s">
        <v>15</v>
      </c>
      <c r="F10" s="20" t="s">
        <v>18</v>
      </c>
      <c r="G10" s="21">
        <v>1</v>
      </c>
      <c r="H10" s="21">
        <v>1</v>
      </c>
      <c r="I10" s="22">
        <v>11</v>
      </c>
      <c r="J10" s="10">
        <v>7250</v>
      </c>
      <c r="K10" s="11">
        <v>556</v>
      </c>
      <c r="L10" s="23">
        <f>K10/H10</f>
        <v>556</v>
      </c>
      <c r="M10" s="24">
        <f>+J10/K10</f>
        <v>13.03956834532374</v>
      </c>
      <c r="N10" s="25">
        <f>430865.5+53423.5+38159+24745+12960+12416+18593+11559+10901+5222+7250</f>
        <v>626094</v>
      </c>
      <c r="O10" s="26">
        <f>24867+3556+2839+1891+888+864+1378+840+895+394+556</f>
        <v>38968</v>
      </c>
      <c r="P10" s="27">
        <f>N10/O10</f>
        <v>16.066875384931226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1</v>
      </c>
      <c r="H11" s="21">
        <v>1</v>
      </c>
      <c r="I11" s="22">
        <v>16</v>
      </c>
      <c r="J11" s="10">
        <v>4752</v>
      </c>
      <c r="K11" s="11">
        <v>475</v>
      </c>
      <c r="L11" s="23">
        <f t="shared" ref="L11" si="4">K11/H11</f>
        <v>475</v>
      </c>
      <c r="M11" s="24">
        <f t="shared" ref="M11" si="5">+J11/K11</f>
        <v>10.00421052631579</v>
      </c>
      <c r="N11" s="25">
        <f>528+327252+32278+11310+11072+6736+7179.6+7500.5+2520+7656+6544+9085+10856+235+1425.6+6058.8+4752</f>
        <v>452988.49999999994</v>
      </c>
      <c r="O11" s="26">
        <f>44+19588+2088+742+697+433+644+622+252+762+659+915+1186+23+143+606+475</f>
        <v>29879</v>
      </c>
      <c r="P11" s="27">
        <f t="shared" ref="P11" si="6">N11/O11</f>
        <v>15.160765085846245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20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191549.39+52037.07+6685+1927+2630+1965+1236+1276+1161+1084+2970+260+64+1082+2970+1900.8+1900.8+3326.4+5702.4+2970</f>
        <v>284696.86000000004</v>
      </c>
      <c r="O12" s="26">
        <f>11758+3775+525+149+189+149+222+100+88+92+297+26+4+85+297+190+190+333+570+297</f>
        <v>19336</v>
      </c>
      <c r="P12" s="27">
        <f>N12/O12</f>
        <v>14.723668804302857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33</v>
      </c>
      <c r="D13" s="19">
        <v>43553</v>
      </c>
      <c r="E13" s="20" t="s">
        <v>15</v>
      </c>
      <c r="F13" s="20" t="s">
        <v>15</v>
      </c>
      <c r="G13" s="21">
        <v>2</v>
      </c>
      <c r="H13" s="21">
        <v>2</v>
      </c>
      <c r="I13" s="22">
        <v>25</v>
      </c>
      <c r="J13" s="10">
        <v>2772</v>
      </c>
      <c r="K13" s="11">
        <v>271</v>
      </c>
      <c r="L13" s="23">
        <f t="shared" ref="L13" si="7">K13/H13</f>
        <v>135.5</v>
      </c>
      <c r="M13" s="24">
        <f t="shared" ref="M13" si="8">+J13/K13</f>
        <v>10.228782287822877</v>
      </c>
      <c r="N13" s="25">
        <f>242051.53+84771.14+16642.4+11940+9318+39740+646+120+110+294+1188+624+2970+950.4+2245.6+816+3761+156+2970+872+2376+1900.8+4870.8+1008+2772</f>
        <v>435113.67</v>
      </c>
      <c r="O13" s="26">
        <f>16251+6356+2005+1652+1427+6553+85+12+11+44+228+52+297+95+224+63+373+11+297+109+238+190+487+126+271</f>
        <v>37457</v>
      </c>
      <c r="P13" s="27">
        <f t="shared" ref="P13" si="9">N13/O13</f>
        <v>11.616351282804281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34</v>
      </c>
      <c r="D14" s="19">
        <v>43749</v>
      </c>
      <c r="E14" s="20" t="s">
        <v>15</v>
      </c>
      <c r="F14" s="20" t="s">
        <v>15</v>
      </c>
      <c r="G14" s="21">
        <v>2</v>
      </c>
      <c r="H14" s="21">
        <v>2</v>
      </c>
      <c r="I14" s="22">
        <v>10</v>
      </c>
      <c r="J14" s="10">
        <v>2613.6</v>
      </c>
      <c r="K14" s="11">
        <v>261</v>
      </c>
      <c r="L14" s="23">
        <f>K14/H14</f>
        <v>130.5</v>
      </c>
      <c r="M14" s="24">
        <f>+J14/K14</f>
        <v>10.013793103448275</v>
      </c>
      <c r="N14" s="25">
        <f>196923+135978.5+95605.5+44166.7+22738+10355+3032+3658+836+2613.6</f>
        <v>515906.3</v>
      </c>
      <c r="O14" s="26">
        <f>9042+6709+4673+2472+1161+572+223+278+55+261</f>
        <v>25446</v>
      </c>
      <c r="P14" s="27">
        <f>N14/O14</f>
        <v>20.274553957399984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35</v>
      </c>
      <c r="D15" s="19">
        <v>43574</v>
      </c>
      <c r="E15" s="20" t="s">
        <v>15</v>
      </c>
      <c r="F15" s="20" t="s">
        <v>36</v>
      </c>
      <c r="G15" s="21">
        <v>1</v>
      </c>
      <c r="H15" s="21">
        <v>1</v>
      </c>
      <c r="I15" s="22">
        <v>17</v>
      </c>
      <c r="J15" s="10">
        <v>2376</v>
      </c>
      <c r="K15" s="11">
        <v>238</v>
      </c>
      <c r="L15" s="23">
        <f t="shared" ref="L15" si="10">K15/H15</f>
        <v>238</v>
      </c>
      <c r="M15" s="24">
        <f t="shared" ref="M15" si="11">+J15/K15</f>
        <v>9.9831932773109244</v>
      </c>
      <c r="N15" s="25">
        <f>891639.74+514882.09+251917.6+155493.17+92232.86+40370.81+3230.5+5765.5+5346+3682.8+1900.8+7840.8+1782+7365.6+2376+2376+2376</f>
        <v>1990578.2700000005</v>
      </c>
      <c r="O15" s="26">
        <f>62063+37438+17963+14142+7891+3653+298+589+515+368+190+784+178+737+238+238+238</f>
        <v>147523</v>
      </c>
      <c r="P15" s="27">
        <f t="shared" ref="P15" si="12">N15/O15</f>
        <v>13.493341851779048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37</v>
      </c>
      <c r="D16" s="19">
        <v>43182</v>
      </c>
      <c r="E16" s="20" t="s">
        <v>15</v>
      </c>
      <c r="F16" s="20" t="s">
        <v>15</v>
      </c>
      <c r="G16" s="21">
        <v>1</v>
      </c>
      <c r="H16" s="21">
        <v>1</v>
      </c>
      <c r="I16" s="22">
        <v>31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756124.27+309986.75+62187.82+5738+2459+1782+5295.01+1558.6+288+675+1528+700+450+989.25+1782+1782.01+1782+5464.8+1782+1425.6+3020.35+1782+375+432+3207.6+2970+3088.8+1900.8+2376+1425.6+1782</f>
        <v>1186140.2600000007</v>
      </c>
      <c r="O16" s="26">
        <f>59281+25601+5279+535+460+356+992+294+36+163+323+140+45+182+356+356+356+1093+356+285+604+356+75+72+641+594+618+190+238+143+178</f>
        <v>100198</v>
      </c>
      <c r="P16" s="27">
        <f>N16/O16</f>
        <v>11.837963432403848</v>
      </c>
      <c r="Q16" s="2"/>
      <c r="R16" s="2"/>
      <c r="S16" s="2"/>
    </row>
    <row r="17" spans="2:19" s="8" customFormat="1" ht="22.5" customHeight="1" thickBot="1" x14ac:dyDescent="0.3">
      <c r="B17" s="41">
        <f t="shared" si="0"/>
        <v>12</v>
      </c>
      <c r="C17" s="42" t="s">
        <v>38</v>
      </c>
      <c r="D17" s="43">
        <v>43525</v>
      </c>
      <c r="E17" s="44" t="s">
        <v>15</v>
      </c>
      <c r="F17" s="44" t="s">
        <v>39</v>
      </c>
      <c r="G17" s="45">
        <v>1</v>
      </c>
      <c r="H17" s="45">
        <v>1</v>
      </c>
      <c r="I17" s="46">
        <v>19</v>
      </c>
      <c r="J17" s="47">
        <v>464</v>
      </c>
      <c r="K17" s="48">
        <v>58</v>
      </c>
      <c r="L17" s="49">
        <f>K17/H17</f>
        <v>58</v>
      </c>
      <c r="M17" s="50">
        <f>+J17/K17</f>
        <v>8</v>
      </c>
      <c r="N17" s="51">
        <f>355473.23+81117.14+13155+7325+1044+3017.8+3088.8+1470+1166+95+427+1188+1188+2970+2376+4772.8+3343.6+1440+464</f>
        <v>485121.36999999994</v>
      </c>
      <c r="O17" s="52">
        <f>23507+6505+1334+637+162+359+309+210+183+10+61+221+119+297+238+473+332+180+58</f>
        <v>35195</v>
      </c>
      <c r="P17" s="53">
        <f>N17/O17</f>
        <v>13.78381503054411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29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30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52</v>
      </c>
      <c r="H6" s="32">
        <v>52</v>
      </c>
      <c r="I6" s="33">
        <v>1</v>
      </c>
      <c r="J6" s="34">
        <v>241386.5</v>
      </c>
      <c r="K6" s="35">
        <v>9946</v>
      </c>
      <c r="L6" s="36">
        <f>K6/H6</f>
        <v>191.26923076923077</v>
      </c>
      <c r="M6" s="37">
        <f>+J6/K6</f>
        <v>24.26970641463905</v>
      </c>
      <c r="N6" s="38">
        <f>2396+241386.5</f>
        <v>243782.5</v>
      </c>
      <c r="O6" s="39">
        <f>125+9946</f>
        <v>10071</v>
      </c>
      <c r="P6" s="40">
        <f>N6/O6</f>
        <v>24.206384668851157</v>
      </c>
      <c r="Q6" s="2"/>
      <c r="R6" s="2"/>
      <c r="S6" s="2"/>
    </row>
    <row r="7" spans="1:19" s="8" customFormat="1" ht="22.5" customHeight="1" x14ac:dyDescent="0.25">
      <c r="B7" s="9">
        <f t="shared" ref="B7:B14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13</v>
      </c>
      <c r="H7" s="21">
        <v>13</v>
      </c>
      <c r="I7" s="22">
        <v>10</v>
      </c>
      <c r="J7" s="10">
        <v>73179.5</v>
      </c>
      <c r="K7" s="11">
        <v>3326</v>
      </c>
      <c r="L7" s="23">
        <f>K7/H7</f>
        <v>255.84615384615384</v>
      </c>
      <c r="M7" s="24">
        <f>+J7/K7</f>
        <v>22.002254960914012</v>
      </c>
      <c r="N7" s="25">
        <f>27204+550044+312325+331653+234959.2+204582.5+144904+128591.5+68901.5+76727+73179.5</f>
        <v>2153071.2000000002</v>
      </c>
      <c r="O7" s="26">
        <f>1873+26223+14137+14500+11472+10085+6575+6015+3308+3477+3326</f>
        <v>100991</v>
      </c>
      <c r="P7" s="27">
        <f>N7/O7</f>
        <v>21.319436385420484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27</v>
      </c>
      <c r="H8" s="21">
        <v>27</v>
      </c>
      <c r="I8" s="22">
        <v>3</v>
      </c>
      <c r="J8" s="10">
        <v>19515</v>
      </c>
      <c r="K8" s="11">
        <v>1778</v>
      </c>
      <c r="L8" s="23">
        <f t="shared" ref="L8" si="1">K8/H8</f>
        <v>65.851851851851848</v>
      </c>
      <c r="M8" s="24">
        <f t="shared" ref="M8" si="2">+J8/K8</f>
        <v>10.975815523059618</v>
      </c>
      <c r="N8" s="25">
        <f>378926+79846+19515</f>
        <v>478287</v>
      </c>
      <c r="O8" s="26">
        <f>21844+4905+1778</f>
        <v>28527</v>
      </c>
      <c r="P8" s="27">
        <f t="shared" ref="P8" si="3">N8/O8</f>
        <v>16.766116310863392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6</v>
      </c>
      <c r="J9" s="10">
        <v>15638</v>
      </c>
      <c r="K9" s="11">
        <v>1533</v>
      </c>
      <c r="L9" s="23">
        <f>K9/H9</f>
        <v>511</v>
      </c>
      <c r="M9" s="24">
        <f>+J9/K9</f>
        <v>10.200913242009133</v>
      </c>
      <c r="N9" s="25">
        <f>35291.5+48192+38988+17228+262+15638</f>
        <v>155599.5</v>
      </c>
      <c r="O9" s="26">
        <f>2413+3488+2602+1575+14+1533</f>
        <v>11625</v>
      </c>
      <c r="P9" s="27">
        <f>N9/O9</f>
        <v>13.384903225806452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4</v>
      </c>
      <c r="H10" s="21">
        <v>4</v>
      </c>
      <c r="I10" s="22">
        <v>8</v>
      </c>
      <c r="J10" s="10">
        <v>7998.6</v>
      </c>
      <c r="K10" s="11">
        <v>805</v>
      </c>
      <c r="L10" s="23">
        <f>K10/H10</f>
        <v>201.25</v>
      </c>
      <c r="M10" s="24">
        <f>+J10/K10</f>
        <v>9.9361490683229814</v>
      </c>
      <c r="N10" s="25">
        <f>1245183.5+169614.5+71865.8+29102.5+19785+3392+8359+7998.6</f>
        <v>1555300.9000000001</v>
      </c>
      <c r="O10" s="26">
        <f>74795+11280+5220+2328+1564+254+823+805</f>
        <v>97069</v>
      </c>
      <c r="P10" s="27">
        <f>N10/O10</f>
        <v>16.022632354304672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19</v>
      </c>
      <c r="D11" s="19">
        <v>43483</v>
      </c>
      <c r="E11" s="20" t="s">
        <v>15</v>
      </c>
      <c r="F11" s="20" t="s">
        <v>15</v>
      </c>
      <c r="G11" s="21">
        <v>1</v>
      </c>
      <c r="H11" s="21">
        <v>1</v>
      </c>
      <c r="I11" s="22">
        <v>24</v>
      </c>
      <c r="J11" s="10">
        <v>5702.4</v>
      </c>
      <c r="K11" s="11">
        <v>570</v>
      </c>
      <c r="L11" s="23">
        <f t="shared" ref="L11" si="4">K11/H11</f>
        <v>570</v>
      </c>
      <c r="M11" s="24">
        <f t="shared" ref="M11" si="5">+J11/K11</f>
        <v>10.00421052631579</v>
      </c>
      <c r="N11" s="25">
        <f>527858+247239.4+60544.33+22935.5+9543+2112+182+5741.35+198+6446.8+1900.8+8316+430+1188+1260+2970+2970+2019.6+4468.8+1782+4202+5464.8+272+5702.4</f>
        <v>925746.78000000014</v>
      </c>
      <c r="O11" s="26">
        <f>42309+20316+4739+1857+1470+254+18+778+33+974+190+913+139+119+105+297+297+202+452+178+451+546+34+570</f>
        <v>77241</v>
      </c>
      <c r="P11" s="27">
        <f t="shared" ref="P11" si="6">N11/O11</f>
        <v>11.985173418262324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19</v>
      </c>
      <c r="J12" s="10">
        <v>5702.4</v>
      </c>
      <c r="K12" s="11">
        <v>570</v>
      </c>
      <c r="L12" s="23">
        <f>K12/H12</f>
        <v>570</v>
      </c>
      <c r="M12" s="24">
        <f>+J12/K12</f>
        <v>10.00421052631579</v>
      </c>
      <c r="N12" s="25">
        <f>191549.39+52037.07+6685+1927+2630+1965+1236+1276+1161+1084+2970+260+64+1082+2970+1900.8+1900.8+3326.4+5702.4</f>
        <v>281726.86000000004</v>
      </c>
      <c r="O12" s="26">
        <f>11758+3775+525+149+189+149+222+100+88+92+297+26+4+85+297+190+190+333+570</f>
        <v>19039</v>
      </c>
      <c r="P12" s="27">
        <f>N12/O12</f>
        <v>14.797355953568992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22</v>
      </c>
      <c r="D13" s="19">
        <v>43770</v>
      </c>
      <c r="E13" s="20" t="s">
        <v>15</v>
      </c>
      <c r="F13" s="20" t="s">
        <v>18</v>
      </c>
      <c r="G13" s="21">
        <v>1</v>
      </c>
      <c r="H13" s="21">
        <v>1</v>
      </c>
      <c r="I13" s="22">
        <v>10</v>
      </c>
      <c r="J13" s="10">
        <v>5222</v>
      </c>
      <c r="K13" s="11">
        <v>394</v>
      </c>
      <c r="L13" s="23">
        <f>K13/H13</f>
        <v>394</v>
      </c>
      <c r="M13" s="24">
        <f>+J13/K13</f>
        <v>13.253807106598984</v>
      </c>
      <c r="N13" s="25">
        <f>430865.5+53423.5+38159+24745+12960+12416+18593+11559+10901+5222</f>
        <v>618844</v>
      </c>
      <c r="O13" s="26">
        <f>24867+3556+2839+1891+888+864+1378+840+895+394</f>
        <v>38412</v>
      </c>
      <c r="P13" s="27">
        <f>N13/O13</f>
        <v>16.110694574612101</v>
      </c>
      <c r="Q13" s="2"/>
      <c r="R13" s="2"/>
      <c r="S13" s="2"/>
    </row>
    <row r="14" spans="1:19" s="8" customFormat="1" ht="22.5" customHeight="1" thickBot="1" x14ac:dyDescent="0.3">
      <c r="B14" s="41">
        <f t="shared" si="0"/>
        <v>9</v>
      </c>
      <c r="C14" s="42" t="s">
        <v>31</v>
      </c>
      <c r="D14" s="43">
        <v>43259</v>
      </c>
      <c r="E14" s="44" t="s">
        <v>15</v>
      </c>
      <c r="F14" s="44" t="s">
        <v>16</v>
      </c>
      <c r="G14" s="45">
        <v>1</v>
      </c>
      <c r="H14" s="45">
        <v>1</v>
      </c>
      <c r="I14" s="46">
        <v>10</v>
      </c>
      <c r="J14" s="47">
        <v>2438</v>
      </c>
      <c r="K14" s="48">
        <v>129</v>
      </c>
      <c r="L14" s="49">
        <f>K14/H14</f>
        <v>129</v>
      </c>
      <c r="M14" s="50">
        <f>+J14/K14</f>
        <v>18.899224806201552</v>
      </c>
      <c r="N14" s="51">
        <f>720673.38+335128.66+90625.34+19330.42+2779.25+3003.61+640+8316.01+2376+2438</f>
        <v>1185310.6700000002</v>
      </c>
      <c r="O14" s="52">
        <f>53614+25224+6403+1332+206+562+64+1663+475+129</f>
        <v>89672</v>
      </c>
      <c r="P14" s="53">
        <f>N14/O14</f>
        <v>13.218291885984479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14</v>
      </c>
      <c r="H6" s="32">
        <v>14</v>
      </c>
      <c r="I6" s="33">
        <v>4</v>
      </c>
      <c r="J6" s="34">
        <v>5695</v>
      </c>
      <c r="K6" s="35">
        <v>415</v>
      </c>
      <c r="L6" s="36">
        <f>K6/H6</f>
        <v>29.642857142857142</v>
      </c>
      <c r="M6" s="37">
        <f>+J6/K6</f>
        <v>13.72289156626506</v>
      </c>
      <c r="N6" s="38">
        <f>209269+2420+3159+5695</f>
        <v>220543</v>
      </c>
      <c r="O6" s="39">
        <f>11877+152+220+415</f>
        <v>12664</v>
      </c>
      <c r="P6" s="40">
        <f>N6/O6</f>
        <v>17.414955780164245</v>
      </c>
      <c r="Q6" s="2"/>
      <c r="R6" s="2"/>
      <c r="S6" s="2"/>
    </row>
    <row r="7" spans="1:19" s="8" customFormat="1" ht="22.5" customHeight="1" x14ac:dyDescent="0.25">
      <c r="B7" s="9">
        <f t="shared" ref="B7:B16" si="0">B6+1</f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1</v>
      </c>
      <c r="H7" s="21">
        <v>1</v>
      </c>
      <c r="I7" s="22">
        <v>8</v>
      </c>
      <c r="J7" s="10">
        <v>1125</v>
      </c>
      <c r="K7" s="11">
        <v>75</v>
      </c>
      <c r="L7" s="23">
        <f t="shared" ref="L7" si="1">K7/H7</f>
        <v>75</v>
      </c>
      <c r="M7" s="24">
        <f t="shared" ref="M7" si="2">+J7/K7</f>
        <v>15</v>
      </c>
      <c r="N7" s="25">
        <f>9454+241951+37013+20887.8+15951+12475+6548.6+1125</f>
        <v>345405.39999999997</v>
      </c>
      <c r="O7" s="26">
        <f>556+13027+2254+1944+1245+1075+759+75</f>
        <v>20935</v>
      </c>
      <c r="P7" s="27">
        <f t="shared" ref="P7" si="3">N7/O7</f>
        <v>16.498944351564365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2</v>
      </c>
      <c r="J8" s="10">
        <v>832</v>
      </c>
      <c r="K8" s="11">
        <v>56</v>
      </c>
      <c r="L8" s="23">
        <f>K8/H8</f>
        <v>9.3333333333333339</v>
      </c>
      <c r="M8" s="24">
        <f>+J8/K8</f>
        <v>14.857142857142858</v>
      </c>
      <c r="N8" s="25">
        <f>1613+832</f>
        <v>2445</v>
      </c>
      <c r="O8" s="26">
        <f>125+56</f>
        <v>181</v>
      </c>
      <c r="P8" s="27">
        <f>N8/O8</f>
        <v>13.508287292817679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2</v>
      </c>
      <c r="H9" s="21">
        <v>2</v>
      </c>
      <c r="I9" s="22">
        <v>6</v>
      </c>
      <c r="J9" s="10">
        <v>798</v>
      </c>
      <c r="K9" s="11">
        <v>46</v>
      </c>
      <c r="L9" s="23">
        <f>K9/H9</f>
        <v>23</v>
      </c>
      <c r="M9" s="24">
        <f>+J9/K9</f>
        <v>17.347826086956523</v>
      </c>
      <c r="N9" s="25">
        <f>42933.5+11236+9203+3099+234+798</f>
        <v>67503.5</v>
      </c>
      <c r="O9" s="26">
        <f>2608+685+538+176+14+46</f>
        <v>4067</v>
      </c>
      <c r="P9" s="27">
        <f>N9/O9</f>
        <v>16.597860831079419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23</v>
      </c>
      <c r="J10" s="10">
        <v>612</v>
      </c>
      <c r="K10" s="11">
        <v>47</v>
      </c>
      <c r="L10" s="23">
        <f>K10/H10</f>
        <v>47</v>
      </c>
      <c r="M10" s="24">
        <f>+J10/K10</f>
        <v>13.021276595744681</v>
      </c>
      <c r="N10" s="25">
        <f>27204+550044+312325+331653+234959.2+204582.5+144904+128591.5+68901.5+76727+73179.5+86760.8+102319.5+89592+64930.5+628549+1455046.5+981957+747644+394027.5+70399+9194+2414+612</f>
        <v>6786517</v>
      </c>
      <c r="O10" s="26">
        <f>1873+26223+14137+14500+11472+10085+6575+6015+3308+3477+3326+4437+4671+4097+2926+45580+108273+74395+48685+25493+4405+820+114+47</f>
        <v>424934</v>
      </c>
      <c r="P10" s="27">
        <f>N10/O10</f>
        <v>15.970755458494731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100</v>
      </c>
      <c r="D11" s="19">
        <v>43490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150</v>
      </c>
      <c r="K11" s="11">
        <v>15</v>
      </c>
      <c r="L11" s="23">
        <f t="shared" ref="L11" si="4">K11/H11</f>
        <v>15</v>
      </c>
      <c r="M11" s="24">
        <f t="shared" ref="M11" si="5">+J11/K11</f>
        <v>10</v>
      </c>
      <c r="N11" s="25">
        <f>68073.6+12313+11192+2391+2851.2+4752+150</f>
        <v>101722.8</v>
      </c>
      <c r="O11" s="26">
        <f>4864+882+771+148+285+475+15</f>
        <v>7440</v>
      </c>
      <c r="P11" s="27">
        <f t="shared" ref="P11" si="6">N11/O11</f>
        <v>13.672419354838709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101</v>
      </c>
      <c r="D12" s="19">
        <v>43700</v>
      </c>
      <c r="E12" s="20" t="s">
        <v>15</v>
      </c>
      <c r="F12" s="20" t="s">
        <v>15</v>
      </c>
      <c r="G12" s="21">
        <v>1</v>
      </c>
      <c r="H12" s="21">
        <v>1</v>
      </c>
      <c r="I12" s="22">
        <v>6</v>
      </c>
      <c r="J12" s="10">
        <v>120</v>
      </c>
      <c r="K12" s="11">
        <v>12</v>
      </c>
      <c r="L12" s="23">
        <f>K12/H12</f>
        <v>12</v>
      </c>
      <c r="M12" s="24">
        <f>+J12/K12</f>
        <v>10</v>
      </c>
      <c r="N12" s="25">
        <f>4154.4+23363+3982+4144.6+2392+2970+120</f>
        <v>41126</v>
      </c>
      <c r="O12" s="26">
        <f>390+1110+255+416+196+297+12</f>
        <v>2676</v>
      </c>
      <c r="P12" s="27">
        <f>N12/O12</f>
        <v>15.368460388639761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28</v>
      </c>
      <c r="D13" s="19">
        <v>43833</v>
      </c>
      <c r="E13" s="20" t="s">
        <v>15</v>
      </c>
      <c r="F13" s="20" t="s">
        <v>15</v>
      </c>
      <c r="G13" s="21">
        <v>1</v>
      </c>
      <c r="H13" s="21">
        <v>1</v>
      </c>
      <c r="I13" s="22">
        <v>11</v>
      </c>
      <c r="J13" s="10">
        <v>40</v>
      </c>
      <c r="K13" s="11">
        <v>4</v>
      </c>
      <c r="L13" s="23">
        <f>K13/H13</f>
        <v>4</v>
      </c>
      <c r="M13" s="24">
        <f>+J13/K13</f>
        <v>10</v>
      </c>
      <c r="N13" s="25">
        <f>2396+241386.5+98796.5+39896+13025+3620+9820+13166.5+27977+165+7095+40</f>
        <v>457383.5</v>
      </c>
      <c r="O13" s="26">
        <f>125+9946+4192+2079+536+139+417+654+2168+11+658+4</f>
        <v>20929</v>
      </c>
      <c r="P13" s="27">
        <f>N13/O13</f>
        <v>21.854054183190787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45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8</v>
      </c>
      <c r="J14" s="10">
        <v>40</v>
      </c>
      <c r="K14" s="11">
        <v>4</v>
      </c>
      <c r="L14" s="23">
        <f>K14/H14</f>
        <v>4</v>
      </c>
      <c r="M14" s="24">
        <f>+J14/K14</f>
        <v>10</v>
      </c>
      <c r="N14" s="25">
        <f>5439+1652+94419+26989+8240+1167+3409.2+2970+335+40</f>
        <v>144660.20000000001</v>
      </c>
      <c r="O14" s="26">
        <f>337+106+4328+1517+645+137+353+297+19+4</f>
        <v>7743</v>
      </c>
      <c r="P14" s="27">
        <f>N14/O14</f>
        <v>18.682706961126179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47</v>
      </c>
      <c r="J15" s="10">
        <v>40</v>
      </c>
      <c r="K15" s="11">
        <v>3</v>
      </c>
      <c r="L15" s="23">
        <f>K15/H15</f>
        <v>3</v>
      </c>
      <c r="M15" s="24">
        <f>+J15/K15</f>
        <v>13.333333333333334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</f>
        <v>964762.74000000022</v>
      </c>
      <c r="O15" s="26">
        <f>42973+17328+5998+6197+1033+414+245+22+235+417+156+153+996+870+1003+1031+681+3392+1258+183+43+1293+337+105+234+760+597+618+39+238+102+190+273+32+22+190+297+297+202+297+1128+238+238+594+49+45+3</f>
        <v>93046</v>
      </c>
      <c r="P15" s="27">
        <f>N15/O15</f>
        <v>10.3686643165746</v>
      </c>
      <c r="Q15" s="2"/>
      <c r="R15" s="2"/>
      <c r="S15" s="2"/>
    </row>
    <row r="16" spans="1:19" s="8" customFormat="1" ht="22.5" customHeight="1" thickBot="1" x14ac:dyDescent="0.3">
      <c r="B16" s="41">
        <f t="shared" si="0"/>
        <v>11</v>
      </c>
      <c r="C16" s="42" t="s">
        <v>92</v>
      </c>
      <c r="D16" s="43">
        <v>41964</v>
      </c>
      <c r="E16" s="44" t="s">
        <v>15</v>
      </c>
      <c r="F16" s="44" t="s">
        <v>15</v>
      </c>
      <c r="G16" s="45">
        <v>1</v>
      </c>
      <c r="H16" s="45">
        <v>1</v>
      </c>
      <c r="I16" s="46">
        <v>43</v>
      </c>
      <c r="J16" s="47">
        <v>0</v>
      </c>
      <c r="K16" s="48">
        <v>9</v>
      </c>
      <c r="L16" s="49">
        <f t="shared" ref="L16" si="7">K16/H16</f>
        <v>9</v>
      </c>
      <c r="M16" s="50">
        <f t="shared" ref="M16" si="8">+J16/K16</f>
        <v>0</v>
      </c>
      <c r="N16" s="51">
        <f>1099708.11+593370.74+224185+52839.5+17039.5+9578+7414+5098+4983.5+10660.5+14194.5+2400+3550+2380.5+7656.5+4091.5+1713+2737+828+128+4019.35+696+742+3681+1237+1911+1320+2988+1801+2002+865+891+666+1977+185+70+1223+424+3730+2222+77+192+0</f>
        <v>2097475.2000000002</v>
      </c>
      <c r="O16" s="52">
        <f>102148+56106+22339+5539+1692+934+809+597+525+1619+1502+226+582+302+1163+486+470+558+154+16+730+93+96+595+155+233+216+393+237+257+118+138+96+381+25+14+245+41+729+400+21+30+9</f>
        <v>203019</v>
      </c>
      <c r="P16" s="53">
        <f t="shared" ref="P16" si="9">N16/O16</f>
        <v>10.331423167289762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94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95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8</v>
      </c>
      <c r="H6" s="32">
        <v>8</v>
      </c>
      <c r="I6" s="33">
        <v>3</v>
      </c>
      <c r="J6" s="34">
        <v>3159</v>
      </c>
      <c r="K6" s="35">
        <v>220</v>
      </c>
      <c r="L6" s="36">
        <f>K6/H6</f>
        <v>27.5</v>
      </c>
      <c r="M6" s="37">
        <f>+J6/K6</f>
        <v>14.359090909090909</v>
      </c>
      <c r="N6" s="38">
        <f>209269+2420+3159</f>
        <v>214848</v>
      </c>
      <c r="O6" s="39">
        <f>11877+152+220</f>
        <v>12249</v>
      </c>
      <c r="P6" s="40">
        <f>N6/O6</f>
        <v>17.540044085231447</v>
      </c>
      <c r="Q6" s="2"/>
      <c r="R6" s="2"/>
      <c r="S6" s="2"/>
    </row>
    <row r="7" spans="1:19" s="8" customFormat="1" ht="22.5" customHeight="1" x14ac:dyDescent="0.25">
      <c r="B7" s="9">
        <f t="shared" ref="B7:B1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22</v>
      </c>
      <c r="J7" s="10">
        <v>2414</v>
      </c>
      <c r="K7" s="11">
        <v>114</v>
      </c>
      <c r="L7" s="23">
        <f>K7/H7</f>
        <v>19</v>
      </c>
      <c r="M7" s="24">
        <f>+J7/K7</f>
        <v>21.17543859649123</v>
      </c>
      <c r="N7" s="25">
        <f>27204+550044+312325+331653+234959.2+204582.5+144904+128591.5+68901.5+76727+73179.5+86760.8+102319.5+89592+64930.5+628549+1455046.5+981957+747644+394027.5+70399+9194+2414</f>
        <v>6785905</v>
      </c>
      <c r="O7" s="26">
        <f>1873+26223+14137+14500+11472+10085+6575+6015+3308+3477+3326+4437+4671+4097+2926+45580+108273+74395+48685+25493+4405+820+114</f>
        <v>424887</v>
      </c>
      <c r="P7" s="27">
        <f>N7/O7</f>
        <v>15.971081722905149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1</v>
      </c>
      <c r="J8" s="10">
        <v>1613</v>
      </c>
      <c r="K8" s="11">
        <v>125</v>
      </c>
      <c r="L8" s="23">
        <f>K8/H8</f>
        <v>20.833333333333332</v>
      </c>
      <c r="M8" s="24">
        <f>+J8/K8</f>
        <v>12.904</v>
      </c>
      <c r="N8" s="25">
        <f>1613</f>
        <v>1613</v>
      </c>
      <c r="O8" s="26">
        <f>125</f>
        <v>125</v>
      </c>
      <c r="P8" s="27">
        <f>N8/O8</f>
        <v>12.904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84</v>
      </c>
      <c r="D9" s="19">
        <v>43721</v>
      </c>
      <c r="E9" s="20" t="s">
        <v>15</v>
      </c>
      <c r="F9" s="20" t="s">
        <v>16</v>
      </c>
      <c r="G9" s="21">
        <v>1</v>
      </c>
      <c r="H9" s="21">
        <v>1</v>
      </c>
      <c r="I9" s="22">
        <v>12</v>
      </c>
      <c r="J9" s="10">
        <v>1325</v>
      </c>
      <c r="K9" s="11">
        <v>72</v>
      </c>
      <c r="L9" s="23">
        <f t="shared" ref="L9" si="1">K9/H9</f>
        <v>72</v>
      </c>
      <c r="M9" s="24">
        <f t="shared" ref="M9" si="2">+J9/K9</f>
        <v>18.402777777777779</v>
      </c>
      <c r="N9" s="25">
        <f>1189575.5+908177.5+623160.5+325667+65052+1396+8874.8+7840.8+10692+2376+2376+1325</f>
        <v>3146513.0999999996</v>
      </c>
      <c r="O9" s="26">
        <f>63951+49598+33178+16470+2937+78+929+784+1070+238+238+72</f>
        <v>169543</v>
      </c>
      <c r="P9" s="27">
        <f t="shared" ref="P9" si="3">N9/O9</f>
        <v>18.558790985177801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53</v>
      </c>
      <c r="D10" s="19">
        <v>43308</v>
      </c>
      <c r="E10" s="20" t="s">
        <v>15</v>
      </c>
      <c r="F10" s="20" t="s">
        <v>15</v>
      </c>
      <c r="G10" s="21">
        <v>4</v>
      </c>
      <c r="H10" s="21">
        <v>4</v>
      </c>
      <c r="I10" s="22">
        <v>46</v>
      </c>
      <c r="J10" s="10">
        <v>364</v>
      </c>
      <c r="K10" s="11">
        <v>45</v>
      </c>
      <c r="L10" s="23">
        <f>K10/H10</f>
        <v>11.25</v>
      </c>
      <c r="M10" s="24">
        <f>+J10/K10</f>
        <v>8.0888888888888886</v>
      </c>
      <c r="N10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</f>
        <v>964722.74000000022</v>
      </c>
      <c r="O10" s="26">
        <f>42973+17328+5998+6197+1033+414+245+22+235+417+156+153+996+870+1003+1031+681+3392+1258+183+43+1293+337+105+234+760+597+618+39+238+102+190+273+32+22+190+297+297+202+297+1128+238+238+594+49+45</f>
        <v>93043</v>
      </c>
      <c r="P10" s="27">
        <f>N10/O10</f>
        <v>10.368568726287847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335</v>
      </c>
      <c r="K11" s="11">
        <v>19</v>
      </c>
      <c r="L11" s="23">
        <f>K11/H11</f>
        <v>19</v>
      </c>
      <c r="M11" s="24">
        <f>+J11/K11</f>
        <v>17.631578947368421</v>
      </c>
      <c r="N11" s="25">
        <f>5439+1652+94419+26989+8240+1167+3409.2+2970+335</f>
        <v>144620.20000000001</v>
      </c>
      <c r="O11" s="26">
        <f>337+106+4328+1517+645+137+353+297+19</f>
        <v>7739</v>
      </c>
      <c r="P11" s="27">
        <f>N11/O11</f>
        <v>18.687194728001035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6</v>
      </c>
      <c r="J12" s="10">
        <v>251</v>
      </c>
      <c r="K12" s="11">
        <v>15</v>
      </c>
      <c r="L12" s="23">
        <f t="shared" ref="L12" si="4">K12/H12</f>
        <v>7.5</v>
      </c>
      <c r="M12" s="24">
        <f t="shared" ref="M12" si="5">+J12/K12</f>
        <v>16.733333333333334</v>
      </c>
      <c r="N12" s="25">
        <f>82437+7412+130+30+417+251</f>
        <v>90677</v>
      </c>
      <c r="O12" s="26">
        <f>4900+460+10+2+28+15</f>
        <v>5415</v>
      </c>
      <c r="P12" s="27">
        <f t="shared" ref="P12" si="6">N12/O12</f>
        <v>16.745521698984302</v>
      </c>
      <c r="Q12" s="2"/>
      <c r="R12" s="2"/>
      <c r="S12" s="2"/>
    </row>
    <row r="13" spans="1:19" s="8" customFormat="1" ht="22.5" customHeight="1" thickBot="1" x14ac:dyDescent="0.3">
      <c r="B13" s="41">
        <f t="shared" si="0"/>
        <v>8</v>
      </c>
      <c r="C13" s="42" t="s">
        <v>92</v>
      </c>
      <c r="D13" s="43">
        <v>41964</v>
      </c>
      <c r="E13" s="44" t="s">
        <v>15</v>
      </c>
      <c r="F13" s="65" t="s">
        <v>15</v>
      </c>
      <c r="G13" s="45">
        <v>2</v>
      </c>
      <c r="H13" s="45">
        <v>2</v>
      </c>
      <c r="I13" s="58">
        <v>42</v>
      </c>
      <c r="J13" s="47">
        <v>192</v>
      </c>
      <c r="K13" s="48">
        <v>30</v>
      </c>
      <c r="L13" s="59">
        <f t="shared" ref="L13" si="7">K13/H13</f>
        <v>15</v>
      </c>
      <c r="M13" s="60">
        <f t="shared" ref="M13" si="8">+J13/K13</f>
        <v>6.4</v>
      </c>
      <c r="N13" s="61">
        <f>1099708.11+593370.74+224185+52839.5+17039.5+9578+7414+5098+4983.5+10660.5+14194.5+2400+3550+2380.5+7656.5+4091.5+1713+2737+828+128+4019.35+696+742+3681+1237+1911+1320+2988+1801+2002+865+891+666+1977+185+70+1223+424+3730+2222+77+192</f>
        <v>2097475.2000000002</v>
      </c>
      <c r="O13" s="62">
        <f>102148+56106+22339+5539+1692+934+809+597+525+1619+1502+226+582+302+1163+486+470+558+154+16+730+93+96+595+155+233+216+393+237+257+118+138+96+381+25+14+245+41+729+400+21+30</f>
        <v>203010</v>
      </c>
      <c r="P13" s="63">
        <f t="shared" ref="P13" si="9">N13/O13</f>
        <v>10.331881188118812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8</v>
      </c>
      <c r="H6" s="32">
        <v>8</v>
      </c>
      <c r="I6" s="33">
        <v>21</v>
      </c>
      <c r="J6" s="34">
        <v>9194</v>
      </c>
      <c r="K6" s="35">
        <v>820</v>
      </c>
      <c r="L6" s="36">
        <f>K6/H6</f>
        <v>102.5</v>
      </c>
      <c r="M6" s="37">
        <f>+J6/K6</f>
        <v>11.21219512195122</v>
      </c>
      <c r="N6" s="38">
        <f>27204+550044+312325+331653+234959.2+204582.5+144904+128591.5+68901.5+76727+73179.5+86760.8+102319.5+89592+64930.5+628549+1455046.5+981957+747644+394027.5+70399+9194</f>
        <v>6783491</v>
      </c>
      <c r="O6" s="39">
        <f>1873+26223+14137+14500+11472+10085+6575+6015+3308+3477+3326+4437+4671+4097+2926+45580+108273+74395+48685+25493+4405+820</f>
        <v>424773</v>
      </c>
      <c r="P6" s="40">
        <f>N6/O6</f>
        <v>15.969684984685939</v>
      </c>
      <c r="Q6" s="2"/>
      <c r="R6" s="2"/>
      <c r="S6" s="2"/>
    </row>
    <row r="7" spans="1:19" s="8" customFormat="1" ht="22.5" customHeight="1" x14ac:dyDescent="0.25">
      <c r="B7" s="9">
        <f t="shared" ref="B7:B15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2</v>
      </c>
      <c r="H7" s="21">
        <v>2</v>
      </c>
      <c r="I7" s="22">
        <v>10</v>
      </c>
      <c r="J7" s="10">
        <v>7095</v>
      </c>
      <c r="K7" s="11">
        <v>658</v>
      </c>
      <c r="L7" s="23">
        <f>K7/H7</f>
        <v>329</v>
      </c>
      <c r="M7" s="24">
        <f>+J7/K7</f>
        <v>10.782674772036474</v>
      </c>
      <c r="N7" s="25">
        <f>2396+241386.5+98796.5+39896+13025+3620+9820+13166.5+27977+165+7095</f>
        <v>457343.5</v>
      </c>
      <c r="O7" s="26">
        <f>125+9946+4192+2079+536+139+417+654+2168+11+658</f>
        <v>20925</v>
      </c>
      <c r="P7" s="27">
        <f>N7/O7</f>
        <v>21.8563201911589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93</v>
      </c>
      <c r="D8" s="19">
        <v>43560</v>
      </c>
      <c r="E8" s="20" t="s">
        <v>15</v>
      </c>
      <c r="F8" s="20" t="s">
        <v>16</v>
      </c>
      <c r="G8" s="21">
        <v>1</v>
      </c>
      <c r="H8" s="21">
        <v>1</v>
      </c>
      <c r="I8" s="22">
        <v>12</v>
      </c>
      <c r="J8" s="10">
        <v>4752</v>
      </c>
      <c r="K8" s="11">
        <v>475</v>
      </c>
      <c r="L8" s="23">
        <f>K8/H8</f>
        <v>475</v>
      </c>
      <c r="M8" s="24">
        <f>+J8/K8</f>
        <v>10.00421052631579</v>
      </c>
      <c r="N8" s="25">
        <f>57956.08+2604+4752+3564+3801.6+2970+3326.4+3564+3564+1782+2138.4+4752</f>
        <v>94774.48</v>
      </c>
      <c r="O8" s="26">
        <f>2872+101+475+356+380+297+333+356+356+178+214+475</f>
        <v>6393</v>
      </c>
      <c r="P8" s="27">
        <f>N8/O8</f>
        <v>14.824727045205693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2</v>
      </c>
      <c r="J9" s="10">
        <v>2420</v>
      </c>
      <c r="K9" s="11">
        <v>152</v>
      </c>
      <c r="L9" s="23">
        <f>K9/H9</f>
        <v>21.714285714285715</v>
      </c>
      <c r="M9" s="24">
        <f>+J9/K9</f>
        <v>15.921052631578947</v>
      </c>
      <c r="N9" s="25">
        <f>209269+2420</f>
        <v>211689</v>
      </c>
      <c r="O9" s="26">
        <f>11877+152</f>
        <v>12029</v>
      </c>
      <c r="P9" s="27">
        <f>N9/O9</f>
        <v>17.598220965998838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990</v>
      </c>
      <c r="K10" s="11">
        <v>66</v>
      </c>
      <c r="L10" s="23">
        <f>K10/H10</f>
        <v>66</v>
      </c>
      <c r="M10" s="24">
        <f>+J10/K10</f>
        <v>15</v>
      </c>
      <c r="N10" s="25">
        <f>1245183.5+169614.5+71865.8+29102.5+19785+3392+8359+7998.6+13914.4+4053+8569.4+1782+990</f>
        <v>1584609.7</v>
      </c>
      <c r="O10" s="26">
        <f>74795+11280+5220+2328+1564+254+823+805+1562+445+868+178+66</f>
        <v>100188</v>
      </c>
      <c r="P10" s="27">
        <f>N10/O10</f>
        <v>15.816362238990697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34</v>
      </c>
      <c r="D11" s="19">
        <v>43749</v>
      </c>
      <c r="E11" s="20" t="s">
        <v>15</v>
      </c>
      <c r="F11" s="20" t="s">
        <v>15</v>
      </c>
      <c r="G11" s="21">
        <v>1</v>
      </c>
      <c r="H11" s="21">
        <v>1</v>
      </c>
      <c r="I11" s="22">
        <v>17</v>
      </c>
      <c r="J11" s="10">
        <v>925</v>
      </c>
      <c r="K11" s="11">
        <v>50</v>
      </c>
      <c r="L11" s="23">
        <f t="shared" ref="L11:L12" si="1">K11/H11</f>
        <v>50</v>
      </c>
      <c r="M11" s="24">
        <f t="shared" ref="M11:M12" si="2">+J11/K11</f>
        <v>18.5</v>
      </c>
      <c r="N11" s="25">
        <f>196923+135978.5+95605.5+44166.7+22738+10355+3032+3658+836+2613.6+1900.8+7716+2376+300+300+210+925</f>
        <v>529634.1</v>
      </c>
      <c r="O11" s="26">
        <f>9042+6709+4673+2472+1161+572+223+278+55+261+190+375+238+20+20+14+50</f>
        <v>26353</v>
      </c>
      <c r="P11" s="27">
        <f t="shared" ref="P11:P12" si="3">N11/O11</f>
        <v>20.097677683755169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5</v>
      </c>
      <c r="J12" s="10">
        <v>417</v>
      </c>
      <c r="K12" s="11">
        <v>28</v>
      </c>
      <c r="L12" s="23">
        <f t="shared" si="1"/>
        <v>14</v>
      </c>
      <c r="M12" s="24">
        <f t="shared" si="2"/>
        <v>14.892857142857142</v>
      </c>
      <c r="N12" s="25">
        <f>82437+7412+130+30+417</f>
        <v>90426</v>
      </c>
      <c r="O12" s="26">
        <f>4900+460+10+2+28</f>
        <v>5400</v>
      </c>
      <c r="P12" s="27">
        <f t="shared" si="3"/>
        <v>16.745555555555555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53</v>
      </c>
      <c r="D13" s="19">
        <v>43308</v>
      </c>
      <c r="E13" s="20" t="s">
        <v>15</v>
      </c>
      <c r="F13" s="20" t="s">
        <v>15</v>
      </c>
      <c r="G13" s="21">
        <v>3</v>
      </c>
      <c r="H13" s="21">
        <v>3</v>
      </c>
      <c r="I13" s="22">
        <v>45</v>
      </c>
      <c r="J13" s="10">
        <v>138</v>
      </c>
      <c r="K13" s="11">
        <v>49</v>
      </c>
      <c r="L13" s="23">
        <f>K13/H13</f>
        <v>16.333333333333332</v>
      </c>
      <c r="M13" s="24">
        <f>+J13/K13</f>
        <v>2.8163265306122449</v>
      </c>
      <c r="N13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</f>
        <v>964358.74000000022</v>
      </c>
      <c r="O13" s="26">
        <f>42973+17328+5998+6197+1033+414+245+22+235+417+156+153+996+870+1003+1031+681+3392+1258+183+43+1293+337+105+234+760+597+618+39+238+102+190+273+32+22+190+297+297+202+297+1128+238+238+594+49</f>
        <v>92998</v>
      </c>
      <c r="P13" s="27">
        <f>N13/O13</f>
        <v>10.369671820899377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69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3</v>
      </c>
      <c r="J14" s="10">
        <v>125</v>
      </c>
      <c r="K14" s="11">
        <v>13</v>
      </c>
      <c r="L14" s="23">
        <f>K14/H14</f>
        <v>13</v>
      </c>
      <c r="M14" s="24">
        <f>+J14/K14</f>
        <v>9.615384615384615</v>
      </c>
      <c r="N14" s="25">
        <f>5065+8285+76168.5+5812+125</f>
        <v>95455.5</v>
      </c>
      <c r="O14" s="26">
        <f>379+602+3406+252+13</f>
        <v>4652</v>
      </c>
      <c r="P14" s="27">
        <f>N14/O14</f>
        <v>20.519239036973346</v>
      </c>
      <c r="Q14" s="2"/>
      <c r="R14" s="2"/>
      <c r="S14" s="2"/>
    </row>
    <row r="15" spans="1:19" s="8" customFormat="1" ht="22.5" customHeight="1" thickBot="1" x14ac:dyDescent="0.3">
      <c r="B15" s="41">
        <f t="shared" si="0"/>
        <v>10</v>
      </c>
      <c r="C15" s="42" t="s">
        <v>92</v>
      </c>
      <c r="D15" s="43">
        <v>41964</v>
      </c>
      <c r="E15" s="44" t="s">
        <v>15</v>
      </c>
      <c r="F15" s="65" t="s">
        <v>15</v>
      </c>
      <c r="G15" s="45">
        <v>2</v>
      </c>
      <c r="H15" s="45">
        <v>2</v>
      </c>
      <c r="I15" s="58">
        <v>41</v>
      </c>
      <c r="J15" s="47">
        <v>77</v>
      </c>
      <c r="K15" s="48">
        <v>21</v>
      </c>
      <c r="L15" s="59">
        <f t="shared" ref="L15" si="4">K15/H15</f>
        <v>10.5</v>
      </c>
      <c r="M15" s="60">
        <f t="shared" ref="M15" si="5">+J15/K15</f>
        <v>3.6666666666666665</v>
      </c>
      <c r="N15" s="61">
        <f>1099708.11+593370.74+224185+52839.5+17039.5+9578+7414+5098+4983.5+10660.5+14194.5+2400+3550+2380.5+7656.5+4091.5+1713+2737+828+128+4019.35+696+742+3681+1237+1911+1320+2988+1801+2002+865+891+666+1977+185+70+1223+424+3730+2222+77</f>
        <v>2097283.2000000002</v>
      </c>
      <c r="O15" s="62">
        <f>102148+56106+22339+5539+1692+934+809+597+525+1619+1502+226+582+302+1163+486+470+558+154+16+730+93+96+595+155+233+216+393+237+257+118+138+96+381+25+14+245+41+729+400+21</f>
        <v>202980</v>
      </c>
      <c r="P15" s="63">
        <f t="shared" ref="P15" si="6">N15/O15</f>
        <v>10.332462311557791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168</v>
      </c>
      <c r="H6" s="32">
        <v>168</v>
      </c>
      <c r="I6" s="33">
        <v>1</v>
      </c>
      <c r="J6" s="34">
        <v>209269</v>
      </c>
      <c r="K6" s="35">
        <v>11877</v>
      </c>
      <c r="L6" s="36">
        <f>K6/H6</f>
        <v>70.696428571428569</v>
      </c>
      <c r="M6" s="37">
        <f>+J6/K6</f>
        <v>17.619685105666413</v>
      </c>
      <c r="N6" s="38">
        <f>209269</f>
        <v>209269</v>
      </c>
      <c r="O6" s="39">
        <f>11877</f>
        <v>11877</v>
      </c>
      <c r="P6" s="40">
        <f>N6/O6</f>
        <v>17.619685105666413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85</v>
      </c>
      <c r="H7" s="21">
        <v>85</v>
      </c>
      <c r="I7" s="22">
        <v>20</v>
      </c>
      <c r="J7" s="10">
        <v>70399</v>
      </c>
      <c r="K7" s="11">
        <v>4405</v>
      </c>
      <c r="L7" s="23">
        <f>K7/H7</f>
        <v>51.823529411764703</v>
      </c>
      <c r="M7" s="24">
        <f>+J7/K7</f>
        <v>15.98161180476731</v>
      </c>
      <c r="N7" s="25">
        <f>27204+550044+312325+331653+234959.2+204582.5+144904+128591.5+68901.5+76727+73179.5+86760.8+102319.5+89592+64930.5+628549+1455046.5+981957+747644+394027.5+70399</f>
        <v>6774297</v>
      </c>
      <c r="O7" s="26">
        <f>1873+26223+14137+14500+11472+10085+6575+6015+3308+3477+3326+4437+4671+4097+2926+45580+108273+74395+48685+25493+4405</f>
        <v>423953</v>
      </c>
      <c r="P7" s="27">
        <f>N7/O7</f>
        <v>15.978886810566266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14</v>
      </c>
      <c r="H8" s="21">
        <v>14</v>
      </c>
      <c r="I8" s="22">
        <v>2</v>
      </c>
      <c r="J8" s="10">
        <v>5812</v>
      </c>
      <c r="K8" s="11">
        <v>252</v>
      </c>
      <c r="L8" s="23">
        <f>K8/H8</f>
        <v>18</v>
      </c>
      <c r="M8" s="24">
        <f>+J8/K8</f>
        <v>23.063492063492063</v>
      </c>
      <c r="N8" s="25">
        <f>5065+8285+76168.5+5812</f>
        <v>95330.5</v>
      </c>
      <c r="O8" s="26">
        <f>379+602+3406+252</f>
        <v>4639</v>
      </c>
      <c r="P8" s="27">
        <f>N8/O8</f>
        <v>20.549795214485879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1</v>
      </c>
      <c r="H9" s="21">
        <v>1</v>
      </c>
      <c r="I9" s="22">
        <v>12</v>
      </c>
      <c r="J9" s="10">
        <v>2376</v>
      </c>
      <c r="K9" s="11">
        <v>238</v>
      </c>
      <c r="L9" s="23">
        <f>K9/H9</f>
        <v>238</v>
      </c>
      <c r="M9" s="24">
        <f>+J9/K9</f>
        <v>9.9831932773109244</v>
      </c>
      <c r="N9" s="25">
        <f>35291.5+48192+38988+17228+262+15638+12162+3564+2306+3564+4752+2376</f>
        <v>184323.5</v>
      </c>
      <c r="O9" s="26">
        <f>2413+3488+2602+1575+14+1533+1204+356+144+356+475+238</f>
        <v>14398</v>
      </c>
      <c r="P9" s="27">
        <f>N9/O9</f>
        <v>12.802021114043617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83</v>
      </c>
      <c r="D10" s="19">
        <v>43896</v>
      </c>
      <c r="E10" s="20" t="s">
        <v>15</v>
      </c>
      <c r="F10" s="20" t="s">
        <v>15</v>
      </c>
      <c r="G10" s="21">
        <v>46</v>
      </c>
      <c r="H10" s="21">
        <v>46</v>
      </c>
      <c r="I10" s="22">
        <v>2</v>
      </c>
      <c r="J10" s="10">
        <v>2211</v>
      </c>
      <c r="K10" s="11">
        <v>153</v>
      </c>
      <c r="L10" s="23">
        <f t="shared" ref="L10" si="1">K10/H10</f>
        <v>3.3260869565217392</v>
      </c>
      <c r="M10" s="24">
        <f t="shared" ref="M10" si="2">+J10/K10</f>
        <v>14.450980392156863</v>
      </c>
      <c r="N10" s="25">
        <f>137757.5+2211</f>
        <v>139968.5</v>
      </c>
      <c r="O10" s="26">
        <f>7791+153</f>
        <v>7944</v>
      </c>
      <c r="P10" s="27">
        <f t="shared" ref="P10" si="3">N10/O10</f>
        <v>17.619398288016114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13</v>
      </c>
      <c r="J11" s="10">
        <v>936</v>
      </c>
      <c r="K11" s="11">
        <v>116</v>
      </c>
      <c r="L11" s="23">
        <f>K11/H11</f>
        <v>11.6</v>
      </c>
      <c r="M11" s="24">
        <f>+J11/K11</f>
        <v>8.068965517241379</v>
      </c>
      <c r="N11" s="25">
        <f>378926+79846+19515+14964+8765+3960+2220+272+2008+6448+472+200+936</f>
        <v>518532</v>
      </c>
      <c r="O11" s="26">
        <f>21844+4905+1778+1322+907+396+268+34+254+806+59+25+116</f>
        <v>32714</v>
      </c>
      <c r="P11" s="27">
        <f>N11/O11</f>
        <v>15.850461576083633</v>
      </c>
      <c r="Q11" s="2"/>
      <c r="R11" s="2"/>
      <c r="S11" s="2"/>
    </row>
    <row r="12" spans="1:19" s="8" customFormat="1" ht="22.5" customHeight="1" thickBot="1" x14ac:dyDescent="0.3">
      <c r="B12" s="41">
        <f t="shared" si="0"/>
        <v>7</v>
      </c>
      <c r="C12" s="42" t="s">
        <v>44</v>
      </c>
      <c r="D12" s="43">
        <v>43770</v>
      </c>
      <c r="E12" s="44" t="s">
        <v>15</v>
      </c>
      <c r="F12" s="44" t="s">
        <v>16</v>
      </c>
      <c r="G12" s="45">
        <v>1</v>
      </c>
      <c r="H12" s="45">
        <v>1</v>
      </c>
      <c r="I12" s="46">
        <v>9</v>
      </c>
      <c r="J12" s="47">
        <v>300</v>
      </c>
      <c r="K12" s="48">
        <v>29</v>
      </c>
      <c r="L12" s="49">
        <f t="shared" ref="L12" si="4">K12/H12</f>
        <v>29</v>
      </c>
      <c r="M12" s="50">
        <f t="shared" ref="M12" si="5">+J12/K12</f>
        <v>10.344827586206897</v>
      </c>
      <c r="N12" s="51">
        <f>609662.5+131067+15933+4836+875+910+542+6309.6+300</f>
        <v>770435.1</v>
      </c>
      <c r="O12" s="52">
        <f>34810+8470+1105+335+81+87+51+629+29</f>
        <v>45597</v>
      </c>
      <c r="P12" s="53">
        <f t="shared" ref="P12" si="6">N12/O12</f>
        <v>16.896618198565694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95</v>
      </c>
      <c r="H6" s="32">
        <v>96</v>
      </c>
      <c r="I6" s="33">
        <v>19</v>
      </c>
      <c r="J6" s="34">
        <v>394027.5</v>
      </c>
      <c r="K6" s="35">
        <v>25493</v>
      </c>
      <c r="L6" s="36">
        <f>K6/H6</f>
        <v>265.55208333333331</v>
      </c>
      <c r="M6" s="37">
        <f>+J6/K6</f>
        <v>15.456301729886636</v>
      </c>
      <c r="N6" s="38">
        <f>27204+550044+312325+331653+234959.2+204582.5+144904+128591.5+68901.5+76727+73179.5+86760.8+102319.5+89592+64930.5+628549+1455046.5+981957+747644+394027.5</f>
        <v>6703898</v>
      </c>
      <c r="O6" s="39">
        <f>1873+26223+14137+14500+11472+10085+6575+6015+3308+3477+3326+4437+4671+4097+2926+45580+108273+74395+48685+25493</f>
        <v>419548</v>
      </c>
      <c r="P6" s="40">
        <f>N6/O6</f>
        <v>15.978858199776903</v>
      </c>
      <c r="Q6" s="2"/>
      <c r="R6" s="2"/>
      <c r="S6" s="2"/>
    </row>
    <row r="7" spans="1:19" s="8" customFormat="1" ht="22.5" customHeight="1" x14ac:dyDescent="0.25">
      <c r="B7" s="9">
        <f t="shared" ref="B7:B18" si="0">B6+1</f>
        <v>2</v>
      </c>
      <c r="C7" s="18" t="s">
        <v>83</v>
      </c>
      <c r="D7" s="19">
        <v>43896</v>
      </c>
      <c r="E7" s="20" t="s">
        <v>15</v>
      </c>
      <c r="F7" s="20" t="s">
        <v>15</v>
      </c>
      <c r="G7" s="21">
        <v>223</v>
      </c>
      <c r="H7" s="21">
        <v>223</v>
      </c>
      <c r="I7" s="22">
        <v>1</v>
      </c>
      <c r="J7" s="10">
        <v>137757.5</v>
      </c>
      <c r="K7" s="11">
        <v>7791</v>
      </c>
      <c r="L7" s="23">
        <f t="shared" ref="L7" si="1">K7/H7</f>
        <v>34.937219730941706</v>
      </c>
      <c r="M7" s="24">
        <f t="shared" ref="M7" si="2">+J7/K7</f>
        <v>17.681619817738415</v>
      </c>
      <c r="N7" s="25">
        <f>137757.5</f>
        <v>137757.5</v>
      </c>
      <c r="O7" s="26">
        <f>7791</f>
        <v>7791</v>
      </c>
      <c r="P7" s="27">
        <f t="shared" ref="P7" si="3">N7/O7</f>
        <v>17.681619817738415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48</v>
      </c>
      <c r="H8" s="21">
        <v>48</v>
      </c>
      <c r="I8" s="22">
        <v>1</v>
      </c>
      <c r="J8" s="10">
        <v>76168.5</v>
      </c>
      <c r="K8" s="11">
        <v>3406</v>
      </c>
      <c r="L8" s="23">
        <f>K8/H8</f>
        <v>70.958333333333329</v>
      </c>
      <c r="M8" s="24">
        <f>+J8/K8</f>
        <v>22.363035819142688</v>
      </c>
      <c r="N8" s="25">
        <f>5065+8285+76168.5</f>
        <v>89518.5</v>
      </c>
      <c r="O8" s="26">
        <f>379+602+3406</f>
        <v>4387</v>
      </c>
      <c r="P8" s="27">
        <f>N8/O8</f>
        <v>20.405402325051288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57</v>
      </c>
      <c r="D9" s="19">
        <v>43861</v>
      </c>
      <c r="E9" s="20" t="s">
        <v>15</v>
      </c>
      <c r="F9" s="20" t="s">
        <v>15</v>
      </c>
      <c r="G9" s="21">
        <v>4</v>
      </c>
      <c r="H9" s="21">
        <v>4</v>
      </c>
      <c r="I9" s="22">
        <v>6</v>
      </c>
      <c r="J9" s="10">
        <v>6548.6</v>
      </c>
      <c r="K9" s="11">
        <v>759</v>
      </c>
      <c r="L9" s="23">
        <f t="shared" ref="L9" si="4">K9/H9</f>
        <v>189.75</v>
      </c>
      <c r="M9" s="24">
        <f t="shared" ref="M9" si="5">+J9/K9</f>
        <v>8.627931488801055</v>
      </c>
      <c r="N9" s="25">
        <f>9454+241951+37013+20887.8+15951+12475+6548.6</f>
        <v>344280.39999999997</v>
      </c>
      <c r="O9" s="26">
        <f>556+13027+2254+1944+1245+1075+759</f>
        <v>20860</v>
      </c>
      <c r="P9" s="27">
        <f t="shared" ref="P9" si="6">N9/O9</f>
        <v>16.504333652924256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2</v>
      </c>
      <c r="H10" s="21">
        <v>2</v>
      </c>
      <c r="I10" s="22">
        <v>8</v>
      </c>
      <c r="J10" s="10">
        <v>6309.6</v>
      </c>
      <c r="K10" s="11">
        <v>629</v>
      </c>
      <c r="L10" s="23">
        <f t="shared" ref="L10" si="7">K10/H10</f>
        <v>314.5</v>
      </c>
      <c r="M10" s="24">
        <f t="shared" ref="M10" si="8">+J10/K10</f>
        <v>10.031160572337043</v>
      </c>
      <c r="N10" s="25">
        <f>609662.5+131067+15933+4836+875+910+542+6309.6</f>
        <v>770135.1</v>
      </c>
      <c r="O10" s="26">
        <f>34810+8470+1105+335+81+87+51+629</f>
        <v>45568</v>
      </c>
      <c r="P10" s="27">
        <f t="shared" ref="P10" si="9">N10/O10</f>
        <v>16.900787833567414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6</v>
      </c>
      <c r="J11" s="10">
        <v>2970</v>
      </c>
      <c r="K11" s="11">
        <v>297</v>
      </c>
      <c r="L11" s="23">
        <f>K11/H11</f>
        <v>297</v>
      </c>
      <c r="M11" s="24">
        <f>+J11/K11</f>
        <v>10</v>
      </c>
      <c r="N11" s="25">
        <f>5439+1652+94419+26989+8240+1167+3409.2+2970</f>
        <v>144285.20000000001</v>
      </c>
      <c r="O11" s="26">
        <f>337+106+4328+1517+645+137+353+297</f>
        <v>7720</v>
      </c>
      <c r="P11" s="27">
        <f>N11/O11</f>
        <v>18.689792746113991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84</v>
      </c>
      <c r="D12" s="19">
        <v>43721</v>
      </c>
      <c r="E12" s="20" t="s">
        <v>15</v>
      </c>
      <c r="F12" s="20" t="s">
        <v>16</v>
      </c>
      <c r="G12" s="21">
        <v>1</v>
      </c>
      <c r="H12" s="21">
        <v>1</v>
      </c>
      <c r="I12" s="22">
        <v>11</v>
      </c>
      <c r="J12" s="10">
        <v>2376</v>
      </c>
      <c r="K12" s="11">
        <v>238</v>
      </c>
      <c r="L12" s="23">
        <f t="shared" ref="L12" si="10">K12/H12</f>
        <v>238</v>
      </c>
      <c r="M12" s="24">
        <f t="shared" ref="M12" si="11">+J12/K12</f>
        <v>9.9831932773109244</v>
      </c>
      <c r="N12" s="25">
        <f>1189575.5+908177.5+623160.5+325667+65052+1396+8874.8+7840.8+10692+2376+2376</f>
        <v>3145188.0999999996</v>
      </c>
      <c r="O12" s="26">
        <f>63951+49598+33178+16470+2937+78+929+784+1070+238+238</f>
        <v>169471</v>
      </c>
      <c r="P12" s="27">
        <f t="shared" ref="P12" si="12">N12/O12</f>
        <v>18.558857267615107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22</v>
      </c>
      <c r="J13" s="10">
        <v>2376</v>
      </c>
      <c r="K13" s="11">
        <v>238</v>
      </c>
      <c r="L13" s="23">
        <f t="shared" ref="L13:L18" si="13">K13/H13</f>
        <v>238</v>
      </c>
      <c r="M13" s="24">
        <f t="shared" ref="M13:M18" si="14">+J13/K13</f>
        <v>9.9831932773109244</v>
      </c>
      <c r="N13" s="25">
        <f>528+327252+32278+11310+11072+6736+7179.6+7500.5+2520+7656+6544+9085+10856+235+1425.6+6058.8+4752+4158+10692+4158+3564+2376+2376</f>
        <v>480312.49999999994</v>
      </c>
      <c r="O13" s="26">
        <f>44+19588+2088+742+697+433+644+622+252+762+659+915+1186+23+143+606+475+416+1069+416+356+238+238</f>
        <v>32612</v>
      </c>
      <c r="P13" s="27">
        <f t="shared" ref="P13:P18" si="15">N13/O13</f>
        <v>14.728090886790136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85</v>
      </c>
      <c r="D14" s="19">
        <v>43287</v>
      </c>
      <c r="E14" s="20" t="s">
        <v>15</v>
      </c>
      <c r="F14" s="20" t="s">
        <v>39</v>
      </c>
      <c r="G14" s="21">
        <v>1</v>
      </c>
      <c r="H14" s="21">
        <v>1</v>
      </c>
      <c r="I14" s="22">
        <v>20</v>
      </c>
      <c r="J14" s="10">
        <v>1425.6</v>
      </c>
      <c r="K14" s="11">
        <v>143</v>
      </c>
      <c r="L14" s="23">
        <f t="shared" si="13"/>
        <v>143</v>
      </c>
      <c r="M14" s="24">
        <f t="shared" si="14"/>
        <v>9.9692307692307693</v>
      </c>
      <c r="N14" s="25">
        <f>260905.28+51677.26+7607.92+1142+150+479+1782.01+4310.35+2494.8+2376+1782+3564+1510.17+3313.8+2887+1425.6+1900.8+1900.8+3564+1425.6</f>
        <v>356198.38999999984</v>
      </c>
      <c r="O14" s="26">
        <f>22760+5015+815+129+15+48+356+857+499+475+356+712+302+663+405+285+190+190+356+143</f>
        <v>34571</v>
      </c>
      <c r="P14" s="27">
        <f t="shared" si="15"/>
        <v>10.303386942813336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2</v>
      </c>
      <c r="H15" s="21">
        <v>2</v>
      </c>
      <c r="I15" s="22">
        <v>2</v>
      </c>
      <c r="J15" s="10">
        <v>822</v>
      </c>
      <c r="K15" s="11">
        <v>39</v>
      </c>
      <c r="L15" s="23">
        <f t="shared" si="13"/>
        <v>19.5</v>
      </c>
      <c r="M15" s="24">
        <f t="shared" si="14"/>
        <v>21.076923076923077</v>
      </c>
      <c r="N15" s="25">
        <f>798+73600+822</f>
        <v>75220</v>
      </c>
      <c r="O15" s="26">
        <f>42+3691+39</f>
        <v>3772</v>
      </c>
      <c r="P15" s="27">
        <f t="shared" si="15"/>
        <v>19.941675503711558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34</v>
      </c>
      <c r="D16" s="19">
        <v>43749</v>
      </c>
      <c r="E16" s="20" t="s">
        <v>15</v>
      </c>
      <c r="F16" s="20" t="s">
        <v>15</v>
      </c>
      <c r="G16" s="21">
        <v>1</v>
      </c>
      <c r="H16" s="21">
        <v>1</v>
      </c>
      <c r="I16" s="22">
        <v>16</v>
      </c>
      <c r="J16" s="10">
        <v>210</v>
      </c>
      <c r="K16" s="11">
        <v>14</v>
      </c>
      <c r="L16" s="23">
        <f t="shared" si="13"/>
        <v>14</v>
      </c>
      <c r="M16" s="24">
        <f t="shared" si="14"/>
        <v>15</v>
      </c>
      <c r="N16" s="25">
        <f>196923+135978.5+95605.5+44166.7+22738+10355+3032+3658+836+2613.6+1900.8+7716+2376+300+300+210</f>
        <v>528709.1</v>
      </c>
      <c r="O16" s="26">
        <f>9042+6709+4673+2472+1161+572+223+278+55+261+190+375+238+20+20+14</f>
        <v>26303</v>
      </c>
      <c r="P16" s="27">
        <f t="shared" si="15"/>
        <v>20.100714747367221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2</v>
      </c>
      <c r="H17" s="21">
        <v>2</v>
      </c>
      <c r="I17" s="22">
        <v>12</v>
      </c>
      <c r="J17" s="10">
        <v>200</v>
      </c>
      <c r="K17" s="11">
        <v>25</v>
      </c>
      <c r="L17" s="23">
        <f t="shared" si="13"/>
        <v>12.5</v>
      </c>
      <c r="M17" s="24">
        <f t="shared" si="14"/>
        <v>8</v>
      </c>
      <c r="N17" s="25">
        <f>378926+79846+19515+14964+8765+3960+2220+272+2008+6448+472+200</f>
        <v>517596</v>
      </c>
      <c r="O17" s="26">
        <f>21844+4905+1778+1322+907+396+268+34+254+806+59+25</f>
        <v>32598</v>
      </c>
      <c r="P17" s="27">
        <f t="shared" si="15"/>
        <v>15.878152033867108</v>
      </c>
      <c r="Q17" s="2"/>
      <c r="R17" s="2"/>
      <c r="S17" s="2"/>
    </row>
    <row r="18" spans="2:19" s="8" customFormat="1" ht="22.5" customHeight="1" thickBot="1" x14ac:dyDescent="0.3">
      <c r="B18" s="41">
        <f t="shared" si="0"/>
        <v>13</v>
      </c>
      <c r="C18" s="42" t="s">
        <v>67</v>
      </c>
      <c r="D18" s="43">
        <v>43875</v>
      </c>
      <c r="E18" s="44" t="s">
        <v>15</v>
      </c>
      <c r="F18" s="44" t="s">
        <v>68</v>
      </c>
      <c r="G18" s="45">
        <v>1</v>
      </c>
      <c r="H18" s="45">
        <v>1</v>
      </c>
      <c r="I18" s="46">
        <v>4</v>
      </c>
      <c r="J18" s="47">
        <v>30</v>
      </c>
      <c r="K18" s="48">
        <v>2</v>
      </c>
      <c r="L18" s="49">
        <f t="shared" si="13"/>
        <v>2</v>
      </c>
      <c r="M18" s="50">
        <f t="shared" si="14"/>
        <v>15</v>
      </c>
      <c r="N18" s="51">
        <f>82437+7412+130+30</f>
        <v>90009</v>
      </c>
      <c r="O18" s="52">
        <f>4900+460+10+2</f>
        <v>5372</v>
      </c>
      <c r="P18" s="53">
        <f t="shared" si="15"/>
        <v>16.755212211466866</v>
      </c>
      <c r="Q18" s="2"/>
      <c r="R18" s="2"/>
      <c r="S18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123</v>
      </c>
      <c r="H6" s="32">
        <v>123</v>
      </c>
      <c r="I6" s="33">
        <v>18</v>
      </c>
      <c r="J6" s="34">
        <v>747644</v>
      </c>
      <c r="K6" s="35">
        <v>48685</v>
      </c>
      <c r="L6" s="36">
        <f>K6/H6</f>
        <v>395.8130081300813</v>
      </c>
      <c r="M6" s="37">
        <f>+J6/K6</f>
        <v>15.356762863304919</v>
      </c>
      <c r="N6" s="38">
        <f>27204+550044+312325+331653+234959.2+204582.5+144904+128591.5+68901.5+76727+73179.5+86760.8+102319.5+89592+64930.5+628549+1455046.5+981957+747644</f>
        <v>6309870.5</v>
      </c>
      <c r="O6" s="39">
        <f>1873+26223+14137+14500+11472+10085+6575+6015+3308+3477+3326+4437+4671+4097+2926+45580+108273+74395+48685</f>
        <v>394055</v>
      </c>
      <c r="P6" s="40">
        <f>N6/O6</f>
        <v>16.01266447577115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70</v>
      </c>
      <c r="D7" s="19">
        <v>43889</v>
      </c>
      <c r="E7" s="20" t="s">
        <v>15</v>
      </c>
      <c r="F7" s="20" t="s">
        <v>15</v>
      </c>
      <c r="G7" s="21">
        <v>55</v>
      </c>
      <c r="H7" s="21">
        <v>55</v>
      </c>
      <c r="I7" s="22">
        <v>1</v>
      </c>
      <c r="J7" s="10">
        <v>73600</v>
      </c>
      <c r="K7" s="11">
        <v>3691</v>
      </c>
      <c r="L7" s="23">
        <f>K7/H7</f>
        <v>67.109090909090909</v>
      </c>
      <c r="M7" s="24">
        <f>+J7/K7</f>
        <v>19.940395556759686</v>
      </c>
      <c r="N7" s="25">
        <f>798+73600</f>
        <v>74398</v>
      </c>
      <c r="O7" s="26">
        <f>42+3691</f>
        <v>3733</v>
      </c>
      <c r="P7" s="27">
        <f>N7/O7</f>
        <v>19.929815162068042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12</v>
      </c>
      <c r="H8" s="21">
        <v>12</v>
      </c>
      <c r="I8" s="22">
        <v>5</v>
      </c>
      <c r="J8" s="10">
        <v>12475</v>
      </c>
      <c r="K8" s="11">
        <v>1075</v>
      </c>
      <c r="L8" s="23">
        <f t="shared" ref="L8" si="1">K8/H8</f>
        <v>89.583333333333329</v>
      </c>
      <c r="M8" s="24">
        <f t="shared" ref="M8" si="2">+J8/K8</f>
        <v>11.604651162790697</v>
      </c>
      <c r="N8" s="25">
        <f>9454+241951+37013+20887.8+15951+12475</f>
        <v>337731.8</v>
      </c>
      <c r="O8" s="26">
        <f>556+13027+2254+1944+1245+1075</f>
        <v>20101</v>
      </c>
      <c r="P8" s="27">
        <f t="shared" ref="P8" si="3">N8/O8</f>
        <v>16.801741206905128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16</v>
      </c>
      <c r="H9" s="21">
        <v>16</v>
      </c>
      <c r="I9" s="64">
        <v>0</v>
      </c>
      <c r="J9" s="10">
        <v>8285</v>
      </c>
      <c r="K9" s="11">
        <v>602</v>
      </c>
      <c r="L9" s="23">
        <f t="shared" ref="L9" si="4">K9/H9</f>
        <v>37.625</v>
      </c>
      <c r="M9" s="24">
        <f t="shared" ref="M9" si="5">+J9/K9</f>
        <v>13.762458471760798</v>
      </c>
      <c r="N9" s="25">
        <f>5065+8285</f>
        <v>13350</v>
      </c>
      <c r="O9" s="26">
        <f>379+602</f>
        <v>981</v>
      </c>
      <c r="P9" s="27">
        <f t="shared" ref="P9" si="6">N9/O9</f>
        <v>13.608562691131498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43616</v>
      </c>
      <c r="E10" s="20" t="s">
        <v>15</v>
      </c>
      <c r="F10" s="20" t="s">
        <v>15</v>
      </c>
      <c r="G10" s="21">
        <v>1</v>
      </c>
      <c r="H10" s="21">
        <v>1</v>
      </c>
      <c r="I10" s="22">
        <v>22</v>
      </c>
      <c r="J10" s="10">
        <v>4752</v>
      </c>
      <c r="K10" s="11">
        <v>475</v>
      </c>
      <c r="L10" s="23">
        <f>K10/H10</f>
        <v>475</v>
      </c>
      <c r="M10" s="24">
        <f>+J10/K10</f>
        <v>10.00421052631579</v>
      </c>
      <c r="N10" s="25">
        <f>191549.39+52037.07+6685+1927+2630+1965+1236+1276+1161+1084+2970+260+64+1082+2970+1900.8+1900.8+3326.4+5702.4+2970+1782+4752</f>
        <v>291230.86000000004</v>
      </c>
      <c r="O10" s="26">
        <f>11758+3775+525+149+189+149+222+100+88+92+297+26+4+85+297+190+190+333+570+297+178+475</f>
        <v>19989</v>
      </c>
      <c r="P10" s="27">
        <f>N10/O10</f>
        <v>14.569556255940769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24</v>
      </c>
      <c r="D11" s="19">
        <v>43798</v>
      </c>
      <c r="E11" s="20" t="s">
        <v>15</v>
      </c>
      <c r="F11" s="20" t="s">
        <v>25</v>
      </c>
      <c r="G11" s="21">
        <v>1</v>
      </c>
      <c r="H11" s="21">
        <v>1</v>
      </c>
      <c r="I11" s="22">
        <v>11</v>
      </c>
      <c r="J11" s="10">
        <v>4752</v>
      </c>
      <c r="K11" s="11">
        <v>475</v>
      </c>
      <c r="L11" s="23">
        <f>K11/H11</f>
        <v>475</v>
      </c>
      <c r="M11" s="24">
        <f>+J11/K11</f>
        <v>10.00421052631579</v>
      </c>
      <c r="N11" s="25">
        <f>35291.5+48192+38988+17228+262+15638+12162+3564+2306+3564+4752</f>
        <v>181947.5</v>
      </c>
      <c r="O11" s="26">
        <f>2413+3488+2602+1575+14+1533+1204+356+144+356+475</f>
        <v>14160</v>
      </c>
      <c r="P11" s="27">
        <f>N11/O11</f>
        <v>12.849399717514125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79</v>
      </c>
      <c r="D12" s="19">
        <v>42769</v>
      </c>
      <c r="E12" s="20" t="s">
        <v>15</v>
      </c>
      <c r="F12" s="20" t="s">
        <v>16</v>
      </c>
      <c r="G12" s="21">
        <v>1</v>
      </c>
      <c r="H12" s="21">
        <v>1</v>
      </c>
      <c r="I12" s="22">
        <v>17</v>
      </c>
      <c r="J12" s="10">
        <v>4240</v>
      </c>
      <c r="K12" s="11">
        <v>220</v>
      </c>
      <c r="L12" s="23">
        <f>K12/H12</f>
        <v>220</v>
      </c>
      <c r="M12" s="24">
        <f>+J12/K12</f>
        <v>19.272727272727273</v>
      </c>
      <c r="N12" s="25">
        <f>257368.92+170584.28+60590.22+51924.44+52099.69+37257.14+2254+594+2376+2376+1334+2376+3406+2376+2376+1663.2+4240</f>
        <v>655195.89</v>
      </c>
      <c r="O12" s="26">
        <f>17433+10994+4313+2817+3665+2503+464+119+475+475+117+475+565+475+475+333+220</f>
        <v>45918</v>
      </c>
      <c r="P12" s="27">
        <f>N12/O12</f>
        <v>14.268824643930484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36</v>
      </c>
      <c r="J13" s="10">
        <v>2970</v>
      </c>
      <c r="K13" s="11">
        <v>297</v>
      </c>
      <c r="L13" s="23">
        <f>K13/H13</f>
        <v>297</v>
      </c>
      <c r="M13" s="24">
        <f>+J13/K13</f>
        <v>10</v>
      </c>
      <c r="N13" s="25">
        <f>253247.5+149295.58+15859.32+4584.5+2411.5+3720+12495.5+4450.35+2776+2759+1350+4138+1092+3269.8+3671+217+329+917+707+3424.8+539+154+190+1900.8+322+960+1670+2248+1110+4170+3389.6+1440+1188+4989.6+3564+2970</f>
        <v>501519.84999999986</v>
      </c>
      <c r="O13" s="26">
        <f>19143+12254+1684+564+362+430+2365+827+266+245+112+440+166+446+543+31+49+133+101+358+85+23+19+190+49+96+167+308+111+417+339+144+119+499+356+297</f>
        <v>43738</v>
      </c>
      <c r="P13" s="27">
        <f>N13/O13</f>
        <v>11.466455942201286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80</v>
      </c>
      <c r="D14" s="19">
        <v>42755</v>
      </c>
      <c r="E14" s="20" t="s">
        <v>15</v>
      </c>
      <c r="F14" s="20" t="s">
        <v>16</v>
      </c>
      <c r="G14" s="21">
        <v>1</v>
      </c>
      <c r="H14" s="21">
        <v>1</v>
      </c>
      <c r="I14" s="22">
        <v>12</v>
      </c>
      <c r="J14" s="10">
        <v>2970</v>
      </c>
      <c r="K14" s="11">
        <v>297</v>
      </c>
      <c r="L14" s="23">
        <f>K14/H14</f>
        <v>297</v>
      </c>
      <c r="M14" s="24">
        <f>+J14/K14</f>
        <v>10</v>
      </c>
      <c r="N14" s="25">
        <f>236472.84+147844.28+52384.53+23951.38+11883.43+3951+1663.2+2376+744+2376+1288+2970</f>
        <v>487904.66000000003</v>
      </c>
      <c r="O14" s="26">
        <f>14262+8635+2978+1276+835+245+333+475+62+475+84+297</f>
        <v>29957</v>
      </c>
      <c r="P14" s="27">
        <f>N14/O14</f>
        <v>16.286833127482726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78</v>
      </c>
      <c r="D15" s="19">
        <v>43028</v>
      </c>
      <c r="E15" s="20" t="s">
        <v>15</v>
      </c>
      <c r="F15" s="20" t="s">
        <v>16</v>
      </c>
      <c r="G15" s="21">
        <v>1</v>
      </c>
      <c r="H15" s="21">
        <v>1</v>
      </c>
      <c r="I15" s="22">
        <v>14</v>
      </c>
      <c r="J15" s="10">
        <v>2770</v>
      </c>
      <c r="K15" s="11">
        <v>145</v>
      </c>
      <c r="L15" s="23">
        <f t="shared" ref="L15" si="7">K15/H15</f>
        <v>145</v>
      </c>
      <c r="M15" s="24">
        <f t="shared" ref="M15" si="8">+J15/K15</f>
        <v>19.103448275862068</v>
      </c>
      <c r="N15" s="25">
        <f>59620.34+33313.5+11055+1432+1320+831.6+1782+1000+2970+831.6+8910.01+1900.81+2970+2770</f>
        <v>130706.86</v>
      </c>
      <c r="O15" s="26">
        <f>3762+2238+1129+112+123+166+356+100+594+166+1782+380+594+145</f>
        <v>11647</v>
      </c>
      <c r="P15" s="27">
        <f t="shared" ref="P15" si="9">N15/O15</f>
        <v>11.222362840216364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44</v>
      </c>
      <c r="D16" s="19">
        <v>43770</v>
      </c>
      <c r="E16" s="20" t="s">
        <v>15</v>
      </c>
      <c r="F16" s="20" t="s">
        <v>16</v>
      </c>
      <c r="G16" s="21">
        <v>1</v>
      </c>
      <c r="H16" s="21">
        <v>1</v>
      </c>
      <c r="I16" s="22">
        <v>7</v>
      </c>
      <c r="J16" s="10">
        <v>542</v>
      </c>
      <c r="K16" s="11">
        <v>51</v>
      </c>
      <c r="L16" s="23">
        <f t="shared" ref="L16" si="10">K16/H16</f>
        <v>51</v>
      </c>
      <c r="M16" s="24">
        <f t="shared" ref="M16" si="11">+J16/K16</f>
        <v>10.627450980392156</v>
      </c>
      <c r="N16" s="25">
        <f>609662.5+131067+15933+4836+875+910+542</f>
        <v>763825.5</v>
      </c>
      <c r="O16" s="26">
        <f>34810+8470+1105+335+81+87+51</f>
        <v>44939</v>
      </c>
      <c r="P16" s="27">
        <f t="shared" ref="P16" si="12">N16/O16</f>
        <v>16.996940296846837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3</v>
      </c>
      <c r="H17" s="21">
        <v>3</v>
      </c>
      <c r="I17" s="22">
        <v>11</v>
      </c>
      <c r="J17" s="10">
        <v>472</v>
      </c>
      <c r="K17" s="11">
        <v>59</v>
      </c>
      <c r="L17" s="23">
        <f>K17/H17</f>
        <v>19.666666666666668</v>
      </c>
      <c r="M17" s="24">
        <f>+J17/K17</f>
        <v>8</v>
      </c>
      <c r="N17" s="25">
        <f>378926+79846+19515+14964+8765+3960+2220+272+2008+6448+472</f>
        <v>517396</v>
      </c>
      <c r="O17" s="26">
        <f>21844+4905+1778+1322+907+396+268+34+254+806+59</f>
        <v>32573</v>
      </c>
      <c r="P17" s="27">
        <f>N17/O17</f>
        <v>15.884198569367268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34</v>
      </c>
      <c r="D18" s="19">
        <v>43749</v>
      </c>
      <c r="E18" s="20" t="s">
        <v>15</v>
      </c>
      <c r="F18" s="20" t="s">
        <v>15</v>
      </c>
      <c r="G18" s="21">
        <v>1</v>
      </c>
      <c r="H18" s="21">
        <v>1</v>
      </c>
      <c r="I18" s="22">
        <v>15</v>
      </c>
      <c r="J18" s="10">
        <v>300</v>
      </c>
      <c r="K18" s="11">
        <v>20</v>
      </c>
      <c r="L18" s="23">
        <f>K18/H18</f>
        <v>20</v>
      </c>
      <c r="M18" s="24">
        <f>+J18/K18</f>
        <v>15</v>
      </c>
      <c r="N18" s="25">
        <f>196923+135978.5+95605.5+44166.7+22738+10355+3032+3658+836+2613.6+1900.8+7716+2376+300+300</f>
        <v>528499.1</v>
      </c>
      <c r="O18" s="26">
        <f>9042+6709+4673+2472+1161+572+223+278+55+261+190+375+238+20+20</f>
        <v>26289</v>
      </c>
      <c r="P18" s="27">
        <f>N18/O18</f>
        <v>20.103431092852524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28</v>
      </c>
      <c r="D19" s="19">
        <v>43833</v>
      </c>
      <c r="E19" s="20" t="s">
        <v>15</v>
      </c>
      <c r="F19" s="20" t="s">
        <v>15</v>
      </c>
      <c r="G19" s="21">
        <v>1</v>
      </c>
      <c r="H19" s="21">
        <v>1</v>
      </c>
      <c r="I19" s="22">
        <v>9</v>
      </c>
      <c r="J19" s="10">
        <v>165</v>
      </c>
      <c r="K19" s="11">
        <v>11</v>
      </c>
      <c r="L19" s="23">
        <f>K19/H19</f>
        <v>11</v>
      </c>
      <c r="M19" s="24">
        <f>+J19/K19</f>
        <v>15</v>
      </c>
      <c r="N19" s="25">
        <f>2396+241386.5+98796.5+39896+13025+3620+9820+13166.5+27977+165</f>
        <v>450248.5</v>
      </c>
      <c r="O19" s="26">
        <f>125+9946+4192+2079+536+139+417+654+2168+11</f>
        <v>20267</v>
      </c>
      <c r="P19" s="27">
        <f>N19/O19</f>
        <v>22.215843489416294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3</v>
      </c>
      <c r="H20" s="45">
        <v>3</v>
      </c>
      <c r="I20" s="46">
        <v>3</v>
      </c>
      <c r="J20" s="47">
        <v>130</v>
      </c>
      <c r="K20" s="48">
        <v>10</v>
      </c>
      <c r="L20" s="49">
        <f>K20/H20</f>
        <v>3.3333333333333335</v>
      </c>
      <c r="M20" s="50">
        <f>+J20/K20</f>
        <v>13</v>
      </c>
      <c r="N20" s="51">
        <f>82437+7412+130</f>
        <v>89979</v>
      </c>
      <c r="O20" s="52">
        <f>4900+460+10</f>
        <v>5370</v>
      </c>
      <c r="P20" s="53">
        <f>N20/O20</f>
        <v>16.755865921787709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130</v>
      </c>
      <c r="H6" s="32">
        <v>130</v>
      </c>
      <c r="I6" s="33">
        <v>17</v>
      </c>
      <c r="J6" s="34">
        <v>981957</v>
      </c>
      <c r="K6" s="35">
        <v>74395</v>
      </c>
      <c r="L6" s="36">
        <f>K6/H6</f>
        <v>572.26923076923072</v>
      </c>
      <c r="M6" s="37">
        <f>+J6/K6</f>
        <v>13.199233819477115</v>
      </c>
      <c r="N6" s="38">
        <f>27204+550044+312325+331653+234959.2+204582.5+144904+128591.5+68901.5+76727+73179.5+86760.8+102319.5+89592+64930.5+628549+1455046.5+981957</f>
        <v>5562226.5</v>
      </c>
      <c r="O6" s="39">
        <f>1873+26223+14137+14500+11472+10085+6575+6015+3308+3477+3326+4437+4671+4097+2926+45580+108273+74395</f>
        <v>345370</v>
      </c>
      <c r="P6" s="40">
        <f>N6/O6</f>
        <v>16.105123490749051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51</v>
      </c>
      <c r="H7" s="21">
        <v>51</v>
      </c>
      <c r="I7" s="22">
        <v>8</v>
      </c>
      <c r="J7" s="10">
        <v>27977</v>
      </c>
      <c r="K7" s="11">
        <v>2168</v>
      </c>
      <c r="L7" s="23">
        <f>K7/H7</f>
        <v>42.509803921568626</v>
      </c>
      <c r="M7" s="24">
        <f>+J7/K7</f>
        <v>12.904520295202952</v>
      </c>
      <c r="N7" s="25">
        <f>2396+241386.5+98796.5+39896+13025+3620+9820+13166.5+27977</f>
        <v>450083.5</v>
      </c>
      <c r="O7" s="26">
        <f>125+9946+4192+2079+536+139+417+654+2168</f>
        <v>20256</v>
      </c>
      <c r="P7" s="27">
        <f>N7/O7</f>
        <v>22.219762045813585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4</v>
      </c>
      <c r="J8" s="10">
        <v>15951</v>
      </c>
      <c r="K8" s="11">
        <v>1245</v>
      </c>
      <c r="L8" s="23">
        <f t="shared" ref="L8" si="1">K8/H8</f>
        <v>83</v>
      </c>
      <c r="M8" s="24">
        <f t="shared" ref="M8" si="2">+J8/K8</f>
        <v>12.812048192771085</v>
      </c>
      <c r="N8" s="25">
        <f>9454+241951+37013+20887.8+15951</f>
        <v>325256.8</v>
      </c>
      <c r="O8" s="26">
        <f>556+13027+2254+1944+1245</f>
        <v>19026</v>
      </c>
      <c r="P8" s="27">
        <f t="shared" ref="P8" si="3">N8/O8</f>
        <v>17.095385262272679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75</v>
      </c>
      <c r="D9" s="19">
        <v>43882</v>
      </c>
      <c r="E9" s="20" t="s">
        <v>15</v>
      </c>
      <c r="F9" s="20" t="s">
        <v>15</v>
      </c>
      <c r="G9" s="21">
        <v>8</v>
      </c>
      <c r="H9" s="21">
        <v>8</v>
      </c>
      <c r="I9" s="22">
        <v>1</v>
      </c>
      <c r="J9" s="10">
        <v>12428</v>
      </c>
      <c r="K9" s="11">
        <v>789</v>
      </c>
      <c r="L9" s="23">
        <f>K9/H9</f>
        <v>98.625</v>
      </c>
      <c r="M9" s="24">
        <f>+J9/K9</f>
        <v>15.751584283903675</v>
      </c>
      <c r="N9" s="25">
        <f>12428</f>
        <v>12428</v>
      </c>
      <c r="O9" s="26">
        <f>789</f>
        <v>789</v>
      </c>
      <c r="P9" s="27">
        <f>N9/O9</f>
        <v>15.751584283903675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67</v>
      </c>
      <c r="D10" s="19">
        <v>43875</v>
      </c>
      <c r="E10" s="20" t="s">
        <v>15</v>
      </c>
      <c r="F10" s="20" t="s">
        <v>68</v>
      </c>
      <c r="G10" s="21">
        <v>13</v>
      </c>
      <c r="H10" s="21">
        <v>13</v>
      </c>
      <c r="I10" s="22">
        <v>2</v>
      </c>
      <c r="J10" s="10">
        <v>7412</v>
      </c>
      <c r="K10" s="11">
        <v>460</v>
      </c>
      <c r="L10" s="23">
        <f>K10/H10</f>
        <v>35.384615384615387</v>
      </c>
      <c r="M10" s="24">
        <f>+J10/K10</f>
        <v>16.11304347826087</v>
      </c>
      <c r="N10" s="25">
        <f>82437+7412</f>
        <v>89849</v>
      </c>
      <c r="O10" s="26">
        <f>4900+460</f>
        <v>5360</v>
      </c>
      <c r="P10" s="27">
        <f>N10/O10</f>
        <v>16.762873134328359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6</v>
      </c>
      <c r="H11" s="21">
        <v>6</v>
      </c>
      <c r="I11" s="22">
        <v>10</v>
      </c>
      <c r="J11" s="10">
        <v>6448</v>
      </c>
      <c r="K11" s="11">
        <v>806</v>
      </c>
      <c r="L11" s="23">
        <f>K11/H11</f>
        <v>134.33333333333334</v>
      </c>
      <c r="M11" s="24">
        <f>+J11/K11</f>
        <v>8</v>
      </c>
      <c r="N11" s="25">
        <f>378926+79846+19515+14964+8765+3960+2220+272+2008+6448</f>
        <v>516924</v>
      </c>
      <c r="O11" s="26">
        <f>21844+4905+1778+1322+907+396+268+34+254+806</f>
        <v>32514</v>
      </c>
      <c r="P11" s="27">
        <f>N11/O11</f>
        <v>15.898505259272929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24</v>
      </c>
      <c r="D12" s="19">
        <v>43798</v>
      </c>
      <c r="E12" s="20" t="s">
        <v>15</v>
      </c>
      <c r="F12" s="20" t="s">
        <v>25</v>
      </c>
      <c r="G12" s="21">
        <v>1</v>
      </c>
      <c r="H12" s="21">
        <v>1</v>
      </c>
      <c r="I12" s="22">
        <v>10</v>
      </c>
      <c r="J12" s="10">
        <v>3564</v>
      </c>
      <c r="K12" s="11">
        <v>356</v>
      </c>
      <c r="L12" s="23">
        <f>K12/H12</f>
        <v>356</v>
      </c>
      <c r="M12" s="24">
        <f>+J12/K12</f>
        <v>10.011235955056179</v>
      </c>
      <c r="N12" s="25">
        <f>35291.5+48192+38988+17228+262+15638+12162+3564+2306+3564</f>
        <v>177195.5</v>
      </c>
      <c r="O12" s="26">
        <f>2413+3488+2602+1575+14+1533+1204+356+144+356</f>
        <v>13685</v>
      </c>
      <c r="P12" s="27">
        <f>N12/O12</f>
        <v>12.948154914139568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3</v>
      </c>
      <c r="H13" s="21">
        <v>3</v>
      </c>
      <c r="I13" s="22">
        <v>5</v>
      </c>
      <c r="J13" s="10">
        <v>3409.2</v>
      </c>
      <c r="K13" s="11">
        <v>353</v>
      </c>
      <c r="L13" s="23">
        <f>K13/H13</f>
        <v>117.66666666666667</v>
      </c>
      <c r="M13" s="24">
        <f>+J13/K13</f>
        <v>9.6577903682719537</v>
      </c>
      <c r="N13" s="25">
        <f>5439+1652+94419+26989+8240+1167+3409.2</f>
        <v>141315.20000000001</v>
      </c>
      <c r="O13" s="26">
        <f>337+106+4328+1517+645+137+353</f>
        <v>7423</v>
      </c>
      <c r="P13" s="27">
        <f>N13/O13</f>
        <v>19.037478108581439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19</v>
      </c>
      <c r="D14" s="19">
        <v>43483</v>
      </c>
      <c r="E14" s="20" t="s">
        <v>15</v>
      </c>
      <c r="F14" s="20" t="s">
        <v>15</v>
      </c>
      <c r="G14" s="21">
        <v>1</v>
      </c>
      <c r="H14" s="21">
        <v>1</v>
      </c>
      <c r="I14" s="22">
        <v>27</v>
      </c>
      <c r="J14" s="10">
        <v>2138.4</v>
      </c>
      <c r="K14" s="11">
        <v>214</v>
      </c>
      <c r="L14" s="23">
        <f t="shared" ref="L14" si="4">K14/H14</f>
        <v>214</v>
      </c>
      <c r="M14" s="24">
        <f t="shared" ref="M14" si="5">+J14/K14</f>
        <v>9.9925233644859812</v>
      </c>
      <c r="N14" s="25">
        <f>527858+247239.4+60544.33+22935.5+9543+2112+182+5741.35+198+6446.8+1900.8+8316+430+1188+1260+2970+2970+2019.6+4468.8+1782+4202+5464.8+272+5702.4+1782+2138.4+2138.4</f>
        <v>931805.58000000019</v>
      </c>
      <c r="O14" s="26">
        <f>42309+20316+4739+1857+1470+254+18+778+33+974+190+913+139+119+105+297+297+202+452+178+451+546+34+570+178+214+214</f>
        <v>77847</v>
      </c>
      <c r="P14" s="27">
        <f t="shared" ref="P14" si="6">N14/O14</f>
        <v>11.969704420208874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33</v>
      </c>
      <c r="D15" s="19">
        <v>43553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1782</v>
      </c>
      <c r="K15" s="11">
        <v>178</v>
      </c>
      <c r="L15" s="23">
        <f>K15/H15</f>
        <v>178</v>
      </c>
      <c r="M15" s="24">
        <f>+J15/K15</f>
        <v>10.011235955056179</v>
      </c>
      <c r="N15" s="25">
        <f>242051.53+84771.14+16642.4+11940+9318+39740+646+120+110+294+1188+624+2970+950.4+2245.6+816+3761+156+2970+872+2376+1900.8+4870.8+1008+2772+2376+2376+1782</f>
        <v>441647.67</v>
      </c>
      <c r="O15" s="26">
        <f>16251+6356+2005+1652+1427+6553+85+12+11+44+228+52+297+95+224+63+373+11+297+109+238+190+487+126+271+238+238+178</f>
        <v>38111</v>
      </c>
      <c r="P15" s="27">
        <f>N15/O15</f>
        <v>11.588456613576133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73</v>
      </c>
      <c r="D16" s="19">
        <v>43133</v>
      </c>
      <c r="E16" s="20" t="s">
        <v>15</v>
      </c>
      <c r="F16" s="20" t="s">
        <v>16</v>
      </c>
      <c r="G16" s="21">
        <v>1</v>
      </c>
      <c r="H16" s="21">
        <v>1</v>
      </c>
      <c r="I16" s="22">
        <v>21</v>
      </c>
      <c r="J16" s="10">
        <v>950.4</v>
      </c>
      <c r="K16" s="11">
        <v>95</v>
      </c>
      <c r="L16" s="23">
        <f>K16/H16</f>
        <v>95</v>
      </c>
      <c r="M16" s="24">
        <f>+J16/K16</f>
        <v>10.00421052631579</v>
      </c>
      <c r="N16" s="25">
        <f>8592+255253.93+139813.33+68226.62+28609.9+11144+7589+3219+7008.4+3528+1200+920+1726+410+11705.88+2970+5464.81+1256+7365.63+574+10216.82+950.4</f>
        <v>577743.72000000009</v>
      </c>
      <c r="O16" s="26">
        <f>630+17559+9209+4455+2769+951+576+272+881+276+99+79+140+35+1606+594+1093+113+1473+46+2043+95</f>
        <v>44994</v>
      </c>
      <c r="P16" s="27">
        <f>N16/O16</f>
        <v>12.84046139485265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44</v>
      </c>
      <c r="D17" s="19">
        <v>43770</v>
      </c>
      <c r="E17" s="20" t="s">
        <v>15</v>
      </c>
      <c r="F17" s="20" t="s">
        <v>16</v>
      </c>
      <c r="G17" s="21">
        <v>3</v>
      </c>
      <c r="H17" s="21">
        <v>3</v>
      </c>
      <c r="I17" s="22">
        <v>6</v>
      </c>
      <c r="J17" s="10">
        <v>910</v>
      </c>
      <c r="K17" s="11">
        <v>87</v>
      </c>
      <c r="L17" s="23">
        <f t="shared" ref="L17" si="7">K17/H17</f>
        <v>29</v>
      </c>
      <c r="M17" s="24">
        <f t="shared" ref="M17" si="8">+J17/K17</f>
        <v>10.459770114942529</v>
      </c>
      <c r="N17" s="25">
        <f>609662.5+131067+15933+4836+875+910</f>
        <v>763283.5</v>
      </c>
      <c r="O17" s="26">
        <f>34810+8470+1105+335+81+87</f>
        <v>44888</v>
      </c>
      <c r="P17" s="27">
        <f t="shared" ref="P17" si="9">N17/O17</f>
        <v>17.004177062912138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33</v>
      </c>
      <c r="J18" s="10">
        <v>712.8</v>
      </c>
      <c r="K18" s="11">
        <v>71</v>
      </c>
      <c r="L18" s="23">
        <f>K18/H18</f>
        <v>71</v>
      </c>
      <c r="M18" s="24">
        <f>+J18/K18</f>
        <v>10.039436619718309</v>
      </c>
      <c r="N18" s="25">
        <f>756124.27+309986.75+62187.82+5738+2459+1782+5295.01+1558.6+288+675+1528+700+450+989.25+1782+1782.01+1782+5464.8+1782+1425.6+3020.35+1782+375+432+3207.6+2970+3088.8+1900.8+2376+1425.6+1782+1782+712.8</f>
        <v>1188635.0600000008</v>
      </c>
      <c r="O18" s="26">
        <f>59281+25601+5279+535+460+356+992+294+36+163+323+140+45+182+356+356+356+1093+356+285+604+356+75+72+641+594+618+190+238+143+178+178+71</f>
        <v>100447</v>
      </c>
      <c r="P18" s="27">
        <f>N18/O18</f>
        <v>11.833455055900133</v>
      </c>
      <c r="Q18" s="2"/>
      <c r="R18" s="2"/>
      <c r="S18" s="2"/>
    </row>
    <row r="19" spans="1:19" s="8" customFormat="1" ht="22.5" customHeight="1" x14ac:dyDescent="0.25">
      <c r="B19" s="9">
        <f t="shared" si="0"/>
        <v>14</v>
      </c>
      <c r="C19" s="18" t="s">
        <v>34</v>
      </c>
      <c r="D19" s="19">
        <v>43749</v>
      </c>
      <c r="E19" s="20" t="s">
        <v>15</v>
      </c>
      <c r="F19" s="20" t="s">
        <v>15</v>
      </c>
      <c r="G19" s="21">
        <v>1</v>
      </c>
      <c r="H19" s="21">
        <v>1</v>
      </c>
      <c r="I19" s="22">
        <v>14</v>
      </c>
      <c r="J19" s="10">
        <v>300</v>
      </c>
      <c r="K19" s="11">
        <v>20</v>
      </c>
      <c r="L19" s="23">
        <f>K19/H19</f>
        <v>20</v>
      </c>
      <c r="M19" s="24">
        <f>+J19/K19</f>
        <v>15</v>
      </c>
      <c r="N19" s="25">
        <f>196923+135978.5+95605.5+44166.7+22738+10355+3032+3658+836+2613.6+1900.8+7716+2376+300</f>
        <v>528199.1</v>
      </c>
      <c r="O19" s="26">
        <f>9042+6709+4673+2472+1161+572+223+278+55+261+190+375+238+20</f>
        <v>26269</v>
      </c>
      <c r="P19" s="27">
        <f>N19/O19</f>
        <v>20.107316608930677</v>
      </c>
      <c r="Q19" s="2"/>
      <c r="R19" s="2"/>
      <c r="S19" s="2"/>
    </row>
    <row r="20" spans="1:19" s="8" customFormat="1" ht="22.5" customHeight="1" thickBot="1" x14ac:dyDescent="0.3">
      <c r="B20" s="41">
        <f t="shared" si="0"/>
        <v>15</v>
      </c>
      <c r="C20" s="42" t="s">
        <v>52</v>
      </c>
      <c r="D20" s="43">
        <v>43854</v>
      </c>
      <c r="E20" s="44" t="s">
        <v>15</v>
      </c>
      <c r="F20" s="44" t="s">
        <v>15</v>
      </c>
      <c r="G20" s="45">
        <v>1</v>
      </c>
      <c r="H20" s="45">
        <v>1</v>
      </c>
      <c r="I20" s="46">
        <v>5</v>
      </c>
      <c r="J20" s="47">
        <v>234</v>
      </c>
      <c r="K20" s="48">
        <v>14</v>
      </c>
      <c r="L20" s="49">
        <f>K20/H20</f>
        <v>14</v>
      </c>
      <c r="M20" s="50">
        <f>+J20/K20</f>
        <v>16.714285714285715</v>
      </c>
      <c r="N20" s="51">
        <f>42933.5+11236+9203+3099+234</f>
        <v>66705.5</v>
      </c>
      <c r="O20" s="52">
        <f>2608+685+538+176+14</f>
        <v>4021</v>
      </c>
      <c r="P20" s="53">
        <f>N20/O20</f>
        <v>16.589281273315095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66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9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146</v>
      </c>
      <c r="H6" s="32">
        <v>146</v>
      </c>
      <c r="I6" s="33">
        <v>16</v>
      </c>
      <c r="J6" s="34">
        <v>1455046.5</v>
      </c>
      <c r="K6" s="35">
        <v>108273</v>
      </c>
      <c r="L6" s="36">
        <f>K6/H6</f>
        <v>741.59589041095887</v>
      </c>
      <c r="M6" s="37">
        <f>+J6/K6</f>
        <v>13.438682774098806</v>
      </c>
      <c r="N6" s="38">
        <f>27204+550044+312325+331653+234959.2+204582.5+144904+128591.5+68901.5+76727+73179.5+86760.8+102319.5+89592+64930.5+628549+1455046.5</f>
        <v>4580269.5</v>
      </c>
      <c r="O6" s="39">
        <f>1873+26223+14137+14500+11472+10085+6575+6015+3308+3477+3326+4437+4671+4097+2926+45580+108273</f>
        <v>270975</v>
      </c>
      <c r="P6" s="40">
        <f>N6/O6</f>
        <v>16.902922778854137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67</v>
      </c>
      <c r="D7" s="19">
        <v>43875</v>
      </c>
      <c r="E7" s="20" t="s">
        <v>15</v>
      </c>
      <c r="F7" s="20" t="s">
        <v>68</v>
      </c>
      <c r="G7" s="21">
        <v>130</v>
      </c>
      <c r="H7" s="21">
        <v>130</v>
      </c>
      <c r="I7" s="22">
        <v>1</v>
      </c>
      <c r="J7" s="10">
        <v>82437</v>
      </c>
      <c r="K7" s="11">
        <v>4900</v>
      </c>
      <c r="L7" s="23">
        <f t="shared" ref="L7" si="1">K7/H7</f>
        <v>37.692307692307693</v>
      </c>
      <c r="M7" s="24">
        <f t="shared" ref="M7" si="2">+J7/K7</f>
        <v>16.823877551020409</v>
      </c>
      <c r="N7" s="25">
        <f>82437</f>
        <v>82437</v>
      </c>
      <c r="O7" s="26">
        <f>4900</f>
        <v>4900</v>
      </c>
      <c r="P7" s="27">
        <f t="shared" ref="P7" si="3">N7/O7</f>
        <v>16.823877551020409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3</v>
      </c>
      <c r="J8" s="10">
        <v>20887.8</v>
      </c>
      <c r="K8" s="11">
        <v>1944</v>
      </c>
      <c r="L8" s="23">
        <f t="shared" ref="L8" si="4">K8/H8</f>
        <v>129.6</v>
      </c>
      <c r="M8" s="24">
        <f t="shared" ref="M8" si="5">+J8/K8</f>
        <v>10.744753086419752</v>
      </c>
      <c r="N8" s="25">
        <f>9454+241951+37013+20887.8</f>
        <v>309305.8</v>
      </c>
      <c r="O8" s="26">
        <f>556+13027+2254+1944</f>
        <v>17781</v>
      </c>
      <c r="P8" s="27">
        <f t="shared" ref="P8" si="6">N8/O8</f>
        <v>17.395298352173668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43833</v>
      </c>
      <c r="E9" s="20" t="s">
        <v>15</v>
      </c>
      <c r="F9" s="20" t="s">
        <v>15</v>
      </c>
      <c r="G9" s="21">
        <v>16</v>
      </c>
      <c r="H9" s="21">
        <v>16</v>
      </c>
      <c r="I9" s="22">
        <v>7</v>
      </c>
      <c r="J9" s="10">
        <v>13166.5</v>
      </c>
      <c r="K9" s="11">
        <v>654</v>
      </c>
      <c r="L9" s="23">
        <f>K9/H9</f>
        <v>40.875</v>
      </c>
      <c r="M9" s="24">
        <f>+J9/K9</f>
        <v>20.132262996941897</v>
      </c>
      <c r="N9" s="25">
        <f>2396+241386.5+98796.5+39896+13025+3620+9820+13166.5</f>
        <v>422106.5</v>
      </c>
      <c r="O9" s="26">
        <f>125+9946+4192+2079+536+139+417+654</f>
        <v>18088</v>
      </c>
      <c r="P9" s="27">
        <f>N9/O9</f>
        <v>23.33627266696152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69</v>
      </c>
      <c r="D10" s="19">
        <v>43896</v>
      </c>
      <c r="E10" s="20" t="s">
        <v>15</v>
      </c>
      <c r="F10" s="20" t="s">
        <v>15</v>
      </c>
      <c r="G10" s="21">
        <v>8</v>
      </c>
      <c r="H10" s="21">
        <v>8</v>
      </c>
      <c r="I10" s="22">
        <v>0</v>
      </c>
      <c r="J10" s="10">
        <v>5065</v>
      </c>
      <c r="K10" s="11">
        <v>379</v>
      </c>
      <c r="L10" s="23">
        <f t="shared" ref="L10" si="7">K10/H10</f>
        <v>47.375</v>
      </c>
      <c r="M10" s="24">
        <f t="shared" ref="M10" si="8">+J10/K10</f>
        <v>13.364116094986807</v>
      </c>
      <c r="N10" s="25">
        <f>5065</f>
        <v>5065</v>
      </c>
      <c r="O10" s="26">
        <f>379</f>
        <v>379</v>
      </c>
      <c r="P10" s="27">
        <f t="shared" ref="P10" si="9">N10/O10</f>
        <v>13.364116094986807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4</v>
      </c>
      <c r="J11" s="10">
        <v>3099</v>
      </c>
      <c r="K11" s="11">
        <v>176</v>
      </c>
      <c r="L11" s="23">
        <f>K11/H11</f>
        <v>176</v>
      </c>
      <c r="M11" s="24">
        <f>+J11/K11</f>
        <v>17.607954545454547</v>
      </c>
      <c r="N11" s="25">
        <f>42933.5+11236+9203+3099</f>
        <v>66471.5</v>
      </c>
      <c r="O11" s="26">
        <f>2608+685+538+176</f>
        <v>4007</v>
      </c>
      <c r="P11" s="27">
        <f>N11/O11</f>
        <v>16.588844522086347</v>
      </c>
      <c r="Q11" s="2"/>
      <c r="R11" s="2"/>
      <c r="S11" s="2"/>
    </row>
    <row r="12" spans="1:19" s="8" customFormat="1" ht="22.5" customHeight="1" x14ac:dyDescent="0.25">
      <c r="A12" s="1"/>
      <c r="B12" s="9">
        <f t="shared" si="0"/>
        <v>7</v>
      </c>
      <c r="C12" s="18" t="s">
        <v>48</v>
      </c>
      <c r="D12" s="19">
        <v>43273</v>
      </c>
      <c r="E12" s="20" t="s">
        <v>15</v>
      </c>
      <c r="F12" s="20" t="s">
        <v>15</v>
      </c>
      <c r="G12" s="21">
        <v>1</v>
      </c>
      <c r="H12" s="21">
        <v>1</v>
      </c>
      <c r="I12" s="22">
        <v>36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532776.22+317104.78+119969.82+10804.6+3846+42.5+8.5+196+729+645+176+1990.01+3020.35+1782+2494.8+2376+1782+1188+2032+1203+4395.6+3174.3+3020.35+830+2376+1188+350+1900.8+1900.8+1900.8+2019.6+2970+1900.8+3564+1782+2970</f>
        <v>1040409.6300000002</v>
      </c>
      <c r="O12" s="26">
        <f>43302+26433+10224+1132+481+5+1+28+93+63+22+408+604+356+499+475+356+238+406+154+879+627+604+166+238+119+50+190+190+190+202+297+190+356+178+297</f>
        <v>90053</v>
      </c>
      <c r="P12" s="27">
        <f>N12/O12</f>
        <v>11.553303388004844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21</v>
      </c>
      <c r="J13" s="10">
        <v>2376</v>
      </c>
      <c r="K13" s="11">
        <v>238</v>
      </c>
      <c r="L13" s="23">
        <f>K13/H13</f>
        <v>238</v>
      </c>
      <c r="M13" s="24">
        <f>+J13/K13</f>
        <v>9.9831932773109244</v>
      </c>
      <c r="N13" s="25">
        <f>528+327252+32278+11310+11072+6736+7179.6+7500.5+2520+7656+6544+9085+10856+235+1425.6+6058.8+4752+4158+10692+4158+3564+2376</f>
        <v>477936.49999999994</v>
      </c>
      <c r="O13" s="26">
        <f>44+19588+2088+742+697+433+644+622+252+762+659+915+1186+23+143+606+475+416+1069+416+356+238</f>
        <v>32374</v>
      </c>
      <c r="P13" s="27">
        <f>N13/O13</f>
        <v>14.762973373694939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60</v>
      </c>
      <c r="D14" s="19">
        <v>43602</v>
      </c>
      <c r="E14" s="20" t="s">
        <v>15</v>
      </c>
      <c r="F14" s="20" t="s">
        <v>15</v>
      </c>
      <c r="G14" s="21">
        <v>1</v>
      </c>
      <c r="H14" s="21">
        <v>1</v>
      </c>
      <c r="I14" s="22">
        <v>18</v>
      </c>
      <c r="J14" s="10">
        <v>2376</v>
      </c>
      <c r="K14" s="11">
        <v>238</v>
      </c>
      <c r="L14" s="23">
        <f t="shared" ref="L14" si="10">K14/H14</f>
        <v>238</v>
      </c>
      <c r="M14" s="24">
        <f t="shared" ref="M14" si="11">+J14/K14</f>
        <v>9.9831932773109244</v>
      </c>
      <c r="N14" s="25">
        <f>75118.41+13690.5+596+27+1940.8+1188+1170.4+170+24+48+2970+2376+1900.8+2851.2+11642.4+2376+2970+2376</f>
        <v>123435.51</v>
      </c>
      <c r="O14" s="26">
        <f>5768+1430+59+2+194+200+117+17+2+4+297+238+190+285+1164+238+297+238</f>
        <v>10740</v>
      </c>
      <c r="P14" s="27">
        <f t="shared" ref="P14" si="12">N14/O14</f>
        <v>11.493064245810055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3</v>
      </c>
      <c r="H15" s="21">
        <v>3</v>
      </c>
      <c r="I15" s="22">
        <v>9</v>
      </c>
      <c r="J15" s="10">
        <v>2008</v>
      </c>
      <c r="K15" s="11">
        <v>254</v>
      </c>
      <c r="L15" s="23">
        <f>K15/H15</f>
        <v>84.666666666666671</v>
      </c>
      <c r="M15" s="24">
        <f>+J15/K15</f>
        <v>7.9055118110236222</v>
      </c>
      <c r="N15" s="25">
        <f>378926+79846+19515+14964+8765+3960+2220+272+2008</f>
        <v>510476</v>
      </c>
      <c r="O15" s="26">
        <f>21844+4905+1778+1322+907+396+268+34+254</f>
        <v>31708</v>
      </c>
      <c r="P15" s="27">
        <f>N15/O15</f>
        <v>16.099280938564402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23</v>
      </c>
      <c r="D16" s="19">
        <v>43784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1245183.5+169614.5+71865.8+29102.5+19785+3392+8359+7998.6+13914.4+4053+8569.4+1782</f>
        <v>1583619.7</v>
      </c>
      <c r="O16" s="26">
        <f>74795+11280+5220+2328+1564+254+823+805+1562+445+868+178</f>
        <v>100122</v>
      </c>
      <c r="P16" s="27">
        <f>N16/O16</f>
        <v>15.816900381534527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45</v>
      </c>
      <c r="D17" s="19">
        <v>43854</v>
      </c>
      <c r="E17" s="20" t="s">
        <v>15</v>
      </c>
      <c r="F17" s="20" t="s">
        <v>15</v>
      </c>
      <c r="G17" s="21">
        <v>2</v>
      </c>
      <c r="H17" s="21">
        <v>2</v>
      </c>
      <c r="I17" s="22">
        <v>4</v>
      </c>
      <c r="J17" s="10">
        <v>1167</v>
      </c>
      <c r="K17" s="11">
        <v>137</v>
      </c>
      <c r="L17" s="23">
        <f>K17/H17</f>
        <v>68.5</v>
      </c>
      <c r="M17" s="24">
        <f>+J17/K17</f>
        <v>8.5182481751824817</v>
      </c>
      <c r="N17" s="25">
        <f>5439+1652+94419+26989+8240+1167</f>
        <v>137906</v>
      </c>
      <c r="O17" s="26">
        <f>337+106+4328+1517+645+137</f>
        <v>7070</v>
      </c>
      <c r="P17" s="27">
        <f>N17/O17</f>
        <v>19.505799151343705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44</v>
      </c>
      <c r="D18" s="19">
        <v>43770</v>
      </c>
      <c r="E18" s="20" t="s">
        <v>15</v>
      </c>
      <c r="F18" s="20" t="s">
        <v>16</v>
      </c>
      <c r="G18" s="21">
        <v>2</v>
      </c>
      <c r="H18" s="21">
        <v>2</v>
      </c>
      <c r="I18" s="22">
        <v>5</v>
      </c>
      <c r="J18" s="10">
        <v>875</v>
      </c>
      <c r="K18" s="11">
        <v>81</v>
      </c>
      <c r="L18" s="23">
        <f t="shared" ref="L18" si="13">K18/H18</f>
        <v>40.5</v>
      </c>
      <c r="M18" s="24">
        <f t="shared" ref="M18" si="14">+J18/K18</f>
        <v>10.802469135802468</v>
      </c>
      <c r="N18" s="25">
        <f>609662.5+131067+15933+4836+875</f>
        <v>762373.5</v>
      </c>
      <c r="O18" s="26">
        <f>34810+8470+1105+335+81</f>
        <v>44801</v>
      </c>
      <c r="P18" s="27">
        <f t="shared" ref="P18" si="15">N18/O18</f>
        <v>17.01688578379947</v>
      </c>
      <c r="Q18" s="2"/>
      <c r="R18" s="2"/>
      <c r="S18" s="2"/>
    </row>
    <row r="19" spans="2:19" s="8" customFormat="1" ht="22.5" customHeight="1" thickBot="1" x14ac:dyDescent="0.3">
      <c r="B19" s="41">
        <f t="shared" si="0"/>
        <v>14</v>
      </c>
      <c r="C19" s="42" t="s">
        <v>70</v>
      </c>
      <c r="D19" s="43">
        <v>43889</v>
      </c>
      <c r="E19" s="44" t="s">
        <v>15</v>
      </c>
      <c r="F19" s="44" t="s">
        <v>15</v>
      </c>
      <c r="G19" s="45">
        <v>1</v>
      </c>
      <c r="H19" s="45">
        <v>1</v>
      </c>
      <c r="I19" s="46">
        <v>0</v>
      </c>
      <c r="J19" s="47">
        <v>798</v>
      </c>
      <c r="K19" s="48">
        <v>42</v>
      </c>
      <c r="L19" s="49">
        <f>K19/H19</f>
        <v>42</v>
      </c>
      <c r="M19" s="50">
        <f>+J19/K19</f>
        <v>19</v>
      </c>
      <c r="N19" s="51">
        <f>798</f>
        <v>798</v>
      </c>
      <c r="O19" s="52">
        <f>42</f>
        <v>42</v>
      </c>
      <c r="P19" s="53">
        <f>N19/O19</f>
        <v>19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2020_30_24-30.07</vt:lpstr>
      <vt:lpstr>2020_29_17-23.07</vt:lpstr>
      <vt:lpstr>2020_28_10-16.07</vt:lpstr>
      <vt:lpstr>2020_27_03-09.07</vt:lpstr>
      <vt:lpstr>2020_10_13-19.03</vt:lpstr>
      <vt:lpstr>2020_10_06-12.03</vt:lpstr>
      <vt:lpstr>2020_09_28.02-05.03</vt:lpstr>
      <vt:lpstr>2020_08_21-27.02</vt:lpstr>
      <vt:lpstr>2020_07_14-20.02</vt:lpstr>
      <vt:lpstr>2020_06_07-09.02</vt:lpstr>
      <vt:lpstr>2020_05_31.01-06.02</vt:lpstr>
      <vt:lpstr>2020_04_24-30.01</vt:lpstr>
      <vt:lpstr>2020_03_17-23.01</vt:lpstr>
      <vt:lpstr>2020_02_10-16.01</vt:lpstr>
      <vt:lpstr>2020_01_03-09.01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2018-12-21T08:52:06Z</cp:lastPrinted>
  <dcterms:created xsi:type="dcterms:W3CDTF">2016-01-04T11:10:43Z</dcterms:created>
  <dcterms:modified xsi:type="dcterms:W3CDTF">2020-08-01T23:51:36Z</dcterms:modified>
</cp:coreProperties>
</file>