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rfilmds\COMPANY\1Film_Theatrical\Box_Office\"/>
    </mc:Choice>
  </mc:AlternateContent>
  <bookViews>
    <workbookView xWindow="0" yWindow="0" windowWidth="15600" windowHeight="7635"/>
  </bookViews>
  <sheets>
    <sheet name="2015_41_09-15.10" sheetId="86" r:id="rId1"/>
    <sheet name="2015_40_02-08.10" sheetId="85" r:id="rId2"/>
    <sheet name="2015_39_25.09-01.10" sheetId="84" r:id="rId3"/>
    <sheet name="2015_38_18-24.09" sheetId="83" r:id="rId4"/>
    <sheet name="2015_37_11-17.09" sheetId="82" r:id="rId5"/>
    <sheet name="2015_36_04-10.09" sheetId="81" r:id="rId6"/>
    <sheet name="2015_35_28.08-03.09" sheetId="80" r:id="rId7"/>
    <sheet name="2015_34_21-27.08" sheetId="79" r:id="rId8"/>
    <sheet name="2015_33_14-20.08" sheetId="78" r:id="rId9"/>
    <sheet name="2015_32_07-13.08" sheetId="77" r:id="rId10"/>
    <sheet name="2015_31_31.07-06.08" sheetId="76" r:id="rId11"/>
    <sheet name="2015_30_24-30.07" sheetId="75" r:id="rId12"/>
    <sheet name="2015_29_17-23.07" sheetId="74" r:id="rId13"/>
    <sheet name="2015_28_10-16.07" sheetId="73" r:id="rId14"/>
    <sheet name="2015_27_03-09.07" sheetId="72" r:id="rId15"/>
    <sheet name="2015_26_26.06-02.07" sheetId="71" r:id="rId16"/>
    <sheet name="2015_25_19-25.06" sheetId="70" r:id="rId17"/>
    <sheet name="2015_24_12-18.06" sheetId="69" r:id="rId18"/>
    <sheet name="2015_23_05-11.06" sheetId="68" r:id="rId19"/>
    <sheet name="2015_22_29.05-04.06" sheetId="67" r:id="rId20"/>
    <sheet name="2015_21_22-28.05" sheetId="66" r:id="rId21"/>
    <sheet name="2015_20_15-21.05" sheetId="65" r:id="rId22"/>
    <sheet name="2015_19_08-14.05" sheetId="64" r:id="rId23"/>
    <sheet name="2015_18_01-07.05" sheetId="63" r:id="rId24"/>
    <sheet name="2015_17_24-30.04" sheetId="62" r:id="rId25"/>
    <sheet name="2015_16_17-23.04" sheetId="61" r:id="rId26"/>
    <sheet name="2015_15_10-16.04" sheetId="60" r:id="rId27"/>
    <sheet name="2015_14_03-09.04" sheetId="59" r:id="rId28"/>
    <sheet name="2015_13_27.03-02.04" sheetId="58" r:id="rId29"/>
    <sheet name="2015_12_20-26.03" sheetId="56" r:id="rId30"/>
    <sheet name="2015_11_13-19.03" sheetId="57" r:id="rId31"/>
    <sheet name="2015_10_06-12.03" sheetId="55" r:id="rId32"/>
    <sheet name="2015_09_27.02-05.03" sheetId="54" r:id="rId33"/>
    <sheet name="2015_08_20-26.02" sheetId="53" r:id="rId34"/>
    <sheet name="2015_07_13-19.02" sheetId="52" r:id="rId35"/>
    <sheet name="2015_06_06-12.02" sheetId="51" r:id="rId36"/>
    <sheet name="2015_05_30.01-05.02" sheetId="50" r:id="rId37"/>
    <sheet name="2015_04_23-29.01" sheetId="49" r:id="rId38"/>
    <sheet name="2015_03_16-22.01" sheetId="48" r:id="rId39"/>
    <sheet name="2015_02_09-15.01" sheetId="47" r:id="rId40"/>
    <sheet name="2015_01_02-08.01" sheetId="46" r:id="rId41"/>
  </sheets>
  <definedNames>
    <definedName name="_xlnm._FilterDatabase" localSheetId="31" hidden="1">'2015_10_06-12.03'!$J$5:$M$5</definedName>
    <definedName name="_xlnm._FilterDatabase" localSheetId="30" hidden="1">'2015_11_13-19.03'!$J$5:$M$5</definedName>
    <definedName name="_xlnm._FilterDatabase" localSheetId="29" hidden="1">'2015_12_20-26.03'!$J$5:$M$5</definedName>
    <definedName name="_xlnm._FilterDatabase" localSheetId="28" hidden="1">'2015_13_27.03-02.04'!$J$5:$M$5</definedName>
    <definedName name="_xlnm._FilterDatabase" localSheetId="27" hidden="1">'2015_14_03-09.04'!$J$5:$M$5</definedName>
    <definedName name="_xlnm._FilterDatabase" localSheetId="26" hidden="1">'2015_15_10-16.04'!$J$5:$M$5</definedName>
    <definedName name="_xlnm._FilterDatabase" localSheetId="25" hidden="1">'2015_16_17-23.04'!$J$5:$M$5</definedName>
    <definedName name="_xlnm._FilterDatabase" localSheetId="24" hidden="1">'2015_17_24-30.04'!$J$5:$M$5</definedName>
    <definedName name="_xlnm._FilterDatabase" localSheetId="23" hidden="1">'2015_18_01-07.05'!$J$5:$M$5</definedName>
    <definedName name="_xlnm._FilterDatabase" localSheetId="22" hidden="1">'2015_19_08-14.05'!$J$5:$M$5</definedName>
    <definedName name="_xlnm._FilterDatabase" localSheetId="21" hidden="1">'2015_20_15-21.05'!$J$5:$M$5</definedName>
    <definedName name="_xlnm._FilterDatabase" localSheetId="20" hidden="1">'2015_21_22-28.05'!$J$5:$M$5</definedName>
    <definedName name="_xlnm._FilterDatabase" localSheetId="19" hidden="1">'2015_22_29.05-04.06'!$J$5:$M$5</definedName>
    <definedName name="_xlnm._FilterDatabase" localSheetId="18" hidden="1">'2015_23_05-11.06'!$J$5:$M$5</definedName>
    <definedName name="_xlnm._FilterDatabase" localSheetId="17" hidden="1">'2015_24_12-18.06'!$J$5:$M$5</definedName>
    <definedName name="_xlnm._FilterDatabase" localSheetId="16" hidden="1">'2015_25_19-25.06'!$J$5:$M$5</definedName>
    <definedName name="_xlnm._FilterDatabase" localSheetId="15" hidden="1">'2015_26_26.06-02.07'!$J$5:$M$5</definedName>
    <definedName name="_xlnm._FilterDatabase" localSheetId="14" hidden="1">'2015_27_03-09.07'!$J$5:$M$5</definedName>
    <definedName name="_xlnm._FilterDatabase" localSheetId="13" hidden="1">'2015_28_10-16.07'!$J$5:$M$5</definedName>
    <definedName name="_xlnm._FilterDatabase" localSheetId="12" hidden="1">'2015_29_17-23.07'!$J$5:$M$5</definedName>
    <definedName name="_xlnm._FilterDatabase" localSheetId="11" hidden="1">'2015_30_24-30.07'!$J$5:$M$5</definedName>
    <definedName name="_xlnm._FilterDatabase" localSheetId="10" hidden="1">'2015_31_31.07-06.08'!$J$5:$M$5</definedName>
    <definedName name="_xlnm._FilterDatabase" localSheetId="9" hidden="1">'2015_32_07-13.08'!$J$5:$M$5</definedName>
    <definedName name="_xlnm._FilterDatabase" localSheetId="8" hidden="1">'2015_33_14-20.08'!$J$5:$M$5</definedName>
    <definedName name="_xlnm._FilterDatabase" localSheetId="7" hidden="1">'2015_34_21-27.08'!$J$5:$M$5</definedName>
    <definedName name="_xlnm._FilterDatabase" localSheetId="6" hidden="1">'2015_35_28.08-03.09'!$J$5:$M$5</definedName>
    <definedName name="_xlnm._FilterDatabase" localSheetId="5" hidden="1">'2015_36_04-10.09'!$J$5:$M$5</definedName>
    <definedName name="_xlnm._FilterDatabase" localSheetId="4" hidden="1">'2015_37_11-17.09'!$J$5:$M$5</definedName>
    <definedName name="_xlnm._FilterDatabase" localSheetId="3" hidden="1">'2015_38_18-24.09'!$J$5:$M$5</definedName>
    <definedName name="_xlnm._FilterDatabase" localSheetId="2" hidden="1">'2015_39_25.09-01.10'!$J$5:$M$5</definedName>
    <definedName name="_xlnm._FilterDatabase" localSheetId="1" hidden="1">'2015_40_02-08.10'!$J$5:$M$5</definedName>
    <definedName name="_xlnm._FilterDatabase" localSheetId="0" hidden="1">'2015_41_09-15.10'!$J$5:$M$5</definedName>
  </definedNames>
  <calcPr calcId="152511"/>
</workbook>
</file>

<file path=xl/calcChain.xml><?xml version="1.0" encoding="utf-8"?>
<calcChain xmlns="http://schemas.openxmlformats.org/spreadsheetml/2006/main">
  <c r="B7" i="86" l="1"/>
  <c r="B8" i="86" s="1"/>
  <c r="B9" i="86" s="1"/>
  <c r="B10" i="86" s="1"/>
  <c r="B11" i="86" s="1"/>
  <c r="B12" i="86" s="1"/>
  <c r="B13" i="86" s="1"/>
  <c r="B6" i="86"/>
  <c r="O13" i="86"/>
  <c r="N13" i="86"/>
  <c r="P13" i="86" s="1"/>
  <c r="M13" i="86"/>
  <c r="L13" i="86"/>
  <c r="O12" i="86"/>
  <c r="N12" i="86"/>
  <c r="P12" i="86" s="1"/>
  <c r="M12" i="86"/>
  <c r="L12" i="86"/>
  <c r="O11" i="86"/>
  <c r="P11" i="86" s="1"/>
  <c r="N11" i="86"/>
  <c r="M11" i="86"/>
  <c r="L11" i="86"/>
  <c r="P10" i="86"/>
  <c r="O10" i="86"/>
  <c r="N10" i="86"/>
  <c r="M10" i="86"/>
  <c r="L10" i="86"/>
  <c r="O9" i="86"/>
  <c r="N9" i="86"/>
  <c r="P9" i="86" s="1"/>
  <c r="M9" i="86"/>
  <c r="L9" i="86"/>
  <c r="O8" i="86"/>
  <c r="N8" i="86"/>
  <c r="P8" i="86" s="1"/>
  <c r="M8" i="86"/>
  <c r="L8" i="86"/>
  <c r="O7" i="86"/>
  <c r="P7" i="86" s="1"/>
  <c r="N7" i="86"/>
  <c r="M7" i="86"/>
  <c r="L7" i="86"/>
  <c r="P6" i="86"/>
  <c r="O6" i="86"/>
  <c r="N6" i="86"/>
  <c r="M6" i="86"/>
  <c r="L6" i="86"/>
  <c r="B6" i="85" l="1"/>
  <c r="B7" i="85" s="1"/>
  <c r="B8" i="85" s="1"/>
  <c r="B9" i="85" s="1"/>
  <c r="B10" i="85" s="1"/>
  <c r="B11" i="85" s="1"/>
  <c r="B12" i="85" s="1"/>
  <c r="B13" i="85" s="1"/>
  <c r="B14" i="85" s="1"/>
  <c r="B15" i="85" s="1"/>
  <c r="B16" i="85" s="1"/>
  <c r="O13" i="85"/>
  <c r="N13" i="85"/>
  <c r="O16" i="85"/>
  <c r="N16" i="85"/>
  <c r="O7" i="85"/>
  <c r="N7" i="85"/>
  <c r="O6" i="85" l="1"/>
  <c r="N6" i="85"/>
  <c r="O9" i="85" l="1"/>
  <c r="N9" i="85"/>
  <c r="O8" i="85"/>
  <c r="N8" i="85"/>
  <c r="O11" i="85"/>
  <c r="N11" i="85"/>
  <c r="O15" i="85"/>
  <c r="N15" i="85"/>
  <c r="O10" i="85"/>
  <c r="N10" i="85"/>
  <c r="O14" i="85"/>
  <c r="N14" i="85"/>
  <c r="O12" i="85"/>
  <c r="N12" i="85"/>
  <c r="M10" i="85"/>
  <c r="L10" i="85"/>
  <c r="M16" i="85"/>
  <c r="L16" i="85"/>
  <c r="M12" i="85"/>
  <c r="L12" i="85"/>
  <c r="P13" i="85"/>
  <c r="M13" i="85"/>
  <c r="L13" i="85"/>
  <c r="M15" i="85"/>
  <c r="L15" i="85"/>
  <c r="M14" i="85"/>
  <c r="L14" i="85"/>
  <c r="M11" i="85"/>
  <c r="L11" i="85"/>
  <c r="M9" i="85"/>
  <c r="L9" i="85"/>
  <c r="P7" i="85"/>
  <c r="M7" i="85"/>
  <c r="L7" i="85"/>
  <c r="M8" i="85"/>
  <c r="L8" i="85"/>
  <c r="M6" i="85"/>
  <c r="L6" i="85"/>
  <c r="P10" i="85" l="1"/>
  <c r="P14" i="85"/>
  <c r="P11" i="85"/>
  <c r="P8" i="85"/>
  <c r="P9" i="85"/>
  <c r="P15" i="85"/>
  <c r="P12" i="85"/>
  <c r="P16" i="85"/>
  <c r="P6" i="85"/>
  <c r="O6" i="84"/>
  <c r="N6" i="84"/>
  <c r="B6" i="84" l="1"/>
  <c r="B7" i="84" s="1"/>
  <c r="B8" i="84" s="1"/>
  <c r="B9" i="84" s="1"/>
  <c r="B10" i="84" s="1"/>
  <c r="B11" i="84" s="1"/>
  <c r="B12" i="84" s="1"/>
  <c r="B13" i="84" s="1"/>
  <c r="B14" i="84" s="1"/>
  <c r="B15" i="84" s="1"/>
  <c r="B16" i="84" s="1"/>
  <c r="B17" i="84" s="1"/>
  <c r="O17" i="84"/>
  <c r="N17" i="84"/>
  <c r="P17" i="84" s="1"/>
  <c r="M17" i="84"/>
  <c r="L17" i="84"/>
  <c r="O16" i="84"/>
  <c r="N16" i="84"/>
  <c r="P16" i="84" s="1"/>
  <c r="M16" i="84"/>
  <c r="L16" i="84"/>
  <c r="O15" i="84"/>
  <c r="N15" i="84"/>
  <c r="P15" i="84" s="1"/>
  <c r="M15" i="84"/>
  <c r="L15" i="84"/>
  <c r="O14" i="84"/>
  <c r="N14" i="84"/>
  <c r="P14" i="84" s="1"/>
  <c r="M14" i="84"/>
  <c r="L14" i="84"/>
  <c r="P13" i="84"/>
  <c r="O13" i="84"/>
  <c r="N13" i="84"/>
  <c r="M13" i="84"/>
  <c r="L13" i="84"/>
  <c r="O12" i="84"/>
  <c r="N12" i="84"/>
  <c r="M12" i="84"/>
  <c r="L12" i="84"/>
  <c r="O11" i="84"/>
  <c r="N11" i="84"/>
  <c r="M11" i="84"/>
  <c r="L11" i="84"/>
  <c r="P10" i="84"/>
  <c r="O10" i="84"/>
  <c r="N10" i="84"/>
  <c r="M10" i="84"/>
  <c r="L10" i="84"/>
  <c r="O9" i="84"/>
  <c r="N9" i="84"/>
  <c r="P9" i="84" s="1"/>
  <c r="M9" i="84"/>
  <c r="L9" i="84"/>
  <c r="O8" i="84"/>
  <c r="N8" i="84"/>
  <c r="P8" i="84" s="1"/>
  <c r="M8" i="84"/>
  <c r="L8" i="84"/>
  <c r="O7" i="84"/>
  <c r="N7" i="84"/>
  <c r="P7" i="84" s="1"/>
  <c r="M7" i="84"/>
  <c r="L7" i="84"/>
  <c r="P6" i="84"/>
  <c r="M6" i="84"/>
  <c r="L6" i="84"/>
  <c r="P11" i="84" l="1"/>
  <c r="P12" i="84"/>
  <c r="O6" i="83"/>
  <c r="N6" i="83"/>
  <c r="O14" i="83" l="1"/>
  <c r="N14" i="83"/>
  <c r="O13" i="83"/>
  <c r="N13" i="83"/>
  <c r="O17" i="83"/>
  <c r="N17" i="83"/>
  <c r="O11" i="83"/>
  <c r="N11" i="83"/>
  <c r="O16" i="83"/>
  <c r="N16" i="83"/>
  <c r="O12" i="83"/>
  <c r="N12" i="83"/>
  <c r="O15" i="83"/>
  <c r="N15" i="83"/>
  <c r="O10" i="83"/>
  <c r="N10" i="83"/>
  <c r="O9" i="83"/>
  <c r="N9" i="83"/>
  <c r="O8" i="83"/>
  <c r="N8" i="83"/>
  <c r="O7" i="83"/>
  <c r="N7" i="83"/>
  <c r="P17" i="83" l="1"/>
  <c r="M17" i="83"/>
  <c r="L17" i="83"/>
  <c r="L15" i="80"/>
  <c r="M15" i="80"/>
  <c r="N15" i="80"/>
  <c r="P15" i="80" s="1"/>
  <c r="O15" i="80"/>
  <c r="M14" i="83"/>
  <c r="L14" i="83"/>
  <c r="P10" i="83"/>
  <c r="M10" i="83"/>
  <c r="L10" i="83"/>
  <c r="M13" i="83"/>
  <c r="L13" i="83"/>
  <c r="M11" i="83"/>
  <c r="L11" i="83"/>
  <c r="M16" i="83"/>
  <c r="L16" i="83"/>
  <c r="M12" i="83"/>
  <c r="L12" i="83"/>
  <c r="M15" i="83"/>
  <c r="L15" i="83"/>
  <c r="M9" i="83"/>
  <c r="L9" i="83"/>
  <c r="M8" i="83"/>
  <c r="L8" i="83"/>
  <c r="M7" i="83"/>
  <c r="L7" i="83"/>
  <c r="M6" i="83"/>
  <c r="L6" i="83"/>
  <c r="B6" i="83"/>
  <c r="B7" i="83" s="1"/>
  <c r="B8" i="83" s="1"/>
  <c r="B9" i="83" s="1"/>
  <c r="B10" i="83" s="1"/>
  <c r="B11" i="83" s="1"/>
  <c r="B12" i="83" s="1"/>
  <c r="B13" i="83" s="1"/>
  <c r="B14" i="83" s="1"/>
  <c r="B15" i="83" s="1"/>
  <c r="B16" i="83" s="1"/>
  <c r="B17" i="83" s="1"/>
  <c r="P14" i="83" l="1"/>
  <c r="P16" i="83"/>
  <c r="P7" i="83"/>
  <c r="P8" i="83"/>
  <c r="P9" i="83"/>
  <c r="P15" i="83"/>
  <c r="P12" i="83"/>
  <c r="P6" i="83"/>
  <c r="P11" i="83"/>
  <c r="P13" i="83"/>
  <c r="B6" i="82"/>
  <c r="B7" i="82" s="1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O13" i="82"/>
  <c r="N13" i="82"/>
  <c r="O7" i="82"/>
  <c r="N7" i="82"/>
  <c r="O6" i="82"/>
  <c r="N6" i="82"/>
  <c r="O8" i="82"/>
  <c r="N8" i="82"/>
  <c r="O12" i="82" l="1"/>
  <c r="N12" i="82"/>
  <c r="O9" i="82"/>
  <c r="N9" i="82"/>
  <c r="O10" i="82"/>
  <c r="N10" i="82"/>
  <c r="O14" i="82"/>
  <c r="N14" i="82"/>
  <c r="O16" i="82"/>
  <c r="N16" i="82"/>
  <c r="O11" i="82"/>
  <c r="N11" i="82"/>
  <c r="O17" i="82"/>
  <c r="N17" i="82"/>
  <c r="O15" i="82"/>
  <c r="N15" i="82"/>
  <c r="M16" i="82" l="1"/>
  <c r="L16" i="82"/>
  <c r="M11" i="82"/>
  <c r="L11" i="82"/>
  <c r="M15" i="82"/>
  <c r="L15" i="82"/>
  <c r="P13" i="82"/>
  <c r="M13" i="82"/>
  <c r="L13" i="82"/>
  <c r="P7" i="82"/>
  <c r="M7" i="82"/>
  <c r="L7" i="82"/>
  <c r="P6" i="82"/>
  <c r="M6" i="82"/>
  <c r="L6" i="82"/>
  <c r="M17" i="82"/>
  <c r="L17" i="82"/>
  <c r="M14" i="82"/>
  <c r="L14" i="82"/>
  <c r="M10" i="82"/>
  <c r="L10" i="82"/>
  <c r="M9" i="82"/>
  <c r="L9" i="82"/>
  <c r="M12" i="82"/>
  <c r="L12" i="82"/>
  <c r="M8" i="82"/>
  <c r="L8" i="82"/>
  <c r="P15" i="82" l="1"/>
  <c r="P11" i="82"/>
  <c r="P16" i="82"/>
  <c r="P8" i="82"/>
  <c r="P12" i="82"/>
  <c r="P9" i="82"/>
  <c r="P14" i="82"/>
  <c r="P17" i="82"/>
  <c r="P10" i="82"/>
  <c r="B6" i="81"/>
  <c r="B7" i="81" s="1"/>
  <c r="B8" i="81" s="1"/>
  <c r="B9" i="81" s="1"/>
  <c r="B10" i="81" s="1"/>
  <c r="B11" i="81" s="1"/>
  <c r="B12" i="81" s="1"/>
  <c r="B13" i="81" s="1"/>
  <c r="B14" i="81" s="1"/>
  <c r="B15" i="81" s="1"/>
  <c r="B16" i="81" s="1"/>
  <c r="B17" i="81" s="1"/>
  <c r="B18" i="81" s="1"/>
  <c r="O6" i="81"/>
  <c r="N6" i="81"/>
  <c r="O7" i="81"/>
  <c r="N7" i="81"/>
  <c r="O8" i="81"/>
  <c r="N8" i="81"/>
  <c r="O12" i="81"/>
  <c r="N12" i="81"/>
  <c r="O13" i="81"/>
  <c r="N13" i="81"/>
  <c r="O16" i="81"/>
  <c r="N16" i="81"/>
  <c r="O10" i="81"/>
  <c r="N10" i="81"/>
  <c r="O14" i="81"/>
  <c r="N14" i="81"/>
  <c r="O15" i="81"/>
  <c r="N15" i="81"/>
  <c r="O9" i="81"/>
  <c r="N9" i="81"/>
  <c r="O17" i="81"/>
  <c r="N17" i="81"/>
  <c r="O11" i="81"/>
  <c r="N11" i="81"/>
  <c r="O18" i="81"/>
  <c r="N18" i="81"/>
  <c r="M9" i="81"/>
  <c r="L9" i="81"/>
  <c r="P9" i="81" l="1"/>
  <c r="P6" i="81"/>
  <c r="M6" i="81"/>
  <c r="L6" i="81"/>
  <c r="M18" i="81"/>
  <c r="L18" i="81"/>
  <c r="M17" i="81"/>
  <c r="L17" i="81"/>
  <c r="M14" i="81"/>
  <c r="L14" i="81"/>
  <c r="M16" i="81"/>
  <c r="L16" i="81"/>
  <c r="M10" i="81"/>
  <c r="L10" i="81"/>
  <c r="M11" i="81"/>
  <c r="L11" i="81"/>
  <c r="M15" i="81"/>
  <c r="L15" i="81"/>
  <c r="M13" i="81"/>
  <c r="L13" i="81"/>
  <c r="M12" i="81"/>
  <c r="L12" i="81"/>
  <c r="M7" i="81"/>
  <c r="L7" i="81"/>
  <c r="M8" i="81"/>
  <c r="L8" i="81"/>
  <c r="P8" i="81" l="1"/>
  <c r="P7" i="81"/>
  <c r="P13" i="81"/>
  <c r="P11" i="81"/>
  <c r="P17" i="81"/>
  <c r="P18" i="81"/>
  <c r="P12" i="81"/>
  <c r="P15" i="81"/>
  <c r="P16" i="81"/>
  <c r="P14" i="81"/>
  <c r="P10" i="81"/>
  <c r="B6" i="80"/>
  <c r="B7" i="80" s="1"/>
  <c r="B8" i="80" s="1"/>
  <c r="B9" i="80" s="1"/>
  <c r="B10" i="80" s="1"/>
  <c r="B11" i="80" s="1"/>
  <c r="B12" i="80" s="1"/>
  <c r="B13" i="80" s="1"/>
  <c r="B14" i="80" s="1"/>
  <c r="O16" i="80"/>
  <c r="N16" i="80"/>
  <c r="O13" i="80"/>
  <c r="N13" i="80"/>
  <c r="O17" i="80"/>
  <c r="N17" i="80"/>
  <c r="O6" i="80"/>
  <c r="N6" i="80"/>
  <c r="B15" i="80" l="1"/>
  <c r="B16" i="80" s="1"/>
  <c r="B17" i="80" s="1"/>
  <c r="B18" i="80" s="1"/>
  <c r="B19" i="80" s="1"/>
  <c r="B20" i="80" s="1"/>
  <c r="B21" i="80" s="1"/>
  <c r="B22" i="80" s="1"/>
  <c r="O14" i="80"/>
  <c r="N14" i="80"/>
  <c r="O20" i="80"/>
  <c r="N20" i="80"/>
  <c r="O19" i="80"/>
  <c r="N19" i="80"/>
  <c r="O9" i="80"/>
  <c r="N9" i="80"/>
  <c r="O8" i="80"/>
  <c r="N8" i="80"/>
  <c r="O7" i="80"/>
  <c r="N7" i="80"/>
  <c r="O10" i="80" l="1"/>
  <c r="N10" i="80"/>
  <c r="O18" i="80"/>
  <c r="N18" i="80"/>
  <c r="O12" i="80"/>
  <c r="N12" i="80"/>
  <c r="O11" i="80"/>
  <c r="N11" i="80"/>
  <c r="O21" i="80"/>
  <c r="N21" i="80"/>
  <c r="O22" i="80"/>
  <c r="N22" i="80"/>
  <c r="M21" i="80"/>
  <c r="L21" i="80"/>
  <c r="M19" i="80"/>
  <c r="L19" i="80"/>
  <c r="M14" i="80"/>
  <c r="L14" i="80"/>
  <c r="M11" i="80"/>
  <c r="L11" i="80"/>
  <c r="M10" i="80"/>
  <c r="L10" i="80"/>
  <c r="O12" i="78"/>
  <c r="N12" i="78"/>
  <c r="P12" i="78" s="1"/>
  <c r="M12" i="78"/>
  <c r="L12" i="78"/>
  <c r="P7" i="80"/>
  <c r="M7" i="80"/>
  <c r="L7" i="80"/>
  <c r="P10" i="80" l="1"/>
  <c r="P14" i="80"/>
  <c r="P19" i="80"/>
  <c r="P21" i="80"/>
  <c r="P11" i="80"/>
  <c r="M22" i="80"/>
  <c r="L22" i="80"/>
  <c r="M18" i="80"/>
  <c r="L18" i="80"/>
  <c r="M13" i="80"/>
  <c r="L13" i="80"/>
  <c r="M12" i="80"/>
  <c r="L12" i="80"/>
  <c r="M20" i="80"/>
  <c r="L20" i="80"/>
  <c r="M17" i="80"/>
  <c r="L17" i="80"/>
  <c r="M16" i="80"/>
  <c r="L16" i="80"/>
  <c r="M9" i="80"/>
  <c r="L9" i="80"/>
  <c r="M8" i="80"/>
  <c r="L8" i="80"/>
  <c r="M6" i="80"/>
  <c r="L6" i="80"/>
  <c r="P9" i="80" l="1"/>
  <c r="P20" i="80"/>
  <c r="P18" i="80"/>
  <c r="P22" i="80"/>
  <c r="P8" i="80"/>
  <c r="P16" i="80"/>
  <c r="P17" i="80"/>
  <c r="P12" i="80"/>
  <c r="P13" i="80"/>
  <c r="P6" i="80"/>
  <c r="B6" i="79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O20" i="79"/>
  <c r="N20" i="79"/>
  <c r="P20" i="79" s="1"/>
  <c r="M20" i="79"/>
  <c r="L20" i="79"/>
  <c r="O19" i="79"/>
  <c r="N19" i="79"/>
  <c r="P19" i="79" s="1"/>
  <c r="M19" i="79"/>
  <c r="L19" i="79"/>
  <c r="O18" i="79"/>
  <c r="N18" i="79"/>
  <c r="M18" i="79"/>
  <c r="L18" i="79"/>
  <c r="O17" i="79"/>
  <c r="N17" i="79"/>
  <c r="M17" i="79"/>
  <c r="L17" i="79"/>
  <c r="O16" i="79"/>
  <c r="N16" i="79"/>
  <c r="M16" i="79"/>
  <c r="L16" i="79"/>
  <c r="O15" i="79"/>
  <c r="N15" i="79"/>
  <c r="M15" i="79"/>
  <c r="L15" i="79"/>
  <c r="O14" i="79"/>
  <c r="N14" i="79"/>
  <c r="M14" i="79"/>
  <c r="L14" i="79"/>
  <c r="O13" i="79"/>
  <c r="N13" i="79"/>
  <c r="P13" i="79" s="1"/>
  <c r="M13" i="79"/>
  <c r="L13" i="79"/>
  <c r="O12" i="79"/>
  <c r="N12" i="79"/>
  <c r="P12" i="79" s="1"/>
  <c r="M12" i="79"/>
  <c r="L12" i="79"/>
  <c r="O11" i="79"/>
  <c r="N11" i="79"/>
  <c r="P11" i="79" s="1"/>
  <c r="M11" i="79"/>
  <c r="L11" i="79"/>
  <c r="O10" i="79"/>
  <c r="N10" i="79"/>
  <c r="M10" i="79"/>
  <c r="L10" i="79"/>
  <c r="O9" i="79"/>
  <c r="N9" i="79"/>
  <c r="M9" i="79"/>
  <c r="L9" i="79"/>
  <c r="O8" i="79"/>
  <c r="N8" i="79"/>
  <c r="M8" i="79"/>
  <c r="L8" i="79"/>
  <c r="O7" i="79"/>
  <c r="N7" i="79"/>
  <c r="M7" i="79"/>
  <c r="L7" i="79"/>
  <c r="O6" i="79"/>
  <c r="N6" i="79"/>
  <c r="M6" i="79"/>
  <c r="L6" i="79"/>
  <c r="P14" i="79" l="1"/>
  <c r="P17" i="79"/>
  <c r="P6" i="79"/>
  <c r="P9" i="79"/>
  <c r="P10" i="79"/>
  <c r="P15" i="79"/>
  <c r="P16" i="79"/>
  <c r="P7" i="79"/>
  <c r="P8" i="79"/>
  <c r="P18" i="79"/>
  <c r="O21" i="78"/>
  <c r="N21" i="78"/>
  <c r="M21" i="78"/>
  <c r="L21" i="78"/>
  <c r="O20" i="78"/>
  <c r="N20" i="78"/>
  <c r="M20" i="78"/>
  <c r="L20" i="78"/>
  <c r="O19" i="78"/>
  <c r="N19" i="78"/>
  <c r="M19" i="78"/>
  <c r="L19" i="78"/>
  <c r="O18" i="78"/>
  <c r="N18" i="78"/>
  <c r="M18" i="78"/>
  <c r="L18" i="78"/>
  <c r="O17" i="78"/>
  <c r="N17" i="78"/>
  <c r="M17" i="78"/>
  <c r="L17" i="78"/>
  <c r="O16" i="78"/>
  <c r="N16" i="78"/>
  <c r="M16" i="78"/>
  <c r="L16" i="78"/>
  <c r="O15" i="78"/>
  <c r="N15" i="78"/>
  <c r="M15" i="78"/>
  <c r="L15" i="78"/>
  <c r="O14" i="78"/>
  <c r="N14" i="78"/>
  <c r="M14" i="78"/>
  <c r="L14" i="78"/>
  <c r="O13" i="78"/>
  <c r="N13" i="78"/>
  <c r="M13" i="78"/>
  <c r="L13" i="78"/>
  <c r="O11" i="78"/>
  <c r="N11" i="78"/>
  <c r="M11" i="78"/>
  <c r="L11" i="78"/>
  <c r="O10" i="78"/>
  <c r="N10" i="78"/>
  <c r="M10" i="78"/>
  <c r="L10" i="78"/>
  <c r="O9" i="78"/>
  <c r="N9" i="78"/>
  <c r="M9" i="78"/>
  <c r="L9" i="78"/>
  <c r="O8" i="78"/>
  <c r="N8" i="78"/>
  <c r="M8" i="78"/>
  <c r="L8" i="78"/>
  <c r="O7" i="78"/>
  <c r="N7" i="78"/>
  <c r="M7" i="78"/>
  <c r="L7" i="78"/>
  <c r="O6" i="78"/>
  <c r="N6" i="78"/>
  <c r="M6" i="78"/>
  <c r="L6" i="78"/>
  <c r="B6" i="78"/>
  <c r="B7" i="78" s="1"/>
  <c r="B8" i="78" s="1"/>
  <c r="B9" i="78" s="1"/>
  <c r="B10" i="78" s="1"/>
  <c r="B11" i="78" s="1"/>
  <c r="B12" i="78" s="1"/>
  <c r="P18" i="78" l="1"/>
  <c r="P19" i="78"/>
  <c r="P6" i="78"/>
  <c r="P8" i="78"/>
  <c r="P9" i="78"/>
  <c r="P10" i="78"/>
  <c r="P14" i="78"/>
  <c r="B13" i="78"/>
  <c r="B14" i="78" s="1"/>
  <c r="B15" i="78" s="1"/>
  <c r="B16" i="78" s="1"/>
  <c r="B17" i="78" s="1"/>
  <c r="B18" i="78" s="1"/>
  <c r="B19" i="78" s="1"/>
  <c r="B20" i="78" s="1"/>
  <c r="B21" i="78" s="1"/>
  <c r="P11" i="78"/>
  <c r="P15" i="78"/>
  <c r="P7" i="78"/>
  <c r="P13" i="78"/>
  <c r="P16" i="78"/>
  <c r="P17" i="78"/>
  <c r="P20" i="78"/>
  <c r="P21" i="78"/>
  <c r="O6" i="77"/>
  <c r="N6" i="77"/>
  <c r="O7" i="77"/>
  <c r="N7" i="77"/>
  <c r="P7" i="77" s="1"/>
  <c r="B6" i="77"/>
  <c r="B7" i="77" s="1"/>
  <c r="B8" i="77" s="1"/>
  <c r="B9" i="77" s="1"/>
  <c r="B10" i="77" s="1"/>
  <c r="B11" i="77" s="1"/>
  <c r="B12" i="77" s="1"/>
  <c r="B13" i="77" s="1"/>
  <c r="B14" i="77" s="1"/>
  <c r="B15" i="77" s="1"/>
  <c r="M7" i="77"/>
  <c r="L7" i="77"/>
  <c r="M6" i="77"/>
  <c r="L6" i="77"/>
  <c r="P6" i="77" l="1"/>
  <c r="O10" i="77"/>
  <c r="N10" i="77"/>
  <c r="O15" i="77"/>
  <c r="N15" i="77"/>
  <c r="O14" i="77"/>
  <c r="N14" i="77"/>
  <c r="O12" i="77"/>
  <c r="N12" i="77"/>
  <c r="O8" i="77"/>
  <c r="N8" i="77"/>
  <c r="O9" i="77"/>
  <c r="N9" i="77"/>
  <c r="O11" i="77"/>
  <c r="N11" i="77"/>
  <c r="M11" i="77"/>
  <c r="L11" i="77"/>
  <c r="O13" i="77"/>
  <c r="N13" i="77"/>
  <c r="M10" i="77"/>
  <c r="L10" i="77"/>
  <c r="P10" i="77" l="1"/>
  <c r="P11" i="77"/>
  <c r="P15" i="77"/>
  <c r="M15" i="77"/>
  <c r="L15" i="77"/>
  <c r="P13" i="77"/>
  <c r="M13" i="77"/>
  <c r="L13" i="77"/>
  <c r="P9" i="77"/>
  <c r="M9" i="77"/>
  <c r="L9" i="77"/>
  <c r="P14" i="77"/>
  <c r="M14" i="77"/>
  <c r="L14" i="77"/>
  <c r="P12" i="77"/>
  <c r="M12" i="77"/>
  <c r="L12" i="77"/>
  <c r="P8" i="77"/>
  <c r="M8" i="77"/>
  <c r="L8" i="77"/>
  <c r="O12" i="76" l="1"/>
  <c r="N12" i="76"/>
  <c r="O8" i="76"/>
  <c r="N8" i="76"/>
  <c r="O7" i="76"/>
  <c r="N7" i="76"/>
  <c r="O6" i="76"/>
  <c r="N6" i="76"/>
  <c r="O13" i="76"/>
  <c r="N13" i="76"/>
  <c r="O9" i="76"/>
  <c r="N9" i="76"/>
  <c r="O11" i="76"/>
  <c r="N11" i="76"/>
  <c r="O10" i="76"/>
  <c r="N10" i="76"/>
  <c r="O15" i="76"/>
  <c r="N15" i="76"/>
  <c r="O14" i="76"/>
  <c r="N14" i="76"/>
  <c r="M9" i="76" l="1"/>
  <c r="L9" i="76"/>
  <c r="M10" i="76"/>
  <c r="L10" i="76"/>
  <c r="M15" i="76"/>
  <c r="L15" i="76"/>
  <c r="M12" i="76"/>
  <c r="L12" i="76"/>
  <c r="M14" i="76"/>
  <c r="L14" i="76"/>
  <c r="M11" i="76"/>
  <c r="L11" i="76"/>
  <c r="M13" i="76"/>
  <c r="L13" i="76"/>
  <c r="M8" i="76"/>
  <c r="L8" i="76"/>
  <c r="M7" i="76"/>
  <c r="L7" i="76"/>
  <c r="M6" i="76"/>
  <c r="L6" i="76"/>
  <c r="B6" i="76"/>
  <c r="B7" i="76" s="1"/>
  <c r="B8" i="76" s="1"/>
  <c r="B9" i="76" s="1"/>
  <c r="B10" i="76" s="1"/>
  <c r="B11" i="76" s="1"/>
  <c r="B12" i="76" s="1"/>
  <c r="B13" i="76" s="1"/>
  <c r="B14" i="76" s="1"/>
  <c r="B15" i="76" s="1"/>
  <c r="P9" i="76" l="1"/>
  <c r="P7" i="76"/>
  <c r="P14" i="76"/>
  <c r="P8" i="76"/>
  <c r="P13" i="76"/>
  <c r="P11" i="76"/>
  <c r="P10" i="76"/>
  <c r="P6" i="76"/>
  <c r="P12" i="76"/>
  <c r="P15" i="76"/>
  <c r="O11" i="75" l="1"/>
  <c r="N11" i="75"/>
  <c r="O13" i="75"/>
  <c r="N13" i="75"/>
  <c r="P13" i="75" s="1"/>
  <c r="M13" i="75"/>
  <c r="L13" i="75"/>
  <c r="M11" i="75"/>
  <c r="L11" i="75"/>
  <c r="O8" i="75"/>
  <c r="N8" i="75"/>
  <c r="O7" i="75"/>
  <c r="N7" i="75"/>
  <c r="P11" i="75" l="1"/>
  <c r="P8" i="75"/>
  <c r="L8" i="75"/>
  <c r="M8" i="75"/>
  <c r="O15" i="75"/>
  <c r="N15" i="75"/>
  <c r="O9" i="75"/>
  <c r="N9" i="75"/>
  <c r="O12" i="75"/>
  <c r="N12" i="75"/>
  <c r="O10" i="75"/>
  <c r="N10" i="75"/>
  <c r="O17" i="75"/>
  <c r="N17" i="75"/>
  <c r="O14" i="75"/>
  <c r="N14" i="75"/>
  <c r="O16" i="75"/>
  <c r="N16" i="75"/>
  <c r="O6" i="75"/>
  <c r="N6" i="75"/>
  <c r="P6" i="75" s="1"/>
  <c r="L14" i="75"/>
  <c r="L12" i="75"/>
  <c r="L15" i="75"/>
  <c r="L17" i="75"/>
  <c r="L16" i="75"/>
  <c r="L10" i="75"/>
  <c r="L9" i="75"/>
  <c r="L7" i="75"/>
  <c r="L6" i="75"/>
  <c r="M14" i="75"/>
  <c r="M12" i="75"/>
  <c r="M15" i="75"/>
  <c r="M17" i="75"/>
  <c r="M16" i="75"/>
  <c r="M10" i="75"/>
  <c r="M9" i="75"/>
  <c r="P7" i="75"/>
  <c r="M7" i="75"/>
  <c r="M6" i="75"/>
  <c r="B6" i="75"/>
  <c r="B7" i="75" s="1"/>
  <c r="B8" i="75" l="1"/>
  <c r="B9" i="75" s="1"/>
  <c r="B10" i="75" s="1"/>
  <c r="B11" i="75" s="1"/>
  <c r="B12" i="75" s="1"/>
  <c r="B13" i="75" s="1"/>
  <c r="B14" i="75" s="1"/>
  <c r="B15" i="75" s="1"/>
  <c r="B16" i="75" s="1"/>
  <c r="B17" i="75" s="1"/>
  <c r="P9" i="75"/>
  <c r="P12" i="75"/>
  <c r="P17" i="75"/>
  <c r="P16" i="75"/>
  <c r="P15" i="75"/>
  <c r="P10" i="75"/>
  <c r="P14" i="75"/>
  <c r="O11" i="74"/>
  <c r="N11" i="74"/>
  <c r="M11" i="74"/>
  <c r="L11" i="74"/>
  <c r="B6" i="74"/>
  <c r="B7" i="74" s="1"/>
  <c r="B8" i="74" s="1"/>
  <c r="B9" i="74" s="1"/>
  <c r="B10" i="74" s="1"/>
  <c r="B11" i="74" s="1"/>
  <c r="B12" i="74" s="1"/>
  <c r="B13" i="74" s="1"/>
  <c r="B14" i="74" s="1"/>
  <c r="B15" i="74" s="1"/>
  <c r="B16" i="74" s="1"/>
  <c r="B17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11" i="74" l="1"/>
  <c r="P7" i="74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N7" i="73"/>
  <c r="B6" i="73" l="1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6" i="72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M15" i="71"/>
  <c r="L15" i="71"/>
  <c r="P15" i="71" l="1"/>
  <c r="O6" i="71"/>
  <c r="N6" i="71"/>
  <c r="O7" i="71"/>
  <c r="N7" i="71"/>
  <c r="O13" i="71"/>
  <c r="N13" i="71"/>
  <c r="O11" i="71"/>
  <c r="N11" i="71"/>
  <c r="O16" i="71"/>
  <c r="N16" i="71"/>
  <c r="M16" i="71"/>
  <c r="L16" i="71"/>
  <c r="O9" i="71"/>
  <c r="N9" i="71"/>
  <c r="M9" i="71"/>
  <c r="L9" i="71"/>
  <c r="O12" i="71"/>
  <c r="N12" i="71"/>
  <c r="O8" i="71"/>
  <c r="N8" i="71"/>
  <c r="M8" i="71"/>
  <c r="L8" i="71"/>
  <c r="P16" i="71" l="1"/>
  <c r="P9" i="7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O13" i="70"/>
  <c r="N13" i="70"/>
  <c r="O10" i="70"/>
  <c r="N10" i="70"/>
  <c r="O15" i="70"/>
  <c r="N15" i="70"/>
  <c r="N9" i="70"/>
  <c r="O9" i="70"/>
  <c r="O8" i="70"/>
  <c r="N8" i="70"/>
  <c r="M13" i="70"/>
  <c r="L13" i="70"/>
  <c r="M7" i="70"/>
  <c r="L7" i="70"/>
  <c r="M9" i="70"/>
  <c r="L9" i="70"/>
  <c r="M8" i="70"/>
  <c r="L8" i="70"/>
  <c r="P8" i="70" l="1"/>
  <c r="P9" i="70"/>
  <c r="P7" i="70"/>
  <c r="P13" i="70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6" i="69"/>
  <c r="B7" i="69" s="1"/>
  <c r="B8" i="69" s="1"/>
  <c r="B9" i="69" s="1"/>
  <c r="B10" i="69" s="1"/>
  <c r="B11" i="69" s="1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O6" i="68"/>
  <c r="N6" i="68"/>
  <c r="O10" i="68"/>
  <c r="N10" i="68"/>
  <c r="O9" i="68"/>
  <c r="N9" i="68"/>
  <c r="O12" i="68"/>
  <c r="N12" i="68"/>
  <c r="O7" i="68"/>
  <c r="N7" i="68"/>
  <c r="O11" i="68"/>
  <c r="N11" i="68"/>
  <c r="O8" i="68"/>
  <c r="N8" i="68"/>
  <c r="M10" i="68"/>
  <c r="L10" i="68"/>
  <c r="P10" i="68" l="1"/>
  <c r="P12" i="68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B8" i="68" s="1"/>
  <c r="B9" i="68" s="1"/>
  <c r="B10" i="68" s="1"/>
  <c r="B11" i="68" s="1"/>
  <c r="B12" i="68" s="1"/>
  <c r="P7" i="68" l="1"/>
  <c r="P11" i="68"/>
  <c r="B6" i="67"/>
  <c r="B7" i="67" s="1"/>
  <c r="B8" i="67" s="1"/>
  <c r="B9" i="67" s="1"/>
  <c r="B10" i="67" s="1"/>
  <c r="B11" i="67" s="1"/>
  <c r="B12" i="67" s="1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N12" i="66"/>
  <c r="M12" i="66"/>
  <c r="L12" i="66"/>
  <c r="O11" i="66"/>
  <c r="N11" i="66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12" i="66" l="1"/>
  <c r="P7" i="66"/>
  <c r="P11" i="66"/>
  <c r="P6" i="66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19" i="64" l="1"/>
  <c r="P7" i="64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N8" i="62"/>
  <c r="O6" i="62"/>
  <c r="N6" i="62"/>
  <c r="O14" i="62"/>
  <c r="N14" i="62"/>
  <c r="P14" i="62" s="1"/>
  <c r="O13" i="62"/>
  <c r="N13" i="62"/>
  <c r="P13" i="62" s="1"/>
  <c r="O11" i="62"/>
  <c r="N11" i="62"/>
  <c r="O10" i="62"/>
  <c r="N10" i="62"/>
  <c r="O12" i="62"/>
  <c r="N12" i="62"/>
  <c r="P12" i="62" s="1"/>
  <c r="O7" i="62"/>
  <c r="N7" i="62"/>
  <c r="P7" i="62" s="1"/>
  <c r="O9" i="62"/>
  <c r="N9" i="62"/>
  <c r="P9" i="62" s="1"/>
  <c r="M14" i="62"/>
  <c r="L14" i="62"/>
  <c r="M10" i="62"/>
  <c r="L10" i="62"/>
  <c r="M12" i="62"/>
  <c r="L12" i="62"/>
  <c r="M6" i="62"/>
  <c r="L6" i="62"/>
  <c r="M13" i="62"/>
  <c r="L13" i="62"/>
  <c r="M11" i="62"/>
  <c r="L11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O6" i="60"/>
  <c r="N6" i="60"/>
  <c r="O10" i="60"/>
  <c r="N10" i="60"/>
  <c r="B6" i="60"/>
  <c r="B7" i="60" s="1"/>
  <c r="B8" i="60" s="1"/>
  <c r="B9" i="60" s="1"/>
  <c r="B10" i="60" s="1"/>
  <c r="O9" i="60"/>
  <c r="N9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N9" i="59"/>
  <c r="O8" i="59"/>
  <c r="N8" i="59"/>
  <c r="O10" i="59"/>
  <c r="N10" i="59"/>
  <c r="M8" i="59"/>
  <c r="L8" i="59"/>
  <c r="M9" i="59"/>
  <c r="L9" i="59"/>
  <c r="M10" i="59"/>
  <c r="L10" i="59"/>
  <c r="M7" i="59"/>
  <c r="L7" i="59"/>
  <c r="O11" i="58"/>
  <c r="N11" i="58"/>
  <c r="O9" i="58"/>
  <c r="N9" i="58"/>
  <c r="O7" i="58"/>
  <c r="N7" i="58"/>
  <c r="M7" i="58"/>
  <c r="L7" i="58"/>
  <c r="O8" i="58"/>
  <c r="N8" i="58"/>
  <c r="M8" i="58"/>
  <c r="L8" i="58"/>
  <c r="O6" i="58"/>
  <c r="N6" i="58"/>
  <c r="O10" i="58"/>
  <c r="N10" i="58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N6" i="56"/>
  <c r="O11" i="56"/>
  <c r="N11" i="56"/>
  <c r="M11" i="56"/>
  <c r="L11" i="56"/>
  <c r="O10" i="56"/>
  <c r="N10" i="56"/>
  <c r="M10" i="56"/>
  <c r="L10" i="56"/>
  <c r="O9" i="56"/>
  <c r="N9" i="56"/>
  <c r="M9" i="56"/>
  <c r="L9" i="56"/>
  <c r="O8" i="56"/>
  <c r="N8" i="56"/>
  <c r="M8" i="56"/>
  <c r="L8" i="56"/>
  <c r="O7" i="56"/>
  <c r="N7" i="56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B6" i="56"/>
  <c r="B7" i="56" s="1"/>
  <c r="B8" i="56" s="1"/>
  <c r="B9" i="56" s="1"/>
  <c r="B10" i="56" s="1"/>
  <c r="B11" i="56" s="1"/>
  <c r="O11" i="55"/>
  <c r="N11" i="55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M7" i="54"/>
  <c r="L7" i="54"/>
  <c r="O6" i="54"/>
  <c r="N6" i="54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O8" i="53"/>
  <c r="N8" i="53"/>
  <c r="O10" i="53"/>
  <c r="N10" i="53"/>
  <c r="O9" i="53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O8" i="52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O7" i="49"/>
  <c r="N7" i="49"/>
  <c r="O9" i="49"/>
  <c r="N9" i="49"/>
  <c r="O10" i="49"/>
  <c r="N10" i="49"/>
  <c r="O8" i="49"/>
  <c r="N8" i="49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N10" i="48"/>
  <c r="O10" i="48"/>
  <c r="M10" i="48"/>
  <c r="L10" i="48"/>
  <c r="N9" i="48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11" i="57" l="1"/>
  <c r="P6" i="60"/>
  <c r="P8" i="59"/>
  <c r="P7" i="59"/>
  <c r="P9" i="49"/>
  <c r="P7" i="54"/>
  <c r="P10" i="53"/>
  <c r="P6" i="53"/>
  <c r="P11" i="55"/>
  <c r="P7" i="47"/>
  <c r="P8" i="49"/>
  <c r="P6" i="49"/>
  <c r="P8" i="52"/>
  <c r="P12" i="55"/>
  <c r="P7" i="56"/>
  <c r="P8" i="56"/>
  <c r="P9" i="56"/>
  <c r="P6" i="58"/>
  <c r="P11" i="58"/>
  <c r="P12" i="63"/>
  <c r="P9" i="46"/>
  <c r="P6" i="52"/>
  <c r="P9" i="53"/>
  <c r="P6" i="54"/>
  <c r="P6" i="56"/>
  <c r="P9" i="59"/>
  <c r="P6" i="61"/>
  <c r="P9" i="48"/>
  <c r="P7" i="50"/>
  <c r="P9" i="51"/>
  <c r="P10" i="58"/>
  <c r="P10" i="60"/>
  <c r="P7" i="60"/>
  <c r="P11" i="62"/>
  <c r="P8" i="62"/>
  <c r="P6" i="46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<sst xmlns="http://schemas.openxmlformats.org/spreadsheetml/2006/main" count="1963" uniqueCount="159">
  <si>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</si>
  <si>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</si>
  <si>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</si>
  <si>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</si>
  <si>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</si>
  <si>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</si>
  <si>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</si>
  <si>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</si>
  <si>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</si>
  <si>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</si>
  <si>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</si>
  <si>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</si>
  <si>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</si>
  <si>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</si>
  <si>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</si>
  <si>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</si>
  <si>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</si>
  <si>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</si>
  <si>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</si>
  <si>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</si>
  <si>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</si>
  <si>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</si>
  <si>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</si>
  <si>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</si>
  <si>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</si>
  <si>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</si>
  <si>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</si>
  <si>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</si>
  <si>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</si>
  <si>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</si>
  <si>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</si>
  <si>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</si>
  <si>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</si>
  <si>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</si>
  <si>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</si>
  <si>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</si>
  <si>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</si>
  <si>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</si>
  <si>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</si>
  <si>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</si>
  <si>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</si>
  <si>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</si>
  <si>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</si>
  <si>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</si>
  <si>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</si>
  <si>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</si>
  <si>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</si>
  <si>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</si>
  <si>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</si>
  <si>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</si>
  <si>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</si>
  <si>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</si>
  <si>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</si>
  <si>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</si>
  <si>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</si>
  <si>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</si>
  <si>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</si>
  <si>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</si>
  <si>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</si>
  <si>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</si>
  <si>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</si>
  <si>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</si>
  <si>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</si>
  <si>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</si>
  <si>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</si>
  <si>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</si>
  <si>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</si>
  <si>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</si>
  <si>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</si>
  <si>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</si>
  <si>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</si>
  <si>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</si>
  <si>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</si>
  <si>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</si>
  <si>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</si>
  <si>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</si>
  <si>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</si>
  <si>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</si>
  <si>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</si>
  <si>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</si>
  <si>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</si>
  <si>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</si>
  <si>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</si>
  <si>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</si>
  <si>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</si>
  <si>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</si>
  <si>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</si>
  <si>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</si>
  <si>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</si>
  <si>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</si>
  <si>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</si>
  <si>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</si>
  <si>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</si>
  <si>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</si>
  <si>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</si>
  <si>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</si>
  <si>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</si>
  <si>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</si>
  <si>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</si>
  <si>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</si>
  <si>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</si>
  <si>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</si>
  <si>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</si>
  <si>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</si>
  <si>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</si>
  <si>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</si>
  <si>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</si>
  <si>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</si>
  <si>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</si>
  <si>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</si>
  <si>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</si>
  <si>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</si>
  <si>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</si>
  <si>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</si>
  <si>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</si>
  <si>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</si>
  <si>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</si>
  <si>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</si>
  <si>
    <t>2015 / 30</t>
  </si>
  <si>
    <t>24 - 30 Temmuz 2015</t>
  </si>
  <si>
    <t>CAPRICE</t>
  </si>
  <si>
    <t>2015 / 31</t>
  </si>
  <si>
    <t>31 Temmuz - 06 Ağustos 2015</t>
  </si>
  <si>
    <t>2015 / 32</t>
  </si>
  <si>
    <t>07 - 13 Ağustos 2015</t>
  </si>
  <si>
    <t>WISH I WAS HERE</t>
  </si>
  <si>
    <t>ALBERT</t>
  </si>
  <si>
    <t>YENİ FİLM</t>
  </si>
  <si>
    <t>LEMON TREE PASSAGE</t>
  </si>
  <si>
    <t>2015 / 33</t>
  </si>
  <si>
    <t>14 - 20 Ağustos 2015</t>
  </si>
  <si>
    <t>GIFT, THE</t>
  </si>
  <si>
    <t>2015 / 34</t>
  </si>
  <si>
    <t>21 - 27 Ağustos 2015</t>
  </si>
  <si>
    <t>SINISTER 2</t>
  </si>
  <si>
    <t>2015 / 35</t>
  </si>
  <si>
    <t>28 Ağustos - 03 Eylül 2015</t>
  </si>
  <si>
    <t>WE ARE YOUR FRIENDS</t>
  </si>
  <si>
    <t>2015 / 36</t>
  </si>
  <si>
    <t>04 - 10 Eylül 2015</t>
  </si>
  <si>
    <t>EXETER (BACKMASK)</t>
  </si>
  <si>
    <t>2015 / 37</t>
  </si>
  <si>
    <t>11 - 17 Eylül 2015</t>
  </si>
  <si>
    <t>STAND BY ME DORAEMON</t>
  </si>
  <si>
    <t>BEFORE WE GO</t>
  </si>
  <si>
    <t>2015 / 38</t>
  </si>
  <si>
    <t>18 - 24 Eylül 2015</t>
  </si>
  <si>
    <t>2015 / 39</t>
  </si>
  <si>
    <t>25 Eylül - 01 Ekim 2015</t>
  </si>
  <si>
    <t>YOK ARTIK</t>
  </si>
  <si>
    <t>AC FİLM</t>
  </si>
  <si>
    <t>HAUNTER</t>
  </si>
  <si>
    <t>BULANTI</t>
  </si>
  <si>
    <t>MAVİ FİLM</t>
  </si>
  <si>
    <t>2015 / 40</t>
  </si>
  <si>
    <t>02 - 08 Ekim 2015</t>
  </si>
  <si>
    <t>2015 / 41</t>
  </si>
  <si>
    <t>09 - 15 Ekim 2015</t>
  </si>
  <si>
    <t>IRRATIONAL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</si>
</sst>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.00\ \ "/>
    <numFmt numFmtId="168" formatCode="#,##0\ "/>
    <numFmt numFmtId="169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8" fontId="6" fillId="0" borderId="25" xfId="0" applyNumberFormat="1" applyFont="1" applyFill="1" applyBorder="1" applyAlignment="1" applyProtection="1">
      <alignment horizontal="center" vertical="center" wrapText="1"/>
    </xf>
    <xf numFmtId="166" fontId="6" fillId="0" borderId="26" xfId="0" applyNumberFormat="1" applyFont="1" applyFill="1" applyBorder="1" applyAlignment="1" applyProtection="1">
      <alignment horizontal="center" vertical="center" wrapTex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7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8" fontId="8" fillId="3" borderId="35" xfId="2" applyNumberFormat="1" applyFont="1" applyFill="1" applyBorder="1" applyAlignment="1">
      <alignment horizontal="right" vertical="center" shrinkToFit="1"/>
    </xf>
    <xf numFmtId="166" fontId="8" fillId="3" borderId="38" xfId="2" applyNumberFormat="1" applyFont="1" applyFill="1" applyBorder="1" applyAlignment="1">
      <alignment vertical="center" shrinkToFit="1"/>
    </xf>
    <xf numFmtId="167" fontId="8" fillId="0" borderId="37" xfId="0" applyNumberFormat="1" applyFont="1" applyFill="1" applyBorder="1" applyAlignment="1">
      <alignment vertical="center" shrinkToFit="1"/>
    </xf>
    <xf numFmtId="168" fontId="8" fillId="0" borderId="35" xfId="2" applyNumberFormat="1" applyFont="1" applyFill="1" applyBorder="1" applyAlignment="1" applyProtection="1">
      <alignment vertical="center" shrinkToFit="1"/>
      <protection locked="0"/>
    </xf>
    <xf numFmtId="167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7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7" fontId="8" fillId="0" borderId="14" xfId="0" applyNumberFormat="1" applyFont="1" applyFill="1" applyBorder="1" applyAlignment="1">
      <alignment vertical="center" shrinkToFit="1"/>
    </xf>
    <xf numFmtId="168" fontId="8" fillId="0" borderId="11" xfId="2" applyNumberFormat="1" applyFont="1" applyFill="1" applyBorder="1" applyAlignment="1" applyProtection="1">
      <alignment vertical="center" shrinkToFit="1"/>
      <protection locked="0"/>
    </xf>
    <xf numFmtId="169" fontId="8" fillId="3" borderId="10" xfId="0" applyNumberFormat="1" applyFont="1" applyFill="1" applyBorder="1" applyAlignment="1">
      <alignment horizontal="left" vertical="center" shrinkToFit="1"/>
    </xf>
    <xf numFmtId="165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8" fontId="8" fillId="3" borderId="11" xfId="2" applyNumberFormat="1" applyFont="1" applyFill="1" applyBorder="1" applyAlignment="1">
      <alignment horizontal="right" vertical="center" shrinkToFit="1"/>
    </xf>
    <xf numFmtId="166" fontId="8" fillId="3" borderId="15" xfId="2" applyNumberFormat="1" applyFont="1" applyFill="1" applyBorder="1" applyAlignment="1">
      <alignment vertical="center" shrinkToFit="1"/>
    </xf>
    <xf numFmtId="167" fontId="8" fillId="3" borderId="15" xfId="0" applyNumberFormat="1" applyFont="1" applyFill="1" applyBorder="1" applyAlignment="1">
      <alignment vertical="center" shrinkToFit="1"/>
    </xf>
    <xf numFmtId="169" fontId="8" fillId="3" borderId="31" xfId="0" applyNumberFormat="1" applyFont="1" applyFill="1" applyBorder="1" applyAlignment="1">
      <alignment horizontal="left" vertical="center" shrinkToFit="1"/>
    </xf>
    <xf numFmtId="165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8" fontId="8" fillId="3" borderId="28" xfId="2" applyNumberFormat="1" applyFont="1" applyFill="1" applyBorder="1" applyAlignment="1">
      <alignment horizontal="right" vertical="center" shrinkToFit="1"/>
    </xf>
    <xf numFmtId="166" fontId="8" fillId="3" borderId="29" xfId="2" applyNumberFormat="1" applyFont="1" applyFill="1" applyBorder="1" applyAlignment="1">
      <alignment vertical="center" shrinkToFit="1"/>
    </xf>
    <xf numFmtId="167" fontId="4" fillId="0" borderId="27" xfId="2" applyNumberFormat="1" applyFont="1" applyFill="1" applyBorder="1" applyAlignment="1" applyProtection="1">
      <alignment horizontal="right" vertical="center" shrinkToFit="1"/>
    </xf>
    <xf numFmtId="167" fontId="8" fillId="0" borderId="27" xfId="0" applyNumberFormat="1" applyFont="1" applyFill="1" applyBorder="1" applyAlignment="1">
      <alignment vertical="center" shrinkToFit="1"/>
    </xf>
    <xf numFmtId="168" fontId="8" fillId="0" borderId="28" xfId="2" applyNumberFormat="1" applyFont="1" applyFill="1" applyBorder="1" applyAlignment="1" applyProtection="1">
      <alignment vertical="center" shrinkToFit="1"/>
      <protection locked="0"/>
    </xf>
    <xf numFmtId="167" fontId="8" fillId="3" borderId="29" xfId="0" applyNumberFormat="1" applyFont="1" applyFill="1" applyBorder="1" applyAlignment="1">
      <alignment vertical="center" shrinkToFit="1"/>
    </xf>
    <xf numFmtId="169" fontId="8" fillId="3" borderId="39" xfId="0" applyNumberFormat="1" applyFont="1" applyFill="1" applyBorder="1" applyAlignment="1">
      <alignment horizontal="left" vertical="center" shrinkToFit="1"/>
    </xf>
    <xf numFmtId="165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7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8" fontId="8" fillId="3" borderId="42" xfId="2" applyNumberFormat="1" applyFont="1" applyFill="1" applyBorder="1" applyAlignment="1">
      <alignment horizontal="right" vertical="center" shrinkToFit="1"/>
    </xf>
    <xf numFmtId="166" fontId="8" fillId="3" borderId="45" xfId="2" applyNumberFormat="1" applyFont="1" applyFill="1" applyBorder="1" applyAlignment="1">
      <alignment vertical="center" shrinkToFit="1"/>
    </xf>
    <xf numFmtId="167" fontId="8" fillId="0" borderId="44" xfId="0" applyNumberFormat="1" applyFont="1" applyFill="1" applyBorder="1" applyAlignment="1">
      <alignment vertical="center" shrinkToFit="1"/>
    </xf>
    <xf numFmtId="168" fontId="8" fillId="0" borderId="42" xfId="2" applyNumberFormat="1" applyFont="1" applyFill="1" applyBorder="1" applyAlignment="1" applyProtection="1">
      <alignment vertical="center" shrinkToFit="1"/>
      <protection locked="0"/>
    </xf>
    <xf numFmtId="167" fontId="8" fillId="3" borderId="45" xfId="0" applyNumberFormat="1" applyFont="1" applyFill="1" applyBorder="1" applyAlignment="1">
      <alignment vertical="center" shrinkToFit="1"/>
    </xf>
    <xf numFmtId="167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7" fontId="8" fillId="4" borderId="37" xfId="0" applyNumberFormat="1" applyFont="1" applyFill="1" applyBorder="1" applyAlignment="1">
      <alignment vertical="center" shrinkToFit="1"/>
    </xf>
    <xf numFmtId="168" fontId="8" fillId="4" borderId="35" xfId="2" applyNumberFormat="1" applyFont="1" applyFill="1" applyBorder="1" applyAlignment="1" applyProtection="1">
      <alignment vertical="center" shrinkToFit="1"/>
      <protection locked="0"/>
    </xf>
    <xf numFmtId="167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7" fontId="8" fillId="4" borderId="27" xfId="0" applyNumberFormat="1" applyFont="1" applyFill="1" applyBorder="1" applyAlignment="1">
      <alignment vertical="center" shrinkToFit="1"/>
    </xf>
    <xf numFmtId="168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/>
    </xf>
    <xf numFmtId="169" fontId="8" fillId="3" borderId="48" xfId="0" applyNumberFormat="1" applyFont="1" applyFill="1" applyBorder="1" applyAlignment="1">
      <alignment horizontal="left" vertical="center" shrinkToFit="1"/>
    </xf>
    <xf numFmtId="165" fontId="8" fillId="3" borderId="35" xfId="0" applyNumberFormat="1" applyFont="1" applyFill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left" vertical="center" shrinkToFit="1"/>
    </xf>
    <xf numFmtId="0" fontId="8" fillId="3" borderId="49" xfId="0" applyFont="1" applyFill="1" applyBorder="1" applyAlignment="1">
      <alignment horizontal="left" vertical="center" shrinkToFit="1"/>
    </xf>
    <xf numFmtId="0" fontId="8" fillId="3" borderId="35" xfId="0" applyFont="1" applyFill="1" applyBorder="1" applyAlignment="1">
      <alignment horizontal="center" vertical="center" shrinkToFit="1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6" fontId="5" fillId="0" borderId="7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64" fontId="5" fillId="0" borderId="2" xfId="1" applyFont="1" applyFill="1" applyBorder="1" applyAlignment="1" applyProtection="1">
      <alignment horizontal="center" vertical="center"/>
    </xf>
    <xf numFmtId="164" fontId="5" fillId="0" borderId="21" xfId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156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157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149</v>
      </c>
      <c r="D6" s="45">
        <v>42272</v>
      </c>
      <c r="E6" s="46" t="s">
        <v>9</v>
      </c>
      <c r="F6" s="47" t="s">
        <v>150</v>
      </c>
      <c r="G6" s="48">
        <v>183</v>
      </c>
      <c r="H6" s="49">
        <v>161</v>
      </c>
      <c r="I6" s="50">
        <v>3</v>
      </c>
      <c r="J6" s="53">
        <v>504248.76</v>
      </c>
      <c r="K6" s="16">
        <v>42754</v>
      </c>
      <c r="L6" s="51">
        <f t="shared" ref="L6:L9" si="0">K6/H6</f>
        <v>265.55279503105589</v>
      </c>
      <c r="M6" s="52">
        <f t="shared" ref="M6:M9" si="1">+J6/K6</f>
        <v>11.794189081723347</v>
      </c>
      <c r="N6" s="54">
        <f>1398777.4+920889.38+504248.76</f>
        <v>2823915.54</v>
      </c>
      <c r="O6" s="55">
        <f>121079+79347+42754</f>
        <v>243180</v>
      </c>
      <c r="P6" s="56">
        <f t="shared" ref="P6:P9" si="2">N6/O6</f>
        <v>11.612449790278806</v>
      </c>
      <c r="Q6" s="29"/>
      <c r="R6" s="29"/>
      <c r="S6" s="29"/>
    </row>
    <row r="7" spans="1:19" s="3" customFormat="1" ht="22.5" customHeight="1" x14ac:dyDescent="0.25">
      <c r="B7" s="18">
        <f t="shared" ref="B7:B13" si="3">B6+1</f>
        <v>2</v>
      </c>
      <c r="C7" s="82" t="s">
        <v>158</v>
      </c>
      <c r="D7" s="83">
        <v>42286</v>
      </c>
      <c r="E7" s="84" t="s">
        <v>9</v>
      </c>
      <c r="F7" s="84" t="s">
        <v>9</v>
      </c>
      <c r="G7" s="86">
        <v>24</v>
      </c>
      <c r="H7" s="19">
        <v>29</v>
      </c>
      <c r="I7" s="20">
        <v>1</v>
      </c>
      <c r="J7" s="21">
        <v>156361.76</v>
      </c>
      <c r="K7" s="22">
        <v>9943</v>
      </c>
      <c r="L7" s="23">
        <f>K7/H7</f>
        <v>342.86206896551727</v>
      </c>
      <c r="M7" s="24">
        <f>+J7/K7</f>
        <v>15.725813134868753</v>
      </c>
      <c r="N7" s="25">
        <f>156361.76</f>
        <v>156361.76</v>
      </c>
      <c r="O7" s="26">
        <f>9943</f>
        <v>9943</v>
      </c>
      <c r="P7" s="27">
        <f>N7/O7</f>
        <v>15.725813134868753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152</v>
      </c>
      <c r="D8" s="58">
        <v>42279</v>
      </c>
      <c r="E8" s="59" t="s">
        <v>9</v>
      </c>
      <c r="F8" s="60" t="s">
        <v>153</v>
      </c>
      <c r="G8" s="61">
        <v>24</v>
      </c>
      <c r="H8" s="19">
        <v>22</v>
      </c>
      <c r="I8" s="20">
        <v>2</v>
      </c>
      <c r="J8" s="21">
        <v>40638</v>
      </c>
      <c r="K8" s="22">
        <v>3202</v>
      </c>
      <c r="L8" s="23">
        <f>K8/H8</f>
        <v>145.54545454545453</v>
      </c>
      <c r="M8" s="24">
        <f>+J8/K8</f>
        <v>12.691442848219863</v>
      </c>
      <c r="N8" s="25">
        <f>12897+101971.5+40638</f>
        <v>155506.5</v>
      </c>
      <c r="O8" s="26">
        <f>1129+7547+3202</f>
        <v>11878</v>
      </c>
      <c r="P8" s="27">
        <f>N8/O8</f>
        <v>13.091976763764944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1</v>
      </c>
      <c r="I9" s="20">
        <v>25</v>
      </c>
      <c r="J9" s="21">
        <v>2376</v>
      </c>
      <c r="K9" s="22">
        <v>475</v>
      </c>
      <c r="L9" s="23">
        <f>K9/H9</f>
        <v>475</v>
      </c>
      <c r="M9" s="24">
        <f>+J9/K9</f>
        <v>5.0021052631578948</v>
      </c>
      <c r="N9" s="25">
        <f>4241+362258.96+222136.17+49398.98+7963+5272.5+3175+2140+739+469+91+2372+2393+1550+1155+2464+72+1782+184+160+496+1425.6+1352+1425.6+2613.6+2376</f>
        <v>679705.40999999992</v>
      </c>
      <c r="O9" s="26">
        <f>748+36807+24128+5499+982+687+504+269+97+64+13+438+360+285+253+487+10+356+23+20+62+285+104+285+523+475</f>
        <v>73764</v>
      </c>
      <c r="P9" s="27">
        <f>N9/O9</f>
        <v>9.2145953310557989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143</v>
      </c>
      <c r="D10" s="58">
        <v>42258</v>
      </c>
      <c r="E10" s="59" t="s">
        <v>9</v>
      </c>
      <c r="F10" s="60" t="s">
        <v>127</v>
      </c>
      <c r="G10" s="61">
        <v>49</v>
      </c>
      <c r="H10" s="19">
        <v>6</v>
      </c>
      <c r="I10" s="20">
        <v>5</v>
      </c>
      <c r="J10" s="21">
        <v>2075.5</v>
      </c>
      <c r="K10" s="22">
        <v>304</v>
      </c>
      <c r="L10" s="23">
        <f>K10/H10</f>
        <v>50.666666666666664</v>
      </c>
      <c r="M10" s="24">
        <f>+J10/K10</f>
        <v>6.8273026315789478</v>
      </c>
      <c r="N10" s="25">
        <f>318040.86+205565.07+42500.5+6126+2075.5</f>
        <v>574307.92999999993</v>
      </c>
      <c r="O10" s="26">
        <f>26257+16592+3379+653+304</f>
        <v>47185</v>
      </c>
      <c r="P10" s="27">
        <f>N10/O10</f>
        <v>12.171408922327009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21</v>
      </c>
      <c r="J11" s="21">
        <v>1188</v>
      </c>
      <c r="K11" s="22">
        <v>238</v>
      </c>
      <c r="L11" s="23">
        <f>K11/H11</f>
        <v>238</v>
      </c>
      <c r="M11" s="24">
        <f>+J11/K11</f>
        <v>4.9915966386554622</v>
      </c>
      <c r="N11" s="25">
        <f>371891.95+241999.75+69894+20187.87+18724.1+22951.5+4635.5+1896+668+3460.6+242+394+1425.6+951+128+364+419+1742+1782+1425.6+1188</f>
        <v>766370.46999999986</v>
      </c>
      <c r="O11" s="26">
        <f>33703+24038+8305+2721+2351+2413+517+210+165+873+30+51+285+129+16+38+45+134+356+285+238</f>
        <v>76903</v>
      </c>
      <c r="P11" s="27">
        <f>N11/O11</f>
        <v>9.9654170838588847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19</v>
      </c>
      <c r="D12" s="58">
        <v>41831</v>
      </c>
      <c r="E12" s="59" t="s">
        <v>9</v>
      </c>
      <c r="F12" s="60" t="s">
        <v>20</v>
      </c>
      <c r="G12" s="61">
        <v>35</v>
      </c>
      <c r="H12" s="19">
        <v>1</v>
      </c>
      <c r="I12" s="20">
        <v>23</v>
      </c>
      <c r="J12" s="21">
        <v>750</v>
      </c>
      <c r="K12" s="22">
        <v>49</v>
      </c>
      <c r="L12" s="23">
        <f>K12/H12</f>
        <v>49</v>
      </c>
      <c r="M12" s="24">
        <f>+J12/K12</f>
        <v>15.306122448979592</v>
      </c>
      <c r="N12" s="25">
        <f>204425.4+130339.21+47866.4+41040.53+24854.45+10673+4557.5+1594+1611.5+4273+260+202.5+1010+8553.6+1425.6+1425.6+600+712.8+600+950.4+1425.6+1782+750</f>
        <v>490933.08999999997</v>
      </c>
      <c r="O12" s="26">
        <f>19421+12650+4370+3566+2047+958+545+202+192+659+33+26+109+1176+285+285+49+143+49+190+285+356+49</f>
        <v>47645</v>
      </c>
      <c r="P12" s="27">
        <f>N12/O12</f>
        <v>10.303979221324377</v>
      </c>
      <c r="Q12" s="29"/>
      <c r="R12" s="29"/>
      <c r="S12" s="29"/>
    </row>
    <row r="13" spans="1:19" s="3" customFormat="1" ht="22.5" customHeight="1" thickBot="1" x14ac:dyDescent="0.3">
      <c r="B13" s="80">
        <f t="shared" si="3"/>
        <v>8</v>
      </c>
      <c r="C13" s="36" t="s">
        <v>30</v>
      </c>
      <c r="D13" s="37">
        <v>41782</v>
      </c>
      <c r="E13" s="38" t="s">
        <v>9</v>
      </c>
      <c r="F13" s="39" t="s">
        <v>9</v>
      </c>
      <c r="G13" s="40">
        <v>30</v>
      </c>
      <c r="H13" s="30">
        <v>1</v>
      </c>
      <c r="I13" s="31">
        <v>33</v>
      </c>
      <c r="J13" s="32">
        <v>128</v>
      </c>
      <c r="K13" s="33">
        <v>16</v>
      </c>
      <c r="L13" s="41">
        <f>K13/H13</f>
        <v>16</v>
      </c>
      <c r="M13" s="42">
        <f>+J13/K13</f>
        <v>8</v>
      </c>
      <c r="N13" s="34">
        <f>95967.35+76227.39+34644.5+27256+29590.5+12797.63+9801.17+8948.5+7152.5+16352.94+12150.29+7448.1+8486.06+7400.64+5579.56+3486.52+760+1010+454+162+694+385+790+774+950.4+449+534+379+430+70+165+236+128</f>
        <v>371660.05</v>
      </c>
      <c r="O13" s="35">
        <f>9552+7384+3615+3071+3349+1439+1120+971+812+1886+1381+880+989+926+692+485+91+116+49+24+62+55+154+96+190+74+173+126+86+14+33+31+16</f>
        <v>39942</v>
      </c>
      <c r="P13" s="43">
        <f>N13/O13</f>
        <v>9.3049934905613139</v>
      </c>
      <c r="Q13" s="29"/>
      <c r="R13" s="29"/>
      <c r="S13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126</v>
      </c>
      <c r="D6" s="45">
        <v>42223</v>
      </c>
      <c r="E6" s="46" t="s">
        <v>9</v>
      </c>
      <c r="F6" s="47" t="s">
        <v>127</v>
      </c>
      <c r="G6" s="48">
        <v>50</v>
      </c>
      <c r="H6" s="49">
        <v>134</v>
      </c>
      <c r="I6" s="50">
        <v>1</v>
      </c>
      <c r="J6" s="53">
        <v>219626.68</v>
      </c>
      <c r="K6" s="16">
        <v>20459</v>
      </c>
      <c r="L6" s="51">
        <f t="shared" ref="L6:L7" si="0">K6/H6</f>
        <v>152.67910447761193</v>
      </c>
      <c r="M6" s="52">
        <f t="shared" ref="M6:M7" si="1">+J6/K6</f>
        <v>10.734966518402659</v>
      </c>
      <c r="N6" s="54">
        <f>219626.68</f>
        <v>219626.68</v>
      </c>
      <c r="O6" s="55">
        <f>20459</f>
        <v>20459</v>
      </c>
      <c r="P6" s="56">
        <f t="shared" ref="P6:P7" si="2">N6/O6</f>
        <v>10.734966518402659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128</v>
      </c>
      <c r="D7" s="58">
        <v>42223</v>
      </c>
      <c r="E7" s="59" t="s">
        <v>9</v>
      </c>
      <c r="F7" s="60" t="s">
        <v>104</v>
      </c>
      <c r="G7" s="61">
        <v>45</v>
      </c>
      <c r="H7" s="19">
        <v>91</v>
      </c>
      <c r="I7" s="20">
        <v>1</v>
      </c>
      <c r="J7" s="21">
        <v>141997.32999999999</v>
      </c>
      <c r="K7" s="22">
        <v>13581</v>
      </c>
      <c r="L7" s="23">
        <f t="shared" si="0"/>
        <v>149.24175824175825</v>
      </c>
      <c r="M7" s="24">
        <f t="shared" si="1"/>
        <v>10.455587217436124</v>
      </c>
      <c r="N7" s="25">
        <f>141997.33</f>
        <v>141997.32999999999</v>
      </c>
      <c r="O7" s="26">
        <f>13581</f>
        <v>13581</v>
      </c>
      <c r="P7" s="27">
        <f t="shared" si="2"/>
        <v>10.455587217436124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115</v>
      </c>
      <c r="D8" s="58">
        <v>42202</v>
      </c>
      <c r="E8" s="59" t="s">
        <v>9</v>
      </c>
      <c r="F8" s="60" t="s">
        <v>9</v>
      </c>
      <c r="G8" s="61">
        <v>51</v>
      </c>
      <c r="H8" s="19">
        <v>8</v>
      </c>
      <c r="I8" s="20">
        <v>4</v>
      </c>
      <c r="J8" s="21">
        <v>4870.5</v>
      </c>
      <c r="K8" s="22">
        <v>509</v>
      </c>
      <c r="L8" s="23">
        <f t="shared" ref="L8:L14" si="4">K8/H8</f>
        <v>63.625</v>
      </c>
      <c r="M8" s="24">
        <f t="shared" ref="M8:M14" si="5">+J8/K8</f>
        <v>9.5687622789783884</v>
      </c>
      <c r="N8" s="25">
        <f>219982.98+68491.3+22743.5+4870.5</f>
        <v>316088.28000000003</v>
      </c>
      <c r="O8" s="26">
        <f>21611+6617+2076+509</f>
        <v>30813</v>
      </c>
      <c r="P8" s="27">
        <f t="shared" ref="P8:P14" si="6">N8/O8</f>
        <v>10.258276701392271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4</v>
      </c>
      <c r="I9" s="20">
        <v>6</v>
      </c>
      <c r="J9" s="21">
        <v>2198</v>
      </c>
      <c r="K9" s="22">
        <v>259</v>
      </c>
      <c r="L9" s="23">
        <f>K9/H9</f>
        <v>64.75</v>
      </c>
      <c r="M9" s="24">
        <f>+J9/K9</f>
        <v>8.486486486486486</v>
      </c>
      <c r="N9" s="25">
        <f>67551+29032.73+8961.6+164.5+3304.5+2198</f>
        <v>111212.33</v>
      </c>
      <c r="O9" s="26">
        <f>5607+2375+841+21+380+259</f>
        <v>9483</v>
      </c>
      <c r="P9" s="27">
        <f>N9/O9</f>
        <v>11.727547189707899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125</v>
      </c>
      <c r="D10" s="58">
        <v>41852</v>
      </c>
      <c r="E10" s="59" t="s">
        <v>9</v>
      </c>
      <c r="F10" s="60" t="s">
        <v>29</v>
      </c>
      <c r="G10" s="61">
        <v>9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92729.6+41511.8+4266+4056.5+2703.5+1782</f>
        <v>147049.40000000002</v>
      </c>
      <c r="O10" s="26">
        <f>6247+3126+257+774+516+356</f>
        <v>11276</v>
      </c>
      <c r="P10" s="27">
        <f>N10/O10</f>
        <v>13.04091876551969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23</v>
      </c>
      <c r="D11" s="58">
        <v>41985</v>
      </c>
      <c r="E11" s="59" t="s">
        <v>9</v>
      </c>
      <c r="F11" s="60" t="s">
        <v>9</v>
      </c>
      <c r="G11" s="61">
        <v>6</v>
      </c>
      <c r="H11" s="19">
        <v>1</v>
      </c>
      <c r="I11" s="20">
        <v>11</v>
      </c>
      <c r="J11" s="21">
        <v>1425.6</v>
      </c>
      <c r="K11" s="22">
        <v>285</v>
      </c>
      <c r="L11" s="23">
        <f t="shared" ref="L11" si="7">K11/H11</f>
        <v>285</v>
      </c>
      <c r="M11" s="24">
        <f t="shared" ref="M11" si="8">+J11/K11</f>
        <v>5.0021052631578948</v>
      </c>
      <c r="N11" s="25">
        <f>8510.8+3886.5+2097.5+617+108+1288+1217+2387+1022+1194+1425.6</f>
        <v>23753.399999999998</v>
      </c>
      <c r="O11" s="26">
        <f>645+331+220+36+14+161+265+494+209+372+285</f>
        <v>3032</v>
      </c>
      <c r="P11" s="27">
        <f t="shared" ref="P11" si="9">N11/O11</f>
        <v>7.8342348284960419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116</v>
      </c>
      <c r="D12" s="58">
        <v>42202</v>
      </c>
      <c r="E12" s="59" t="s">
        <v>9</v>
      </c>
      <c r="F12" s="60" t="s">
        <v>117</v>
      </c>
      <c r="G12" s="61">
        <v>56</v>
      </c>
      <c r="H12" s="19">
        <v>3</v>
      </c>
      <c r="I12" s="20">
        <v>4</v>
      </c>
      <c r="J12" s="21">
        <v>901</v>
      </c>
      <c r="K12" s="22">
        <v>106</v>
      </c>
      <c r="L12" s="23">
        <f t="shared" si="4"/>
        <v>35.333333333333336</v>
      </c>
      <c r="M12" s="24">
        <f t="shared" si="5"/>
        <v>8.5</v>
      </c>
      <c r="N12" s="25">
        <f>184618.24+54686.02+11326.21+901</f>
        <v>251531.46999999997</v>
      </c>
      <c r="O12" s="26">
        <f>18571+5704+1167+106</f>
        <v>25548</v>
      </c>
      <c r="P12" s="27">
        <f t="shared" si="6"/>
        <v>9.8454466103021758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38</v>
      </c>
      <c r="J13" s="21">
        <v>424</v>
      </c>
      <c r="K13" s="22">
        <v>41</v>
      </c>
      <c r="L13" s="23">
        <f>K13/H13</f>
        <v>41</v>
      </c>
      <c r="M13" s="24">
        <f>+J13/K13</f>
        <v>10.341463414634147</v>
      </c>
      <c r="N13" s="25">
        <f>1099708.11+593370.74+224185+52839.5+17039.5+9578+7414+5098+4983.5+10660.5+14194.5+2400+3550+2380.5+7656.5+4091.5+1713+2737+828+128+4019.35+696+742+3681+1237+1911+1320+2988+1801+2002+865+891+666+1977+185+70+1223+424</f>
        <v>2091254.2000000002</v>
      </c>
      <c r="O13" s="26">
        <f>102148+56106+22339+5539+1692+934+809+597+525+1619+1502+226+582+302+1163+486+470+558+154+16+730+93+96+595+155+233+216+393+237+257+118+138+96+381+25+14+245+41</f>
        <v>201830</v>
      </c>
      <c r="P13" s="27">
        <f>N13/O13</f>
        <v>10.36146360798692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120</v>
      </c>
      <c r="D14" s="58">
        <v>42209</v>
      </c>
      <c r="E14" s="59" t="s">
        <v>9</v>
      </c>
      <c r="F14" s="60" t="s">
        <v>29</v>
      </c>
      <c r="G14" s="61">
        <v>9</v>
      </c>
      <c r="H14" s="19">
        <v>2</v>
      </c>
      <c r="I14" s="20">
        <v>3</v>
      </c>
      <c r="J14" s="21">
        <v>421.5</v>
      </c>
      <c r="K14" s="22">
        <v>58</v>
      </c>
      <c r="L14" s="23">
        <f t="shared" si="4"/>
        <v>29</v>
      </c>
      <c r="M14" s="24">
        <f t="shared" si="5"/>
        <v>7.2672413793103452</v>
      </c>
      <c r="N14" s="25">
        <f>13656.92+5657.5+421.5</f>
        <v>19735.919999999998</v>
      </c>
      <c r="O14" s="26">
        <f>1003+438+58</f>
        <v>1499</v>
      </c>
      <c r="P14" s="27">
        <f t="shared" si="6"/>
        <v>13.166057371581052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31</v>
      </c>
      <c r="J15" s="64">
        <v>48</v>
      </c>
      <c r="K15" s="65">
        <v>7</v>
      </c>
      <c r="L15" s="66">
        <f>K15/H15</f>
        <v>7</v>
      </c>
      <c r="M15" s="67">
        <f>+J15/K15</f>
        <v>6.8571428571428568</v>
      </c>
      <c r="N15" s="68">
        <f>73428.48+65677.81+40435.99+20437+22258.56+12040.44+17815.52+6634+2166+2694+5184+2502+3981+1205+69+696+782+2067.5+665+2013.6+288+258+96+400+264+184+30+536+124+108+48</f>
        <v>285088.89999999991</v>
      </c>
      <c r="O15" s="69">
        <f>7463+6959+4805+2294+2518+1280+2169+965+358+347+662+324+455+143+13+136+154+177+51+403+36+32+12+50+33+23+5+85+20+17+7</f>
        <v>31996</v>
      </c>
      <c r="P15" s="70">
        <f>N15/O15</f>
        <v>8.9101418927365899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122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27</v>
      </c>
      <c r="I6" s="50">
        <v>3</v>
      </c>
      <c r="J6" s="53">
        <v>22743.5</v>
      </c>
      <c r="K6" s="16">
        <v>2076</v>
      </c>
      <c r="L6" s="51">
        <f t="shared" ref="L6:L13" si="0">K6/H6</f>
        <v>76.888888888888886</v>
      </c>
      <c r="M6" s="52">
        <f t="shared" ref="M6" si="1">+J6/K6</f>
        <v>10.955443159922929</v>
      </c>
      <c r="N6" s="54">
        <f>219982.98+68491.3+22743.5</f>
        <v>311217.78000000003</v>
      </c>
      <c r="O6" s="55">
        <f>21611+6617+2076</f>
        <v>30304</v>
      </c>
      <c r="P6" s="56">
        <f t="shared" ref="P6" si="2">N6/O6</f>
        <v>10.269858104540656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25</v>
      </c>
      <c r="I7" s="20">
        <v>3</v>
      </c>
      <c r="J7" s="21">
        <v>11326.21</v>
      </c>
      <c r="K7" s="22">
        <v>1167</v>
      </c>
      <c r="L7" s="23">
        <f t="shared" si="0"/>
        <v>46.68</v>
      </c>
      <c r="M7" s="24">
        <f t="shared" ref="M7:M12" si="4">+J7/K7</f>
        <v>9.7054070265638384</v>
      </c>
      <c r="N7" s="25">
        <f>184618.24+54686.02+11326.21</f>
        <v>250630.46999999997</v>
      </c>
      <c r="O7" s="26">
        <f>18571+5704+1167</f>
        <v>25442</v>
      </c>
      <c r="P7" s="27">
        <f t="shared" ref="P7:P12" si="5">N7/O7</f>
        <v>9.8510521971543099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11</v>
      </c>
      <c r="I8" s="20">
        <v>2</v>
      </c>
      <c r="J8" s="21">
        <v>5657.5</v>
      </c>
      <c r="K8" s="22">
        <v>438</v>
      </c>
      <c r="L8" s="23">
        <f t="shared" si="0"/>
        <v>39.81818181818182</v>
      </c>
      <c r="M8" s="24">
        <f t="shared" si="4"/>
        <v>12.916666666666666</v>
      </c>
      <c r="N8" s="25">
        <f>13656.92+5657.5</f>
        <v>19314.419999999998</v>
      </c>
      <c r="O8" s="26">
        <f>1003+438</f>
        <v>1441</v>
      </c>
      <c r="P8" s="27">
        <f t="shared" si="5"/>
        <v>13.403483691880638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103</v>
      </c>
      <c r="D9" s="58">
        <v>42181</v>
      </c>
      <c r="E9" s="59" t="s">
        <v>9</v>
      </c>
      <c r="F9" s="60" t="s">
        <v>104</v>
      </c>
      <c r="G9" s="61">
        <v>23</v>
      </c>
      <c r="H9" s="19">
        <v>5</v>
      </c>
      <c r="I9" s="20">
        <v>5</v>
      </c>
      <c r="J9" s="21">
        <v>3304.5</v>
      </c>
      <c r="K9" s="22">
        <v>380</v>
      </c>
      <c r="L9" s="23">
        <f>K9/H9</f>
        <v>76</v>
      </c>
      <c r="M9" s="24">
        <f t="shared" si="4"/>
        <v>8.6960526315789473</v>
      </c>
      <c r="N9" s="25">
        <f>67551+29032.73+8961.6+164.5+3304.5</f>
        <v>109014.33</v>
      </c>
      <c r="O9" s="26">
        <f>5607+2375+841+21+380</f>
        <v>9224</v>
      </c>
      <c r="P9" s="27">
        <f t="shared" si="5"/>
        <v>11.818552688638334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37</v>
      </c>
      <c r="J10" s="21">
        <v>1223</v>
      </c>
      <c r="K10" s="22">
        <v>245</v>
      </c>
      <c r="L10" s="23">
        <f>K10/H10</f>
        <v>122.5</v>
      </c>
      <c r="M10" s="24">
        <f t="shared" si="4"/>
        <v>4.9918367346938775</v>
      </c>
      <c r="N10" s="25">
        <f>1099708.11+593370.74+224185+52839.5+17039.5+9578+7414+5098+4983.5+10660.5+14194.5+2400+3550+2380.5+7656.5+4091.5+1713+2737+828+128+4019.35+696+742+3681+1237+1911+1320+2988+1801+2002+865+891+666+1977+185+70+1223</f>
        <v>2090830.2000000002</v>
      </c>
      <c r="O10" s="26">
        <f>102148+56106+22339+5539+1692+934+809+597+525+1619+1502+226+582+302+1163+486+470+558+154+16+730+93+96+595+155+233+216+393+237+257+118+138+96+381+25+14+245</f>
        <v>201789</v>
      </c>
      <c r="P10" s="27">
        <f t="shared" si="5"/>
        <v>10.361467671676852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17</v>
      </c>
      <c r="J11" s="21">
        <v>419</v>
      </c>
      <c r="K11" s="22">
        <v>45</v>
      </c>
      <c r="L11" s="23">
        <f>K11/H11</f>
        <v>22.5</v>
      </c>
      <c r="M11" s="24">
        <f t="shared" si="4"/>
        <v>9.3111111111111118</v>
      </c>
      <c r="N11" s="25">
        <f>371891.95+241999.75+69894+20187.87+18724.1+22951.5+4635.5+1896+668+3460.6+242+394+1425.6+951+128+364+419</f>
        <v>760232.86999999988</v>
      </c>
      <c r="O11" s="26">
        <f>33703+24038+8305+2721+2351+2413+517+210+165+873+30+51+285+129+16+38+45</f>
        <v>75890</v>
      </c>
      <c r="P11" s="27">
        <f t="shared" si="5"/>
        <v>10.017563183555144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28</v>
      </c>
      <c r="D12" s="58">
        <v>41866</v>
      </c>
      <c r="E12" s="59" t="s">
        <v>9</v>
      </c>
      <c r="F12" s="60" t="s">
        <v>29</v>
      </c>
      <c r="G12" s="61">
        <v>31</v>
      </c>
      <c r="H12" s="19">
        <v>1</v>
      </c>
      <c r="I12" s="20">
        <v>35</v>
      </c>
      <c r="J12" s="21">
        <v>330</v>
      </c>
      <c r="K12" s="22">
        <v>44</v>
      </c>
      <c r="L12" s="23">
        <f>K12/H12</f>
        <v>44</v>
      </c>
      <c r="M12" s="24">
        <f t="shared" si="4"/>
        <v>7.5</v>
      </c>
      <c r="N12" s="25">
        <f>166393.25+120953.88+26778.83+15413.16+8141+9655+7141+22668+12148+7305+4200+124+102+212+223+1619+804+2201+992+1988+3344+6211+2046.8+2141.5+1165.4+242+120+285+1190+40+81+94+82+164+330</f>
        <v>426598.82</v>
      </c>
      <c r="O12" s="26">
        <f>16398+11920+2425+1471+815+935+859+2615+1401+831+549+16+14+27+29+174+87+240+98+249+365+643+408+205+207+35+17+36+371+5+11+12+10+20+44</f>
        <v>43542</v>
      </c>
      <c r="P12" s="27">
        <f t="shared" si="5"/>
        <v>9.7974098571494199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111</v>
      </c>
      <c r="D13" s="58">
        <v>42195</v>
      </c>
      <c r="E13" s="59" t="s">
        <v>9</v>
      </c>
      <c r="F13" s="60" t="s">
        <v>112</v>
      </c>
      <c r="G13" s="61">
        <v>27</v>
      </c>
      <c r="H13" s="19">
        <v>1</v>
      </c>
      <c r="I13" s="20">
        <v>4</v>
      </c>
      <c r="J13" s="21">
        <v>190</v>
      </c>
      <c r="K13" s="22">
        <v>12</v>
      </c>
      <c r="L13" s="23">
        <f t="shared" si="0"/>
        <v>12</v>
      </c>
      <c r="M13" s="24">
        <f t="shared" ref="M13" si="6">+J13/K13</f>
        <v>15.833333333333334</v>
      </c>
      <c r="N13" s="25">
        <f>83392.39+15274+3468+190</f>
        <v>102324.39</v>
      </c>
      <c r="O13" s="26">
        <f>6873+1085+238+12</f>
        <v>8208</v>
      </c>
      <c r="P13" s="27">
        <f t="shared" ref="P13" si="7">N13/O13</f>
        <v>12.46642178362573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37</v>
      </c>
      <c r="D14" s="58">
        <v>42027</v>
      </c>
      <c r="E14" s="59" t="s">
        <v>9</v>
      </c>
      <c r="F14" s="60" t="s">
        <v>9</v>
      </c>
      <c r="G14" s="61">
        <v>64</v>
      </c>
      <c r="H14" s="19">
        <v>1</v>
      </c>
      <c r="I14" s="20">
        <v>19</v>
      </c>
      <c r="J14" s="21">
        <v>160</v>
      </c>
      <c r="K14" s="22">
        <v>20</v>
      </c>
      <c r="L14" s="23">
        <f t="shared" ref="L14" si="8">K14/H14</f>
        <v>20</v>
      </c>
      <c r="M14" s="24">
        <f t="shared" ref="M14" si="9">+J14/K14</f>
        <v>8</v>
      </c>
      <c r="N14" s="25">
        <f>4241+362258.96+222136.17+49398.98+7963+5272.5+3175+2140+739+469+91+2372+2393+1550+1155+2464+72+1782+184+160</f>
        <v>670016.61</v>
      </c>
      <c r="O14" s="26">
        <f>748+36807+24128+5499+982+687+504+269+97+64+13+438+360+285+253+487+10+356+23+20</f>
        <v>72030</v>
      </c>
      <c r="P14" s="27">
        <f t="shared" ref="P14" si="10">N14/O14</f>
        <v>9.3019104539775093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55</v>
      </c>
      <c r="D15" s="37">
        <v>41845</v>
      </c>
      <c r="E15" s="38" t="s">
        <v>9</v>
      </c>
      <c r="F15" s="39" t="s">
        <v>9</v>
      </c>
      <c r="G15" s="40">
        <v>23</v>
      </c>
      <c r="H15" s="62">
        <v>1</v>
      </c>
      <c r="I15" s="63">
        <v>30</v>
      </c>
      <c r="J15" s="64">
        <v>108</v>
      </c>
      <c r="K15" s="65">
        <v>17</v>
      </c>
      <c r="L15" s="66">
        <f>K15/H15</f>
        <v>17</v>
      </c>
      <c r="M15" s="67">
        <f>+J15/K15</f>
        <v>6.3529411764705879</v>
      </c>
      <c r="N15" s="68">
        <f>73428.48+65677.81+40435.99+20437+22258.56+12040.44+17815.52+6634+2166+2694+5184+2502+3981+1205+69+696+782+2067.5+665+2013.6+288+258+96+400+264+184+30+536+124+108</f>
        <v>285040.89999999991</v>
      </c>
      <c r="O15" s="69">
        <f>7463+6959+4805+2294+2518+1280+2169+965+358+347+662+324+455+143+13+136+154+177+51+403+36+32+12+50+33+23+5+85+20+17</f>
        <v>31989</v>
      </c>
      <c r="P15" s="70">
        <f>N15/O15</f>
        <v>8.9105911407046143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69</v>
      </c>
      <c r="I6" s="50">
        <v>2</v>
      </c>
      <c r="J6" s="53">
        <v>68491.3</v>
      </c>
      <c r="K6" s="16">
        <v>6617</v>
      </c>
      <c r="L6" s="51">
        <f t="shared" ref="L6:L17" si="0">K6/H6</f>
        <v>95.898550724637687</v>
      </c>
      <c r="M6" s="52">
        <f t="shared" ref="M6" si="1">+J6/K6</f>
        <v>10.350808523500076</v>
      </c>
      <c r="N6" s="54">
        <f>219982.98+68491.3</f>
        <v>288474.28000000003</v>
      </c>
      <c r="O6" s="55">
        <f>21611+6617</f>
        <v>28228</v>
      </c>
      <c r="P6" s="56">
        <f t="shared" ref="P6" si="2">N6/O6</f>
        <v>10.219437438004819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95</v>
      </c>
      <c r="I7" s="20">
        <v>2</v>
      </c>
      <c r="J7" s="21">
        <v>54686.02</v>
      </c>
      <c r="K7" s="22">
        <v>5704</v>
      </c>
      <c r="L7" s="23">
        <f t="shared" si="0"/>
        <v>60.042105263157893</v>
      </c>
      <c r="M7" s="24">
        <f>+J7/K7</f>
        <v>9.5873106591865351</v>
      </c>
      <c r="N7" s="25">
        <f>184618.24+54686.02</f>
        <v>239304.25999999998</v>
      </c>
      <c r="O7" s="26">
        <f>18571+5704</f>
        <v>24275</v>
      </c>
      <c r="P7" s="27">
        <f>N7/O7</f>
        <v>9.8580539649845509</v>
      </c>
      <c r="Q7" s="29"/>
      <c r="R7" s="29"/>
      <c r="S7" s="29"/>
    </row>
    <row r="8" spans="1:19" s="3" customFormat="1" ht="22.5" customHeight="1" x14ac:dyDescent="0.25">
      <c r="B8" s="81">
        <f t="shared" si="3"/>
        <v>3</v>
      </c>
      <c r="C8" s="57" t="s">
        <v>120</v>
      </c>
      <c r="D8" s="58">
        <v>42209</v>
      </c>
      <c r="E8" s="59" t="s">
        <v>9</v>
      </c>
      <c r="F8" s="60" t="s">
        <v>29</v>
      </c>
      <c r="G8" s="61">
        <v>9</v>
      </c>
      <c r="H8" s="19">
        <v>20</v>
      </c>
      <c r="I8" s="20">
        <v>1</v>
      </c>
      <c r="J8" s="21">
        <v>13656.92</v>
      </c>
      <c r="K8" s="22">
        <v>1003</v>
      </c>
      <c r="L8" s="23">
        <f t="shared" ref="L8" si="4">K8/H8</f>
        <v>50.15</v>
      </c>
      <c r="M8" s="24">
        <f>+J8/K8</f>
        <v>13.616071784646062</v>
      </c>
      <c r="N8" s="25">
        <f>13656.92</f>
        <v>13656.92</v>
      </c>
      <c r="O8" s="26">
        <f>1003</f>
        <v>1003</v>
      </c>
      <c r="P8" s="27">
        <f>N8/O8</f>
        <v>13.616071784646062</v>
      </c>
      <c r="Q8" s="29"/>
      <c r="R8" s="29"/>
      <c r="S8" s="29"/>
    </row>
    <row r="9" spans="1:19" s="3" customFormat="1" ht="22.5" customHeight="1" x14ac:dyDescent="0.25">
      <c r="B9" s="81">
        <f t="shared" si="3"/>
        <v>4</v>
      </c>
      <c r="C9" s="57" t="s">
        <v>111</v>
      </c>
      <c r="D9" s="58">
        <v>42195</v>
      </c>
      <c r="E9" s="59" t="s">
        <v>9</v>
      </c>
      <c r="F9" s="60" t="s">
        <v>112</v>
      </c>
      <c r="G9" s="61">
        <v>27</v>
      </c>
      <c r="H9" s="19">
        <v>2</v>
      </c>
      <c r="I9" s="20">
        <v>3</v>
      </c>
      <c r="J9" s="21">
        <v>3468</v>
      </c>
      <c r="K9" s="22">
        <v>238</v>
      </c>
      <c r="L9" s="23">
        <f t="shared" si="0"/>
        <v>119</v>
      </c>
      <c r="M9" s="24">
        <f t="shared" ref="M9:M17" si="5">+J9/K9</f>
        <v>14.571428571428571</v>
      </c>
      <c r="N9" s="25">
        <f>83392.39+15274+3468</f>
        <v>102134.39</v>
      </c>
      <c r="O9" s="26">
        <f>6873+1085+238</f>
        <v>8196</v>
      </c>
      <c r="P9" s="27">
        <f t="shared" ref="P9:P17" si="6">N9/O9</f>
        <v>12.461492191312836</v>
      </c>
      <c r="Q9" s="29"/>
      <c r="R9" s="29"/>
      <c r="S9" s="29"/>
    </row>
    <row r="10" spans="1:19" s="3" customFormat="1" ht="22.5" customHeight="1" x14ac:dyDescent="0.25">
      <c r="B10" s="81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2</v>
      </c>
      <c r="I10" s="20">
        <v>10</v>
      </c>
      <c r="J10" s="21">
        <v>3004</v>
      </c>
      <c r="K10" s="22">
        <v>450</v>
      </c>
      <c r="L10" s="23">
        <f t="shared" si="0"/>
        <v>225</v>
      </c>
      <c r="M10" s="24">
        <f t="shared" si="5"/>
        <v>6.6755555555555555</v>
      </c>
      <c r="N10" s="25">
        <f>217416+133447+36039+7196+5028+2013.56+1782+950.4+1550+3004</f>
        <v>408425.96</v>
      </c>
      <c r="O10" s="26">
        <f>15610+9137+2226+1626+1055+403+356+190+155+450</f>
        <v>31208</v>
      </c>
      <c r="P10" s="27">
        <f t="shared" si="6"/>
        <v>13.087219943604206</v>
      </c>
      <c r="Q10" s="29"/>
      <c r="R10" s="29"/>
      <c r="S10" s="29"/>
    </row>
    <row r="11" spans="1:19" s="3" customFormat="1" ht="22.5" customHeight="1" x14ac:dyDescent="0.25">
      <c r="B11" s="81">
        <f t="shared" si="3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1</v>
      </c>
      <c r="I11" s="20">
        <v>9</v>
      </c>
      <c r="J11" s="21">
        <v>707.5</v>
      </c>
      <c r="K11" s="22">
        <v>95</v>
      </c>
      <c r="L11" s="23">
        <f>K11/H11</f>
        <v>95</v>
      </c>
      <c r="M11" s="24">
        <f>+J11/K11</f>
        <v>7.4473684210526319</v>
      </c>
      <c r="N11" s="25">
        <f>68974+25816.1+2524+476+340+477+512+2602+707.5</f>
        <v>102428.6</v>
      </c>
      <c r="O11" s="26">
        <f>5512+1865+151+62+39+59+63+298+95</f>
        <v>8144</v>
      </c>
      <c r="P11" s="27">
        <f>N11/O11</f>
        <v>12.577185658153242</v>
      </c>
      <c r="Q11" s="29"/>
      <c r="R11" s="29"/>
      <c r="S11" s="29"/>
    </row>
    <row r="12" spans="1:19" s="3" customFormat="1" ht="22.5" customHeight="1" x14ac:dyDescent="0.25">
      <c r="B12" s="81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16</v>
      </c>
      <c r="J12" s="21">
        <v>364</v>
      </c>
      <c r="K12" s="22">
        <v>38</v>
      </c>
      <c r="L12" s="23">
        <f>K12/H12</f>
        <v>19</v>
      </c>
      <c r="M12" s="24">
        <f>+J12/K12</f>
        <v>9.5789473684210531</v>
      </c>
      <c r="N12" s="25">
        <f>371891.95+241999.75+69894+20187.87+18724.1+22951.5+4635.5+1896+668+3460.6+242+394+1425.6+951+128+364</f>
        <v>759813.86999999988</v>
      </c>
      <c r="O12" s="26">
        <f>33703+24038+8305+2721+2351+2413+517+210+165+873+30+51+285+129+16+38</f>
        <v>75845</v>
      </c>
      <c r="P12" s="27">
        <f>N12/O12</f>
        <v>10.017982332388423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18</v>
      </c>
      <c r="J13" s="21">
        <v>184</v>
      </c>
      <c r="K13" s="22">
        <v>23</v>
      </c>
      <c r="L13" s="23">
        <f t="shared" ref="L13" si="7">K13/H13</f>
        <v>23</v>
      </c>
      <c r="M13" s="24">
        <f t="shared" ref="M13" si="8">+J13/K13</f>
        <v>8</v>
      </c>
      <c r="N13" s="25">
        <f>4241+362258.96+222136.17+49398.98+7963+5272.5+3175+2140+739+469+91+2372+2393+1550+1155+2464+72+1782+184</f>
        <v>669856.61</v>
      </c>
      <c r="O13" s="26">
        <f>748+36807+24128+5499+982+687+504+269+97+64+13+438+360+285+253+487+10+356+23</f>
        <v>72010</v>
      </c>
      <c r="P13" s="27">
        <f t="shared" ref="P13" si="9">N13/O13</f>
        <v>9.3022720455492287</v>
      </c>
      <c r="Q13" s="29"/>
      <c r="R13" s="29"/>
      <c r="S13" s="29"/>
    </row>
    <row r="14" spans="1:19" s="3" customFormat="1" ht="22.5" customHeight="1" x14ac:dyDescent="0.25">
      <c r="B14" s="81">
        <f t="shared" si="3"/>
        <v>9</v>
      </c>
      <c r="C14" s="57" t="s">
        <v>28</v>
      </c>
      <c r="D14" s="58">
        <v>41866</v>
      </c>
      <c r="E14" s="59" t="s">
        <v>9</v>
      </c>
      <c r="F14" s="60" t="s">
        <v>29</v>
      </c>
      <c r="G14" s="61">
        <v>31</v>
      </c>
      <c r="H14" s="19">
        <v>1</v>
      </c>
      <c r="I14" s="20">
        <v>34</v>
      </c>
      <c r="J14" s="21">
        <v>164</v>
      </c>
      <c r="K14" s="22">
        <v>20</v>
      </c>
      <c r="L14" s="23">
        <f>K14/H14</f>
        <v>20</v>
      </c>
      <c r="M14" s="24">
        <f>+J14/K14</f>
        <v>8.1999999999999993</v>
      </c>
      <c r="N14" s="25">
        <f>166393.25+120953.88+26778.83+15413.16+8141+9655+7141+22668+12148+7305+4200+124+102+212+223+1619+804+2201+992+1988+3344+6211+2046.8+2141.5+1165.4+242+120+285+1190+40+81+94+82+164</f>
        <v>426268.82</v>
      </c>
      <c r="O14" s="26">
        <f>16398+11920+2425+1471+815+935+859+2615+1401+831+549+16+14+27+29+174+87+240+98+249+365+643+408+205+207+35+17+36+371+5+11+12+10+20</f>
        <v>43498</v>
      </c>
      <c r="P14" s="27">
        <f>N14/O14</f>
        <v>9.7997337808634875</v>
      </c>
      <c r="Q14" s="29"/>
      <c r="R14" s="29"/>
      <c r="S14" s="29"/>
    </row>
    <row r="15" spans="1:19" s="3" customFormat="1" ht="22.5" customHeight="1" x14ac:dyDescent="0.25">
      <c r="B15" s="81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24</v>
      </c>
      <c r="J15" s="21">
        <v>157</v>
      </c>
      <c r="K15" s="22">
        <v>25</v>
      </c>
      <c r="L15" s="23">
        <f>K15/H15</f>
        <v>25</v>
      </c>
      <c r="M15" s="24">
        <f>+J15/K15</f>
        <v>6.28</v>
      </c>
      <c r="N15" s="25">
        <f>83413.21+31376.4+14831.5+9913.12+11734.5+8229.1+7018.55+10857.54+6847+2986+13217+3912+1965.5+2132+3849+3531.9+1567.5+1485+149+71+49+87+162+157</f>
        <v>219541.82</v>
      </c>
      <c r="O15" s="26">
        <f>6309+2343+1168+899+1487+769+760+1066+812+348+1631+365+188+195+314+530+107+121+17+11+8+13+25+25</f>
        <v>19511</v>
      </c>
      <c r="P15" s="27">
        <f>N15/O15</f>
        <v>11.252207472707704</v>
      </c>
      <c r="Q15" s="29"/>
      <c r="R15" s="29"/>
      <c r="S15" s="29"/>
    </row>
    <row r="16" spans="1:19" s="3" customFormat="1" ht="22.5" customHeight="1" x14ac:dyDescent="0.25">
      <c r="B16" s="81">
        <f t="shared" si="3"/>
        <v>11</v>
      </c>
      <c r="C16" s="57" t="s">
        <v>55</v>
      </c>
      <c r="D16" s="58">
        <v>41845</v>
      </c>
      <c r="E16" s="59" t="s">
        <v>9</v>
      </c>
      <c r="F16" s="60" t="s">
        <v>9</v>
      </c>
      <c r="G16" s="61">
        <v>23</v>
      </c>
      <c r="H16" s="19">
        <v>1</v>
      </c>
      <c r="I16" s="20">
        <v>29</v>
      </c>
      <c r="J16" s="21">
        <v>124</v>
      </c>
      <c r="K16" s="22">
        <v>20</v>
      </c>
      <c r="L16" s="23">
        <f t="shared" si="0"/>
        <v>20</v>
      </c>
      <c r="M16" s="24">
        <f t="shared" si="5"/>
        <v>6.2</v>
      </c>
      <c r="N16" s="25">
        <f>73428.48+65677.81+40435.99+20437+22258.56+12040.44+17815.52+6634+2166+2694+5184+2502+3981+1205+69+696+782+2067.5+665+2013.6+288+258+96+400+264+184+30+536+124</f>
        <v>284932.89999999991</v>
      </c>
      <c r="O16" s="26">
        <f>7463+6959+4805+2294+2518+1280+2169+965+358+347+662+324+455+143+13+136+154+177+51+403+36+32+12+50+33+23+5+85+20</f>
        <v>31972</v>
      </c>
      <c r="P16" s="27">
        <f t="shared" si="6"/>
        <v>8.9119510821969197</v>
      </c>
      <c r="Q16" s="29"/>
      <c r="R16" s="29"/>
      <c r="S16" s="29"/>
    </row>
    <row r="17" spans="2:19" s="3" customFormat="1" ht="22.5" customHeight="1" thickBot="1" x14ac:dyDescent="0.3">
      <c r="B17" s="80">
        <f t="shared" si="3"/>
        <v>12</v>
      </c>
      <c r="C17" s="36" t="s">
        <v>22</v>
      </c>
      <c r="D17" s="37">
        <v>41964</v>
      </c>
      <c r="E17" s="38" t="s">
        <v>9</v>
      </c>
      <c r="F17" s="39" t="s">
        <v>9</v>
      </c>
      <c r="G17" s="40">
        <v>58</v>
      </c>
      <c r="H17" s="62">
        <v>1</v>
      </c>
      <c r="I17" s="63">
        <v>36</v>
      </c>
      <c r="J17" s="64">
        <v>70</v>
      </c>
      <c r="K17" s="65">
        <v>14</v>
      </c>
      <c r="L17" s="66">
        <f t="shared" si="0"/>
        <v>14</v>
      </c>
      <c r="M17" s="67">
        <f t="shared" si="5"/>
        <v>5</v>
      </c>
      <c r="N17" s="68">
        <f>1099708.11+593370.74+224185+52839.5+17039.5+9578+7414+5098+4983.5+10660.5+14194.5+2400+3550+2380.5+7656.5+4091.5+1713+2737+828+128+4019.35+696+742+3681+1237+1911+1320+2988+1801+2002+865+891+666+1977+185+70</f>
        <v>2089607.2000000002</v>
      </c>
      <c r="O17" s="69">
        <f>102148+56106+22339+5539+1692+934+809+597+525+1619+1502+226+582+302+1163+486+470+558+154+16+730+93+96+595+155+233+216+393+237+257+118+138+96+381+25+14</f>
        <v>201544</v>
      </c>
      <c r="P17" s="70">
        <f t="shared" si="6"/>
        <v>10.367995077997858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113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 t="shared" ref="L11:L16" si="13">K11/H11</f>
        <v>285</v>
      </c>
      <c r="M11" s="24">
        <f t="shared" ref="M11:M16" si="14"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 t="shared" ref="P11:P16" si="15"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 t="shared" si="13"/>
        <v>85</v>
      </c>
      <c r="M12" s="24">
        <f t="shared" si="14"/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 t="shared" si="15"/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 t="shared" si="13"/>
        <v>25</v>
      </c>
      <c r="M13" s="24">
        <f t="shared" si="14"/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 t="shared" si="15"/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 t="shared" si="13"/>
        <v>21</v>
      </c>
      <c r="M14" s="24">
        <f t="shared" si="14"/>
        <v>7.833333333333333</v>
      </c>
      <c r="N14" s="25">
        <f>67551+29032.73+8961.6+164.5</f>
        <v>105709.83</v>
      </c>
      <c r="O14" s="26">
        <f>5607+2375+841+21</f>
        <v>8844</v>
      </c>
      <c r="P14" s="27">
        <f t="shared" si="15"/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 t="shared" si="13"/>
        <v>25</v>
      </c>
      <c r="M15" s="24">
        <f t="shared" si="14"/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 t="shared" si="15"/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 t="shared" si="13"/>
        <v>16</v>
      </c>
      <c r="M16" s="24">
        <f t="shared" si="14"/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 t="shared" si="15"/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6">K17/H17</f>
        <v>10</v>
      </c>
      <c r="M17" s="67">
        <f t="shared" ref="M17" si="17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8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110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101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102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91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92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154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155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149</v>
      </c>
      <c r="D6" s="45">
        <v>42272</v>
      </c>
      <c r="E6" s="46" t="s">
        <v>9</v>
      </c>
      <c r="F6" s="47" t="s">
        <v>150</v>
      </c>
      <c r="G6" s="48">
        <v>183</v>
      </c>
      <c r="H6" s="49">
        <v>189</v>
      </c>
      <c r="I6" s="50">
        <v>2</v>
      </c>
      <c r="J6" s="53">
        <v>920889.38</v>
      </c>
      <c r="K6" s="16">
        <v>79347</v>
      </c>
      <c r="L6" s="51">
        <f t="shared" ref="L6:L16" si="0">K6/H6</f>
        <v>419.82539682539681</v>
      </c>
      <c r="M6" s="52">
        <f t="shared" ref="M6:M16" si="1">+J6/K6</f>
        <v>11.605850000630143</v>
      </c>
      <c r="N6" s="54">
        <f>1398777.4+920889.38</f>
        <v>2319666.7799999998</v>
      </c>
      <c r="O6" s="55">
        <f>121079+79347</f>
        <v>200426</v>
      </c>
      <c r="P6" s="56">
        <f t="shared" ref="P6:P16" si="2">N6/O6</f>
        <v>11.573681957430672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152</v>
      </c>
      <c r="D7" s="58">
        <v>42279</v>
      </c>
      <c r="E7" s="59" t="s">
        <v>9</v>
      </c>
      <c r="F7" s="60" t="s">
        <v>153</v>
      </c>
      <c r="G7" s="61">
        <v>7</v>
      </c>
      <c r="H7" s="19">
        <v>23</v>
      </c>
      <c r="I7" s="20">
        <v>1</v>
      </c>
      <c r="J7" s="21">
        <v>101971.5</v>
      </c>
      <c r="K7" s="22">
        <v>7547</v>
      </c>
      <c r="L7" s="23">
        <f>K7/H7</f>
        <v>328.13043478260869</v>
      </c>
      <c r="M7" s="24">
        <f>+J7/K7</f>
        <v>13.511527759374586</v>
      </c>
      <c r="N7" s="25">
        <f>12897+101971.5</f>
        <v>114868.5</v>
      </c>
      <c r="O7" s="26">
        <f>1129+7547</f>
        <v>8676</v>
      </c>
      <c r="P7" s="27">
        <f>N7/O7</f>
        <v>13.239799446749654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143</v>
      </c>
      <c r="D8" s="58">
        <v>42258</v>
      </c>
      <c r="E8" s="59" t="s">
        <v>9</v>
      </c>
      <c r="F8" s="60" t="s">
        <v>127</v>
      </c>
      <c r="G8" s="61">
        <v>49</v>
      </c>
      <c r="H8" s="19">
        <v>11</v>
      </c>
      <c r="I8" s="20">
        <v>4</v>
      </c>
      <c r="J8" s="21">
        <v>6126</v>
      </c>
      <c r="K8" s="22">
        <v>653</v>
      </c>
      <c r="L8" s="23">
        <f t="shared" si="0"/>
        <v>59.363636363636367</v>
      </c>
      <c r="M8" s="24">
        <f t="shared" si="1"/>
        <v>9.3813169984686056</v>
      </c>
      <c r="N8" s="25">
        <f>318040.86+205565.07+42500.5+6126</f>
        <v>572232.42999999993</v>
      </c>
      <c r="O8" s="26">
        <f>26257+16592+3379+653</f>
        <v>46881</v>
      </c>
      <c r="P8" s="27">
        <f t="shared" si="2"/>
        <v>12.206062797295278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144</v>
      </c>
      <c r="D9" s="58">
        <v>42258</v>
      </c>
      <c r="E9" s="59" t="s">
        <v>9</v>
      </c>
      <c r="F9" s="60" t="s">
        <v>9</v>
      </c>
      <c r="G9" s="61">
        <v>16</v>
      </c>
      <c r="H9" s="19">
        <v>1</v>
      </c>
      <c r="I9" s="20">
        <v>4</v>
      </c>
      <c r="J9" s="21">
        <v>3564</v>
      </c>
      <c r="K9" s="22">
        <v>713</v>
      </c>
      <c r="L9" s="23">
        <f t="shared" si="0"/>
        <v>713</v>
      </c>
      <c r="M9" s="24">
        <f t="shared" si="1"/>
        <v>4.9985974754558207</v>
      </c>
      <c r="N9" s="25">
        <f>142395.05+58894.11+7262+3564</f>
        <v>212115.15999999997</v>
      </c>
      <c r="O9" s="26">
        <f>12558+4470+477+713</f>
        <v>18218</v>
      </c>
      <c r="P9" s="27">
        <f t="shared" si="2"/>
        <v>11.643163903831374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37</v>
      </c>
      <c r="D10" s="58">
        <v>42027</v>
      </c>
      <c r="E10" s="59" t="s">
        <v>9</v>
      </c>
      <c r="F10" s="60" t="s">
        <v>9</v>
      </c>
      <c r="G10" s="61">
        <v>64</v>
      </c>
      <c r="H10" s="19">
        <v>2</v>
      </c>
      <c r="I10" s="20">
        <v>24</v>
      </c>
      <c r="J10" s="21">
        <v>2613.6</v>
      </c>
      <c r="K10" s="22">
        <v>523</v>
      </c>
      <c r="L10" s="23">
        <f>K10/H10</f>
        <v>261.5</v>
      </c>
      <c r="M10" s="24">
        <f>+J10/K10</f>
        <v>4.9973231357552583</v>
      </c>
      <c r="N10" s="25">
        <f>4241+362258.96+222136.17+49398.98+7963+5272.5+3175+2140+739+469+91+2372+2393+1550+1155+2464+72+1782+184+160+496+1425.6+1352+1425.6+2613.6</f>
        <v>677329.40999999992</v>
      </c>
      <c r="O10" s="26">
        <f>748+36807+24128+5499+982+687+504+269+97+64+13+438+360+285+253+487+10+356+23+20+62+285+104+285+523</f>
        <v>73289</v>
      </c>
      <c r="P10" s="27">
        <f>N10/O10</f>
        <v>9.2418972833576643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140</v>
      </c>
      <c r="D11" s="58">
        <v>42251</v>
      </c>
      <c r="E11" s="59" t="s">
        <v>9</v>
      </c>
      <c r="F11" s="60" t="s">
        <v>29</v>
      </c>
      <c r="G11" s="61">
        <v>35</v>
      </c>
      <c r="H11" s="19">
        <v>3</v>
      </c>
      <c r="I11" s="20">
        <v>5</v>
      </c>
      <c r="J11" s="21">
        <v>500</v>
      </c>
      <c r="K11" s="22">
        <v>68</v>
      </c>
      <c r="L11" s="23">
        <f t="shared" si="0"/>
        <v>22.666666666666668</v>
      </c>
      <c r="M11" s="24">
        <f t="shared" si="1"/>
        <v>7.3529411764705879</v>
      </c>
      <c r="N11" s="25">
        <f>127027.28+54193.67+3754.5+4293.5+500</f>
        <v>189768.95</v>
      </c>
      <c r="O11" s="26">
        <f>12534+5415+443+530+68</f>
        <v>18990</v>
      </c>
      <c r="P11" s="27">
        <f t="shared" si="2"/>
        <v>9.993098999473407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30</v>
      </c>
      <c r="D12" s="58">
        <v>41782</v>
      </c>
      <c r="E12" s="59" t="s">
        <v>9</v>
      </c>
      <c r="F12" s="60" t="s">
        <v>9</v>
      </c>
      <c r="G12" s="61">
        <v>30</v>
      </c>
      <c r="H12" s="19">
        <v>2</v>
      </c>
      <c r="I12" s="20">
        <v>32</v>
      </c>
      <c r="J12" s="21">
        <v>236</v>
      </c>
      <c r="K12" s="22">
        <v>31</v>
      </c>
      <c r="L12" s="23">
        <f>K12/H12</f>
        <v>15.5</v>
      </c>
      <c r="M12" s="24">
        <f>+J12/K12</f>
        <v>7.612903225806452</v>
      </c>
      <c r="N12" s="25">
        <f>95967.35+76227.39+34644.5+27256+29590.5+12797.63+9801.17+8948.5+7152.5+16352.94+12150.29+7448.1+8486.06+7400.64+5579.56+3486.52+760+1010+454+162+694+385+790+774+950.4+449+534+379+430+70+165+236</f>
        <v>371532.05</v>
      </c>
      <c r="O12" s="26">
        <f>9552+7384+3615+3071+3349+1439+1120+971+812+1886+1381+880+989+926+692+485+91+116+49+24+62+55+154+96+190+74+173+126+86+14+33+31</f>
        <v>39926</v>
      </c>
      <c r="P12" s="27">
        <f>N12/O12</f>
        <v>9.305516455442568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55</v>
      </c>
      <c r="D13" s="58">
        <v>41845</v>
      </c>
      <c r="E13" s="59" t="s">
        <v>9</v>
      </c>
      <c r="F13" s="60" t="s">
        <v>9</v>
      </c>
      <c r="G13" s="61">
        <v>23</v>
      </c>
      <c r="H13" s="19">
        <v>1</v>
      </c>
      <c r="I13" s="20">
        <v>38</v>
      </c>
      <c r="J13" s="21">
        <v>181</v>
      </c>
      <c r="K13" s="22">
        <v>22</v>
      </c>
      <c r="L13" s="23">
        <f>K13/H13</f>
        <v>22</v>
      </c>
      <c r="M13" s="24">
        <f>+J13/K13</f>
        <v>8.2272727272727266</v>
      </c>
      <c r="N13" s="25">
        <f>73428.48+65677.81+40435.99+20437+22258.56+12040.44+17815.52+6634+2166+2694+5184+2502+3981+1205+69+696+782+2067.5+665+2013.6+288+258+96+400+264+184+30+536+124+108+48+554+120+40+72+136+248+181</f>
        <v>286439.89999999991</v>
      </c>
      <c r="O13" s="26">
        <f>7463+6959+4805+2294+2518+1280+2169+965+358+347+662+324+455+143+13+136+154+177+51+403+36+32+12+50+33+23+5+85+20+17+7+110+24+8+6+17+31+22</f>
        <v>32214</v>
      </c>
      <c r="P13" s="27">
        <f>N13/O13</f>
        <v>8.8917830756813778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151</v>
      </c>
      <c r="D14" s="58">
        <v>41740</v>
      </c>
      <c r="E14" s="59" t="s">
        <v>9</v>
      </c>
      <c r="F14" s="60" t="s">
        <v>9</v>
      </c>
      <c r="G14" s="61">
        <v>26</v>
      </c>
      <c r="H14" s="19">
        <v>1</v>
      </c>
      <c r="I14" s="20">
        <v>30</v>
      </c>
      <c r="J14" s="21">
        <v>86</v>
      </c>
      <c r="K14" s="22">
        <v>10</v>
      </c>
      <c r="L14" s="23">
        <f t="shared" si="0"/>
        <v>10</v>
      </c>
      <c r="M14" s="24">
        <f t="shared" si="1"/>
        <v>8.6</v>
      </c>
      <c r="N14" s="25">
        <f>125801.67+108052.78+37084.43+23601.43+21068.8+18394.5+13443.32+12736+17919.5+14888+14213.5+9410.5+7303.5+7446+7472+17657+7321+5398.5+4749+4864+2486+2106+614+1243+1006+687+1897+1135+390+86</f>
        <v>490475.43</v>
      </c>
      <c r="O14" s="26">
        <f>12315+10389+3812+2521+2588+2117+1563+1524+2098+1705+1607+1075+924+1045+1011+2258+951+720+650+667+344+354+112+143+148+91+401+156+48+10</f>
        <v>53347</v>
      </c>
      <c r="P14" s="27">
        <f t="shared" si="2"/>
        <v>9.1940583350516434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126</v>
      </c>
      <c r="D15" s="58">
        <v>42223</v>
      </c>
      <c r="E15" s="59" t="s">
        <v>9</v>
      </c>
      <c r="F15" s="60" t="s">
        <v>127</v>
      </c>
      <c r="G15" s="61">
        <v>50</v>
      </c>
      <c r="H15" s="19">
        <v>1</v>
      </c>
      <c r="I15" s="20">
        <v>8</v>
      </c>
      <c r="J15" s="21">
        <v>60</v>
      </c>
      <c r="K15" s="22">
        <v>7</v>
      </c>
      <c r="L15" s="23">
        <f t="shared" si="0"/>
        <v>7</v>
      </c>
      <c r="M15" s="24">
        <f t="shared" si="1"/>
        <v>8.5714285714285712</v>
      </c>
      <c r="N15" s="25">
        <f>219626.68+141972.52+34543+11532+834+3969.5+272+60</f>
        <v>412809.69999999995</v>
      </c>
      <c r="O15" s="26">
        <f>20459+13617+3776+1109+81+417+30+7</f>
        <v>39496</v>
      </c>
      <c r="P15" s="27">
        <f t="shared" si="2"/>
        <v>10.451936905003038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50</v>
      </c>
      <c r="D16" s="37">
        <v>41796</v>
      </c>
      <c r="E16" s="38" t="s">
        <v>9</v>
      </c>
      <c r="F16" s="39" t="s">
        <v>9</v>
      </c>
      <c r="G16" s="40">
        <v>22</v>
      </c>
      <c r="H16" s="62">
        <v>1</v>
      </c>
      <c r="I16" s="63">
        <v>39</v>
      </c>
      <c r="J16" s="64">
        <v>45</v>
      </c>
      <c r="K16" s="65">
        <v>9</v>
      </c>
      <c r="L16" s="66">
        <f t="shared" si="0"/>
        <v>9</v>
      </c>
      <c r="M16" s="67">
        <f t="shared" si="1"/>
        <v>5</v>
      </c>
      <c r="N16" s="68">
        <f>166025.28+97326.52+57686.96+13701.5+11079.5+6936+18694.5+12272.5+7080.5+9304+8779+4785.44+5102.63+3908.66+4837+3724+3492+9632.5+4839+5360.5+615.5+83+1425.6+1525+121+1722.5+1737.5+1635+2287.5+272+153+136+226+136+168+1188+40+35+45</f>
        <v>468119.58999999997</v>
      </c>
      <c r="O16" s="69">
        <f>15114+9515+5786+1430+1181+648+1199+1400+830+999+900+603+561+474+557+436+370+1189+567+607+105+10+285+117+12+138+141+137+196+34+19+17+28+17+21+238+8+7+9</f>
        <v>45905</v>
      </c>
      <c r="P16" s="70">
        <f t="shared" si="2"/>
        <v>10.197573031260211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82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80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76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77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73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74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71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72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147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148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149</v>
      </c>
      <c r="D6" s="45">
        <v>42272</v>
      </c>
      <c r="E6" s="46" t="s">
        <v>9</v>
      </c>
      <c r="F6" s="47" t="s">
        <v>150</v>
      </c>
      <c r="G6" s="48">
        <v>183</v>
      </c>
      <c r="H6" s="49">
        <v>188</v>
      </c>
      <c r="I6" s="50">
        <v>1</v>
      </c>
      <c r="J6" s="75">
        <v>1398777.4</v>
      </c>
      <c r="K6" s="76">
        <v>121079</v>
      </c>
      <c r="L6" s="51">
        <f t="shared" ref="L6" si="0">K6/H6</f>
        <v>644.03723404255322</v>
      </c>
      <c r="M6" s="52">
        <f t="shared" ref="M6" si="1">+J6/K6</f>
        <v>11.552601194261596</v>
      </c>
      <c r="N6" s="77">
        <f>1398777.4</f>
        <v>1398777.4</v>
      </c>
      <c r="O6" s="78">
        <f>121079</f>
        <v>121079</v>
      </c>
      <c r="P6" s="56">
        <f t="shared" ref="P6" si="2">N6/O6</f>
        <v>11.552601194261596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143</v>
      </c>
      <c r="D7" s="58">
        <v>42258</v>
      </c>
      <c r="E7" s="59" t="s">
        <v>9</v>
      </c>
      <c r="F7" s="60" t="s">
        <v>127</v>
      </c>
      <c r="G7" s="61">
        <v>49</v>
      </c>
      <c r="H7" s="19">
        <v>30</v>
      </c>
      <c r="I7" s="20">
        <v>3</v>
      </c>
      <c r="J7" s="21">
        <v>42500.5</v>
      </c>
      <c r="K7" s="22">
        <v>3379</v>
      </c>
      <c r="L7" s="23">
        <f t="shared" ref="L7:L17" si="4">K7/H7</f>
        <v>112.63333333333334</v>
      </c>
      <c r="M7" s="24">
        <f t="shared" ref="M7:M17" si="5">+J7/K7</f>
        <v>12.577833678603136</v>
      </c>
      <c r="N7" s="25">
        <f>318040.86+205565.07+42500.5</f>
        <v>566106.42999999993</v>
      </c>
      <c r="O7" s="26">
        <f>26257+16592+3379</f>
        <v>46228</v>
      </c>
      <c r="P7" s="27">
        <f t="shared" ref="P7:P17" si="6">N7/O7</f>
        <v>12.245964134290904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152</v>
      </c>
      <c r="D8" s="58">
        <v>42279</v>
      </c>
      <c r="E8" s="59" t="s">
        <v>9</v>
      </c>
      <c r="F8" s="60" t="s">
        <v>153</v>
      </c>
      <c r="G8" s="61">
        <v>7</v>
      </c>
      <c r="H8" s="19">
        <v>7</v>
      </c>
      <c r="I8" s="20">
        <v>0</v>
      </c>
      <c r="J8" s="21">
        <v>12897</v>
      </c>
      <c r="K8" s="22">
        <v>1129</v>
      </c>
      <c r="L8" s="23">
        <f t="shared" si="4"/>
        <v>161.28571428571428</v>
      </c>
      <c r="M8" s="24">
        <f t="shared" si="5"/>
        <v>11.423383525243578</v>
      </c>
      <c r="N8" s="25">
        <f>12897</f>
        <v>12897</v>
      </c>
      <c r="O8" s="26">
        <f>1129</f>
        <v>1129</v>
      </c>
      <c r="P8" s="27">
        <f t="shared" si="6"/>
        <v>11.423383525243578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144</v>
      </c>
      <c r="D9" s="58">
        <v>42258</v>
      </c>
      <c r="E9" s="59" t="s">
        <v>9</v>
      </c>
      <c r="F9" s="60" t="s">
        <v>9</v>
      </c>
      <c r="G9" s="61">
        <v>16</v>
      </c>
      <c r="H9" s="19">
        <v>4</v>
      </c>
      <c r="I9" s="20">
        <v>3</v>
      </c>
      <c r="J9" s="21">
        <v>7262</v>
      </c>
      <c r="K9" s="22">
        <v>477</v>
      </c>
      <c r="L9" s="23">
        <f t="shared" si="4"/>
        <v>119.25</v>
      </c>
      <c r="M9" s="24">
        <f t="shared" si="5"/>
        <v>15.224318658280922</v>
      </c>
      <c r="N9" s="25">
        <f>142395.05+58894.11+7262</f>
        <v>208551.15999999997</v>
      </c>
      <c r="O9" s="26">
        <f>12558+4470+477</f>
        <v>17505</v>
      </c>
      <c r="P9" s="27">
        <f t="shared" si="6"/>
        <v>11.913805198514709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140</v>
      </c>
      <c r="D10" s="58">
        <v>42251</v>
      </c>
      <c r="E10" s="59" t="s">
        <v>9</v>
      </c>
      <c r="F10" s="60" t="s">
        <v>29</v>
      </c>
      <c r="G10" s="61">
        <v>35</v>
      </c>
      <c r="H10" s="19">
        <v>7</v>
      </c>
      <c r="I10" s="20">
        <v>4</v>
      </c>
      <c r="J10" s="21">
        <v>4293.5</v>
      </c>
      <c r="K10" s="22">
        <v>530</v>
      </c>
      <c r="L10" s="23">
        <f t="shared" si="4"/>
        <v>75.714285714285708</v>
      </c>
      <c r="M10" s="24">
        <f t="shared" si="5"/>
        <v>8.1009433962264144</v>
      </c>
      <c r="N10" s="25">
        <f>127027.28+54193.67+3754.5+4293.5</f>
        <v>189268.95</v>
      </c>
      <c r="O10" s="26">
        <f>12534+5415+443+530</f>
        <v>18922</v>
      </c>
      <c r="P10" s="27">
        <f t="shared" si="6"/>
        <v>10.002586935841878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20</v>
      </c>
      <c r="J11" s="21">
        <v>1425.6</v>
      </c>
      <c r="K11" s="22">
        <v>285</v>
      </c>
      <c r="L11" s="23">
        <f t="shared" si="4"/>
        <v>285</v>
      </c>
      <c r="M11" s="24">
        <f t="shared" si="5"/>
        <v>5.0021052631578948</v>
      </c>
      <c r="N11" s="25">
        <f>371891.95+241999.75+69894+20187.87+18724.1+22951.5+4635.5+1896+668+3460.6+242+394+1425.6+951+128+364+419+1742+1782+1425.6</f>
        <v>765182.46999999986</v>
      </c>
      <c r="O11" s="26">
        <f>33703+24038+8305+2721+2351+2413+517+210+165+873+30+51+285+129+16+38+45+134+356+285</f>
        <v>76665</v>
      </c>
      <c r="P11" s="27">
        <f t="shared" si="6"/>
        <v>9.9808578882149597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151</v>
      </c>
      <c r="D12" s="58">
        <v>41740</v>
      </c>
      <c r="E12" s="59" t="s">
        <v>9</v>
      </c>
      <c r="F12" s="60" t="s">
        <v>9</v>
      </c>
      <c r="G12" s="61">
        <v>26</v>
      </c>
      <c r="H12" s="19">
        <v>1</v>
      </c>
      <c r="I12" s="20">
        <v>29</v>
      </c>
      <c r="J12" s="21">
        <v>390</v>
      </c>
      <c r="K12" s="22">
        <v>48</v>
      </c>
      <c r="L12" s="23">
        <f t="shared" si="4"/>
        <v>48</v>
      </c>
      <c r="M12" s="24">
        <f t="shared" si="5"/>
        <v>8.125</v>
      </c>
      <c r="N12" s="25">
        <f>125801.67+108052.78+37084.43+23601.43+21068.8+18394.5+13443.32+12736+17919.5+14888+14213.5+9410.5+7303.5+7446+7472+17657+7321+5398.5+4749+4864+2486+2106+614+1243+1006+687+1897+1135+390</f>
        <v>490389.43</v>
      </c>
      <c r="O12" s="26">
        <f>12315+10389+3812+2521+2588+2117+1563+1524+2098+1705+1607+1075+924+1045+1011+2258+951+720+650+667+344+354+112+143+148+91+401+156+48</f>
        <v>53337</v>
      </c>
      <c r="P12" s="27">
        <f t="shared" si="6"/>
        <v>9.194169713332208</v>
      </c>
      <c r="Q12" s="29"/>
      <c r="R12" s="5"/>
    </row>
    <row r="13" spans="1:19" s="3" customFormat="1" ht="22.5" customHeight="1" x14ac:dyDescent="0.25">
      <c r="B13" s="18">
        <f t="shared" si="3"/>
        <v>8</v>
      </c>
      <c r="C13" s="57" t="s">
        <v>126</v>
      </c>
      <c r="D13" s="58">
        <v>42223</v>
      </c>
      <c r="E13" s="59" t="s">
        <v>9</v>
      </c>
      <c r="F13" s="60" t="s">
        <v>127</v>
      </c>
      <c r="G13" s="61">
        <v>50</v>
      </c>
      <c r="H13" s="19">
        <v>3</v>
      </c>
      <c r="I13" s="20">
        <v>7</v>
      </c>
      <c r="J13" s="21">
        <v>272</v>
      </c>
      <c r="K13" s="22">
        <v>30</v>
      </c>
      <c r="L13" s="23">
        <f t="shared" si="4"/>
        <v>10</v>
      </c>
      <c r="M13" s="24">
        <f t="shared" si="5"/>
        <v>9.0666666666666664</v>
      </c>
      <c r="N13" s="25">
        <f>219626.68+141972.52+34543+11532+834+3969.5+272</f>
        <v>412749.69999999995</v>
      </c>
      <c r="O13" s="26">
        <f>20459+13617+3776+1109+81+417+30</f>
        <v>39489</v>
      </c>
      <c r="P13" s="27">
        <f t="shared" si="6"/>
        <v>10.452270252475373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2</v>
      </c>
      <c r="I14" s="20">
        <v>37</v>
      </c>
      <c r="J14" s="21">
        <v>248</v>
      </c>
      <c r="K14" s="22">
        <v>31</v>
      </c>
      <c r="L14" s="23">
        <f t="shared" si="4"/>
        <v>15.5</v>
      </c>
      <c r="M14" s="24">
        <f t="shared" si="5"/>
        <v>8</v>
      </c>
      <c r="N14" s="25">
        <f>73428.48+65677.81+40435.99+20437+22258.56+12040.44+17815.52+6634+2166+2694+5184+2502+3981+1205+69+696+782+2067.5+665+2013.6+288+258+96+400+264+184+30+536+124+108+48+554+120+40+72+136+248</f>
        <v>286258.89999999991</v>
      </c>
      <c r="O14" s="26">
        <f>7463+6959+4805+2294+2518+1280+2169+965+358+347+662+324+455+143+13+136+154+177+51+403+36+32+12+50+33+23+5+85+20+17+7+110+24+8+6+17+31</f>
        <v>32192</v>
      </c>
      <c r="P14" s="27">
        <f t="shared" si="6"/>
        <v>8.8922372017892624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31</v>
      </c>
      <c r="J15" s="21">
        <v>165</v>
      </c>
      <c r="K15" s="22">
        <v>33</v>
      </c>
      <c r="L15" s="23">
        <f t="shared" si="4"/>
        <v>33</v>
      </c>
      <c r="M15" s="24">
        <f t="shared" si="5"/>
        <v>5</v>
      </c>
      <c r="N15" s="25">
        <f>95967.35+76227.39+34644.5+27256+29590.5+12797.63+9801.17+8948.5+7152.5+16352.94+12150.29+7448.1+8486.06+7400.64+5579.56+3486.52+760+1010+454+162+694+385+790+774+950.4+449+534+379+430+70+165</f>
        <v>371296.05</v>
      </c>
      <c r="O15" s="26">
        <f>9552+7384+3615+3071+3349+1439+1120+971+812+1886+1381+880+989+926+692+485+91+116+49+24+62+55+154+96+190+74+173+126+86+14+33</f>
        <v>39895</v>
      </c>
      <c r="P15" s="27">
        <f t="shared" si="6"/>
        <v>9.3068316831683173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115</v>
      </c>
      <c r="D16" s="58">
        <v>42202</v>
      </c>
      <c r="E16" s="59" t="s">
        <v>9</v>
      </c>
      <c r="F16" s="60" t="s">
        <v>9</v>
      </c>
      <c r="G16" s="61">
        <v>51</v>
      </c>
      <c r="H16" s="19">
        <v>1</v>
      </c>
      <c r="I16" s="20">
        <v>10</v>
      </c>
      <c r="J16" s="21">
        <v>152</v>
      </c>
      <c r="K16" s="22">
        <v>19</v>
      </c>
      <c r="L16" s="23">
        <f t="shared" si="4"/>
        <v>19</v>
      </c>
      <c r="M16" s="24">
        <f t="shared" si="5"/>
        <v>8</v>
      </c>
      <c r="N16" s="25">
        <f>219982.98+68491.3+22743.5+4870.5+545+971+453+216+168+152</f>
        <v>318593.28000000003</v>
      </c>
      <c r="O16" s="26">
        <f>21611+6617+2076+509+89+263+151+27+21+19</f>
        <v>31383</v>
      </c>
      <c r="P16" s="27">
        <f t="shared" si="6"/>
        <v>10.151778988624415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50</v>
      </c>
      <c r="D17" s="37">
        <v>41796</v>
      </c>
      <c r="E17" s="38" t="s">
        <v>9</v>
      </c>
      <c r="F17" s="39" t="s">
        <v>9</v>
      </c>
      <c r="G17" s="40">
        <v>22</v>
      </c>
      <c r="H17" s="62">
        <v>1</v>
      </c>
      <c r="I17" s="63">
        <v>38</v>
      </c>
      <c r="J17" s="64">
        <v>35</v>
      </c>
      <c r="K17" s="65">
        <v>7</v>
      </c>
      <c r="L17" s="66">
        <f t="shared" si="4"/>
        <v>7</v>
      </c>
      <c r="M17" s="67">
        <f t="shared" si="5"/>
        <v>5</v>
      </c>
      <c r="N17" s="68">
        <f>166025.28+97326.52+57686.96+13701.5+11079.5+6936+18694.5+12272.5+7080.5+9304+8779+4785.44+5102.63+3908.66+4837+3724+3492+9632.5+4839+5360.5+615.5+83+1425.6+1525+121+1722.5+1737.5+1635+2287.5+272+153+136+226+136+168+1188+40+35</f>
        <v>468074.58999999997</v>
      </c>
      <c r="O17" s="69">
        <f>15114+9515+5786+1430+1181+648+1199+1400+830+999+900+603+561+474+557+436+370+1189+567+607+105+10+285+117+12+138+141+137+196+34+19+17+28+17+21+238+8+7</f>
        <v>45896</v>
      </c>
      <c r="P17" s="70">
        <f t="shared" si="6"/>
        <v>10.198592252048108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61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62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51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52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43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44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41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42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38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39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35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36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31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32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94</v>
      </c>
      <c r="I6" s="50">
        <v>2</v>
      </c>
      <c r="J6" s="75">
        <v>205565.07</v>
      </c>
      <c r="K6" s="76">
        <v>16592</v>
      </c>
      <c r="L6" s="51">
        <f t="shared" ref="L6:L8" si="0">K6/H6</f>
        <v>176.51063829787233</v>
      </c>
      <c r="M6" s="52">
        <f t="shared" ref="M6:M8" si="1">+J6/K6</f>
        <v>12.389408751205401</v>
      </c>
      <c r="N6" s="77">
        <f>318040.86+205565.07</f>
        <v>523605.93</v>
      </c>
      <c r="O6" s="78">
        <f>26257+16592</f>
        <v>42849</v>
      </c>
      <c r="P6" s="56">
        <f t="shared" ref="P6:P8" si="2">N6/O6</f>
        <v>12.219793460757543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24</v>
      </c>
      <c r="I7" s="20">
        <v>2</v>
      </c>
      <c r="J7" s="21">
        <v>58894.11</v>
      </c>
      <c r="K7" s="22">
        <v>4470</v>
      </c>
      <c r="L7" s="23">
        <f t="shared" si="0"/>
        <v>186.25</v>
      </c>
      <c r="M7" s="24">
        <f t="shared" si="1"/>
        <v>13.175416107382551</v>
      </c>
      <c r="N7" s="25">
        <f>142395.05+58894.11</f>
        <v>201289.15999999997</v>
      </c>
      <c r="O7" s="26">
        <f>12558+4470</f>
        <v>17028</v>
      </c>
      <c r="P7" s="27">
        <f t="shared" si="2"/>
        <v>11.821068827813013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</v>
      </c>
      <c r="I8" s="20">
        <v>3</v>
      </c>
      <c r="J8" s="21">
        <v>3754.5</v>
      </c>
      <c r="K8" s="22">
        <v>443</v>
      </c>
      <c r="L8" s="23">
        <f t="shared" si="0"/>
        <v>88.6</v>
      </c>
      <c r="M8" s="24">
        <f t="shared" si="1"/>
        <v>8.4751693002257333</v>
      </c>
      <c r="N8" s="25">
        <f>127027.28+54193.67+3754.5</f>
        <v>184975.45</v>
      </c>
      <c r="O8" s="26">
        <f>12534+5415+443</f>
        <v>18392</v>
      </c>
      <c r="P8" s="27">
        <f t="shared" si="2"/>
        <v>10.057386363636365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1</v>
      </c>
      <c r="I9" s="20">
        <v>5</v>
      </c>
      <c r="J9" s="21">
        <v>3247.5</v>
      </c>
      <c r="K9" s="22">
        <v>235</v>
      </c>
      <c r="L9" s="23">
        <f>K9/H9</f>
        <v>235</v>
      </c>
      <c r="M9" s="24">
        <f>+J9/K9</f>
        <v>13.819148936170214</v>
      </c>
      <c r="N9" s="25">
        <f>269051.57+169343.49+28199+15139.5+3247.5</f>
        <v>484981.06</v>
      </c>
      <c r="O9" s="26">
        <f>25880+16495+2841+1511+235</f>
        <v>46962</v>
      </c>
      <c r="P9" s="27">
        <f>N9/O9</f>
        <v>10.327095524040713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37</v>
      </c>
      <c r="D10" s="58">
        <v>42027</v>
      </c>
      <c r="E10" s="59" t="s">
        <v>9</v>
      </c>
      <c r="F10" s="60" t="s">
        <v>9</v>
      </c>
      <c r="G10" s="61">
        <v>64</v>
      </c>
      <c r="H10" s="19">
        <v>1</v>
      </c>
      <c r="I10" s="20">
        <v>23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4241+362258.96+222136.17+49398.98+7963+5272.5+3175+2140+739+469+91+2372+2393+1550+1155+2464+72+1782+184+160+496+1425.6+1352+1425.6</f>
        <v>674715.80999999994</v>
      </c>
      <c r="O10" s="26">
        <f>748+36807+24128+5499+982+687+504+269+97+64+13+438+360+285+253+487+10+356+23+20+62+285+104+285</f>
        <v>72766</v>
      </c>
      <c r="P10" s="27">
        <f>N10/O10</f>
        <v>9.2724048319269983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128</v>
      </c>
      <c r="D11" s="58">
        <v>42223</v>
      </c>
      <c r="E11" s="59" t="s">
        <v>9</v>
      </c>
      <c r="F11" s="60" t="s">
        <v>104</v>
      </c>
      <c r="G11" s="61">
        <v>45</v>
      </c>
      <c r="H11" s="19">
        <v>1</v>
      </c>
      <c r="I11" s="20">
        <v>7</v>
      </c>
      <c r="J11" s="21">
        <v>288</v>
      </c>
      <c r="K11" s="22">
        <v>36</v>
      </c>
      <c r="L11" s="23">
        <f>K11/H11</f>
        <v>36</v>
      </c>
      <c r="M11" s="24">
        <f>+J11/K11</f>
        <v>8</v>
      </c>
      <c r="N11" s="25">
        <f>141997.33+44530.4+6257.4+829+251+390+288</f>
        <v>194543.12999999998</v>
      </c>
      <c r="O11" s="26">
        <f>13581+4388+746+110+32+50+36</f>
        <v>18943</v>
      </c>
      <c r="P11" s="27">
        <f>N11/O11</f>
        <v>10.269921870875784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1</v>
      </c>
      <c r="I12" s="20">
        <v>4</v>
      </c>
      <c r="J12" s="21">
        <v>232</v>
      </c>
      <c r="K12" s="22">
        <v>22</v>
      </c>
      <c r="L12" s="23">
        <f>K12/H12</f>
        <v>22</v>
      </c>
      <c r="M12" s="24">
        <f>+J12/K12</f>
        <v>10.545454545454545</v>
      </c>
      <c r="N12" s="25">
        <f>81035.44+33569+1137+232</f>
        <v>115973.44</v>
      </c>
      <c r="O12" s="26">
        <f>6246+2269+117+22</f>
        <v>8654</v>
      </c>
      <c r="P12" s="27">
        <f>N12/O12</f>
        <v>13.401137046452508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115</v>
      </c>
      <c r="D13" s="58">
        <v>42202</v>
      </c>
      <c r="E13" s="59" t="s">
        <v>9</v>
      </c>
      <c r="F13" s="60" t="s">
        <v>9</v>
      </c>
      <c r="G13" s="61">
        <v>51</v>
      </c>
      <c r="H13" s="19">
        <v>1</v>
      </c>
      <c r="I13" s="20">
        <v>9</v>
      </c>
      <c r="J13" s="21">
        <v>168</v>
      </c>
      <c r="K13" s="22">
        <v>21</v>
      </c>
      <c r="L13" s="23">
        <f t="shared" ref="L13" si="4">K13/H13</f>
        <v>21</v>
      </c>
      <c r="M13" s="24">
        <f t="shared" ref="M13" si="5">+J13/K13</f>
        <v>8</v>
      </c>
      <c r="N13" s="25">
        <f>219982.98+68491.3+22743.5+4870.5+545+971+453+216+168</f>
        <v>318441.28000000003</v>
      </c>
      <c r="O13" s="26">
        <f>21611+6617+2076+509+89+263+151+27+21</f>
        <v>31364</v>
      </c>
      <c r="P13" s="27">
        <f t="shared" ref="P13" si="6">N13/O13</f>
        <v>10.153082514985334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36</v>
      </c>
      <c r="J14" s="21">
        <v>136</v>
      </c>
      <c r="K14" s="22">
        <v>17</v>
      </c>
      <c r="L14" s="23">
        <f t="shared" ref="L14" si="7">K14/H14</f>
        <v>17</v>
      </c>
      <c r="M14" s="24">
        <f t="shared" ref="M14" si="8">+J14/K14</f>
        <v>8</v>
      </c>
      <c r="N14" s="25">
        <f>73428.48+65677.81+40435.99+20437+22258.56+12040.44+17815.52+6634+2166+2694+5184+2502+3981+1205+69+696+782+2067.5+665+2013.6+288+258+96+400+264+184+30+536+124+108+48+554+120+40+72+136</f>
        <v>286010.89999999991</v>
      </c>
      <c r="O14" s="26">
        <f>7463+6959+4805+2294+2518+1280+2169+965+358+347+662+324+455+143+13+136+154+177+51+403+36+32+12+50+33+23+5+85+20+17+7+110+24+8+6+17</f>
        <v>32161</v>
      </c>
      <c r="P14" s="27">
        <f t="shared" ref="P14" si="9">N14/O14</f>
        <v>8.8930972295637538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67</v>
      </c>
      <c r="D15" s="58">
        <v>42097</v>
      </c>
      <c r="E15" s="59" t="s">
        <v>9</v>
      </c>
      <c r="F15" s="60" t="s">
        <v>9</v>
      </c>
      <c r="G15" s="61">
        <v>23</v>
      </c>
      <c r="H15" s="19">
        <v>1</v>
      </c>
      <c r="I15" s="20">
        <v>12</v>
      </c>
      <c r="J15" s="21">
        <v>107</v>
      </c>
      <c r="K15" s="22">
        <v>13</v>
      </c>
      <c r="L15" s="23">
        <f>K15/H15</f>
        <v>13</v>
      </c>
      <c r="M15" s="24">
        <f>+J15/K15</f>
        <v>8.2307692307692299</v>
      </c>
      <c r="N15" s="25">
        <f>153138.55+92932.5+24506.5+5070+473.5+384.5+950.4+1782+663+570+1420+107</f>
        <v>281997.95</v>
      </c>
      <c r="O15" s="26">
        <f>11493+6804+2097+245+61+42+190+356+51+57+266+13</f>
        <v>21675</v>
      </c>
      <c r="P15" s="27">
        <f>N15/O15</f>
        <v>13.010286043829296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30</v>
      </c>
      <c r="J16" s="21">
        <v>70</v>
      </c>
      <c r="K16" s="22">
        <v>14</v>
      </c>
      <c r="L16" s="23">
        <f t="shared" ref="L16" si="10">K16/H16</f>
        <v>14</v>
      </c>
      <c r="M16" s="24">
        <f t="shared" ref="M16" si="11">+J16/K16</f>
        <v>5</v>
      </c>
      <c r="N16" s="25">
        <f>95967.35+76227.39+34644.5+27256+29590.5+12797.63+9801.17+8948.5+7152.5+16352.94+12150.29+7448.1+8486.06+7400.64+5579.56+3486.52+760+1010+454+162+694+385+790+774+950.4+449+534+379+430+70</f>
        <v>371131.05</v>
      </c>
      <c r="O16" s="26">
        <f>9552+7384+3615+3071+3349+1439+1120+971+812+1886+1381+880+989+926+692+485+91+116+49+24+62+55+154+96+190+74+173+126+86+14</f>
        <v>39862</v>
      </c>
      <c r="P16" s="27">
        <f t="shared" ref="P16" si="12">N16/O16</f>
        <v>9.3103971200642217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50</v>
      </c>
      <c r="D17" s="37">
        <v>41796</v>
      </c>
      <c r="E17" s="38" t="s">
        <v>9</v>
      </c>
      <c r="F17" s="39" t="s">
        <v>9</v>
      </c>
      <c r="G17" s="40">
        <v>22</v>
      </c>
      <c r="H17" s="62">
        <v>1</v>
      </c>
      <c r="I17" s="63">
        <v>37</v>
      </c>
      <c r="J17" s="64">
        <v>40</v>
      </c>
      <c r="K17" s="65">
        <v>8</v>
      </c>
      <c r="L17" s="66">
        <f>K17/H17</f>
        <v>8</v>
      </c>
      <c r="M17" s="67">
        <f>+J17/K17</f>
        <v>5</v>
      </c>
      <c r="N17" s="68">
        <f>166025.28+97326.52+57686.96+13701.5+11079.5+6936+18694.5+12272.5+7080.5+9304+8779+4785.44+5102.63+3908.66+4837+3724+3492+9632.5+4839+5360.5+615.5+83+1425.6+1525+121+1722.5+1737.5+1635+2287.5+272+153+136+226+136+168+1188+40</f>
        <v>468039.58999999997</v>
      </c>
      <c r="O17" s="69">
        <f>15114+9515+5786+1430+1181+648+1199+1400+830+999+900+603+561+474+557+436+370+1189+567+607+105+10+285+117+12+138+141+137+196+34+19+17+28+17+21+238+8</f>
        <v>45889</v>
      </c>
      <c r="P17" s="70">
        <f>N17/O17</f>
        <v>10.199385255725772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26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27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24</v>
      </c>
      <c r="P2" s="97"/>
    </row>
    <row r="3" spans="1:18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25</v>
      </c>
      <c r="P3" s="99"/>
    </row>
    <row r="4" spans="1:18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</row>
    <row r="5" spans="1:18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141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142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143</v>
      </c>
      <c r="D6" s="45">
        <v>42258</v>
      </c>
      <c r="E6" s="46" t="s">
        <v>9</v>
      </c>
      <c r="F6" s="47" t="s">
        <v>127</v>
      </c>
      <c r="G6" s="48">
        <v>49</v>
      </c>
      <c r="H6" s="49">
        <v>116</v>
      </c>
      <c r="I6" s="50">
        <v>1</v>
      </c>
      <c r="J6" s="53">
        <v>318040.86</v>
      </c>
      <c r="K6" s="16">
        <v>26257</v>
      </c>
      <c r="L6" s="51">
        <f t="shared" ref="L6:L7" si="0">K6/H6</f>
        <v>226.35344827586206</v>
      </c>
      <c r="M6" s="52">
        <f t="shared" ref="M6:M7" si="1">+J6/K6</f>
        <v>12.11261225577941</v>
      </c>
      <c r="N6" s="54">
        <f>318040.86</f>
        <v>318040.86</v>
      </c>
      <c r="O6" s="55">
        <f>26257</f>
        <v>26257</v>
      </c>
      <c r="P6" s="56">
        <f t="shared" ref="P6:P7" si="2">N6/O6</f>
        <v>12.11261225577941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144</v>
      </c>
      <c r="D7" s="58">
        <v>42258</v>
      </c>
      <c r="E7" s="59" t="s">
        <v>9</v>
      </c>
      <c r="F7" s="60" t="s">
        <v>9</v>
      </c>
      <c r="G7" s="61">
        <v>16</v>
      </c>
      <c r="H7" s="19">
        <v>42</v>
      </c>
      <c r="I7" s="20">
        <v>1</v>
      </c>
      <c r="J7" s="21">
        <v>142395.04999999999</v>
      </c>
      <c r="K7" s="22">
        <v>12558</v>
      </c>
      <c r="L7" s="23">
        <f t="shared" si="0"/>
        <v>299</v>
      </c>
      <c r="M7" s="24">
        <f t="shared" si="1"/>
        <v>11.338991081382385</v>
      </c>
      <c r="N7" s="25">
        <f>142395.05</f>
        <v>142395.04999999999</v>
      </c>
      <c r="O7" s="26">
        <f>12558</f>
        <v>12558</v>
      </c>
      <c r="P7" s="27">
        <f t="shared" si="2"/>
        <v>11.338991081382385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140</v>
      </c>
      <c r="D8" s="58">
        <v>42251</v>
      </c>
      <c r="E8" s="59" t="s">
        <v>9</v>
      </c>
      <c r="F8" s="60" t="s">
        <v>29</v>
      </c>
      <c r="G8" s="61">
        <v>35</v>
      </c>
      <c r="H8" s="19">
        <v>56</v>
      </c>
      <c r="I8" s="20">
        <v>2</v>
      </c>
      <c r="J8" s="21">
        <v>54193.67</v>
      </c>
      <c r="K8" s="22">
        <v>5415</v>
      </c>
      <c r="L8" s="23">
        <f t="shared" ref="L8" si="4">K8/H8</f>
        <v>96.696428571428569</v>
      </c>
      <c r="M8" s="24">
        <f t="shared" ref="M8" si="5">+J8/K8</f>
        <v>10.00806463527239</v>
      </c>
      <c r="N8" s="25">
        <f>127027.28+54193.67</f>
        <v>181220.95</v>
      </c>
      <c r="O8" s="26">
        <f>12534+5415</f>
        <v>17949</v>
      </c>
      <c r="P8" s="27">
        <f t="shared" ref="P8" si="6">N8/O8</f>
        <v>10.09643712741657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134</v>
      </c>
      <c r="D9" s="58">
        <v>42237</v>
      </c>
      <c r="E9" s="59" t="s">
        <v>9</v>
      </c>
      <c r="F9" s="60" t="s">
        <v>104</v>
      </c>
      <c r="G9" s="61">
        <v>27</v>
      </c>
      <c r="H9" s="19">
        <v>4</v>
      </c>
      <c r="I9" s="20">
        <v>4</v>
      </c>
      <c r="J9" s="21">
        <v>15139.5</v>
      </c>
      <c r="K9" s="22">
        <v>1511</v>
      </c>
      <c r="L9" s="23">
        <f>K9/H9</f>
        <v>377.75</v>
      </c>
      <c r="M9" s="24">
        <f>+J9/K9</f>
        <v>10.019523494374587</v>
      </c>
      <c r="N9" s="25">
        <f>269051.57+169343.49+28199+15139.5</f>
        <v>481733.56</v>
      </c>
      <c r="O9" s="26">
        <f>25880+16495+2841+1511</f>
        <v>46727</v>
      </c>
      <c r="P9" s="27">
        <f>N9/O9</f>
        <v>10.309533246302994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126</v>
      </c>
      <c r="D10" s="58">
        <v>42223</v>
      </c>
      <c r="E10" s="59" t="s">
        <v>9</v>
      </c>
      <c r="F10" s="60" t="s">
        <v>127</v>
      </c>
      <c r="G10" s="61">
        <v>50</v>
      </c>
      <c r="H10" s="19">
        <v>5</v>
      </c>
      <c r="I10" s="20">
        <v>6</v>
      </c>
      <c r="J10" s="21">
        <v>3969.5</v>
      </c>
      <c r="K10" s="22">
        <v>417</v>
      </c>
      <c r="L10" s="23">
        <f>K10/H10</f>
        <v>83.4</v>
      </c>
      <c r="M10" s="24">
        <f>+J10/K10</f>
        <v>9.5191846522781773</v>
      </c>
      <c r="N10" s="25">
        <f>219626.68+141972.52+34543+11532+834+3969.5</f>
        <v>412477.69999999995</v>
      </c>
      <c r="O10" s="26">
        <f>20459+13617+3776+1109+81+417</f>
        <v>39459</v>
      </c>
      <c r="P10" s="27">
        <f>N10/O10</f>
        <v>10.453323703084212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2</v>
      </c>
      <c r="I11" s="20">
        <v>11</v>
      </c>
      <c r="J11" s="21">
        <v>1420</v>
      </c>
      <c r="K11" s="22">
        <v>266</v>
      </c>
      <c r="L11" s="23">
        <f>K11/H11</f>
        <v>133</v>
      </c>
      <c r="M11" s="24">
        <f>+J11/K11</f>
        <v>5.3383458646616537</v>
      </c>
      <c r="N11" s="25">
        <f>153138.55+92932.5+24506.5+5070+473.5+384.5+950.4+1782+663+570+1420</f>
        <v>281890.95</v>
      </c>
      <c r="O11" s="26">
        <f>11493+6804+2097+245+61+42+190+356+51+57+266</f>
        <v>21662</v>
      </c>
      <c r="P11" s="27">
        <f>N11/O11</f>
        <v>13.013154371710831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137</v>
      </c>
      <c r="D12" s="58">
        <v>42244</v>
      </c>
      <c r="E12" s="59" t="s">
        <v>9</v>
      </c>
      <c r="F12" s="60" t="s">
        <v>104</v>
      </c>
      <c r="G12" s="61">
        <v>10</v>
      </c>
      <c r="H12" s="19">
        <v>2</v>
      </c>
      <c r="I12" s="20">
        <v>3</v>
      </c>
      <c r="J12" s="21">
        <v>1137</v>
      </c>
      <c r="K12" s="22">
        <v>117</v>
      </c>
      <c r="L12" s="23">
        <f>K12/H12</f>
        <v>58.5</v>
      </c>
      <c r="M12" s="24">
        <f>+J12/K12</f>
        <v>9.7179487179487172</v>
      </c>
      <c r="N12" s="25">
        <f>81035.44+33569+1137</f>
        <v>115741.44</v>
      </c>
      <c r="O12" s="26">
        <f>6246+2269+117</f>
        <v>8632</v>
      </c>
      <c r="P12" s="27">
        <f>N12/O12</f>
        <v>13.408415199258574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29</v>
      </c>
      <c r="J13" s="21">
        <v>430</v>
      </c>
      <c r="K13" s="22">
        <v>86</v>
      </c>
      <c r="L13" s="23">
        <f t="shared" ref="L13" si="7">K13/H13</f>
        <v>86</v>
      </c>
      <c r="M13" s="24">
        <f t="shared" ref="M13" si="8">+J13/K13</f>
        <v>5</v>
      </c>
      <c r="N13" s="25">
        <f>95967.35+76227.39+34644.5+27256+29590.5+12797.63+9801.17+8948.5+7152.5+16352.94+12150.29+7448.1+8486.06+7400.64+5579.56+3486.52+760+1010+454+162+694+385+790+774+950.4+449+534+379+430</f>
        <v>371061.05</v>
      </c>
      <c r="O13" s="26">
        <f>9552+7384+3615+3071+3349+1439+1120+971+812+1886+1381+880+989+926+692+485+91+116+49+24+62+55+154+96+190+74+173+126+86</f>
        <v>39848</v>
      </c>
      <c r="P13" s="27">
        <f t="shared" ref="P13" si="9">N13/O13</f>
        <v>9.3119115137522588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128</v>
      </c>
      <c r="D14" s="58">
        <v>42223</v>
      </c>
      <c r="E14" s="59" t="s">
        <v>9</v>
      </c>
      <c r="F14" s="60" t="s">
        <v>104</v>
      </c>
      <c r="G14" s="61">
        <v>45</v>
      </c>
      <c r="H14" s="19">
        <v>1</v>
      </c>
      <c r="I14" s="20">
        <v>6</v>
      </c>
      <c r="J14" s="21">
        <v>390</v>
      </c>
      <c r="K14" s="22">
        <v>50</v>
      </c>
      <c r="L14" s="23">
        <f t="shared" ref="L14" si="10">K14/H14</f>
        <v>50</v>
      </c>
      <c r="M14" s="24">
        <f t="shared" ref="M14" si="11">+J14/K14</f>
        <v>7.8</v>
      </c>
      <c r="N14" s="25">
        <f>141997.33+44530.4+6257.4+829+251+390</f>
        <v>194255.12999999998</v>
      </c>
      <c r="O14" s="26">
        <f>13581+4388+746+110+32+50</f>
        <v>18907</v>
      </c>
      <c r="P14" s="27">
        <f t="shared" ref="P14" si="12">N14/O14</f>
        <v>10.274243930819273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25</v>
      </c>
      <c r="J15" s="21">
        <v>268</v>
      </c>
      <c r="K15" s="22">
        <v>88</v>
      </c>
      <c r="L15" s="23">
        <f>K15/H15</f>
        <v>88</v>
      </c>
      <c r="M15" s="24">
        <f>+J15/K15</f>
        <v>3.0454545454545454</v>
      </c>
      <c r="N15" s="25">
        <f>83413.21+31376.4+14831.5+9913.12+11734.5+8229.1+7018.55+10857.54+6847+2986+13217+3912+1965.5+2132+3849+3531.9+1567.5+1485+149+71+49+87+162+157+268</f>
        <v>219809.82</v>
      </c>
      <c r="O15" s="26">
        <f>6309+2343+1168+899+1487+769+760+1066+812+348+1631+365+188+195+314+530+107+121+17+11+8+13+25+25+88</f>
        <v>19599</v>
      </c>
      <c r="P15" s="27">
        <f>N15/O15</f>
        <v>11.215358946885045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115</v>
      </c>
      <c r="D16" s="58">
        <v>42202</v>
      </c>
      <c r="E16" s="59" t="s">
        <v>9</v>
      </c>
      <c r="F16" s="60" t="s">
        <v>9</v>
      </c>
      <c r="G16" s="61">
        <v>51</v>
      </c>
      <c r="H16" s="19">
        <v>1</v>
      </c>
      <c r="I16" s="20">
        <v>8</v>
      </c>
      <c r="J16" s="21">
        <v>216</v>
      </c>
      <c r="K16" s="22">
        <v>27</v>
      </c>
      <c r="L16" s="23">
        <f t="shared" ref="L16" si="13">K16/H16</f>
        <v>27</v>
      </c>
      <c r="M16" s="24">
        <f t="shared" ref="M16" si="14">+J16/K16</f>
        <v>8</v>
      </c>
      <c r="N16" s="25">
        <f>219982.98+68491.3+22743.5+4870.5+545+971+453+216</f>
        <v>318273.28000000003</v>
      </c>
      <c r="O16" s="26">
        <f>21611+6617+2076+509+89+263+151+27</f>
        <v>31343</v>
      </c>
      <c r="P16" s="27">
        <f t="shared" ref="P16" si="15">N16/O16</f>
        <v>10.154525093322274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33</v>
      </c>
      <c r="D17" s="37">
        <v>41873</v>
      </c>
      <c r="E17" s="38" t="s">
        <v>9</v>
      </c>
      <c r="F17" s="39" t="s">
        <v>34</v>
      </c>
      <c r="G17" s="40">
        <v>27</v>
      </c>
      <c r="H17" s="62">
        <v>1</v>
      </c>
      <c r="I17" s="63">
        <v>22</v>
      </c>
      <c r="J17" s="64">
        <v>80</v>
      </c>
      <c r="K17" s="65">
        <v>10</v>
      </c>
      <c r="L17" s="66">
        <f>K17/H17</f>
        <v>10</v>
      </c>
      <c r="M17" s="67">
        <f>+J17/K17</f>
        <v>8</v>
      </c>
      <c r="N17" s="68">
        <f>86853.81+54964.43+34022.66+23560.33+8123.41+7604.5+3529.5+2609+1898+2251.6+1218+977.5+1040+1455+1095+653+115+195+45+128+80+80</f>
        <v>232498.74</v>
      </c>
      <c r="O17" s="69">
        <f>7232+4293+2509+1779+817+649+331+264+501+432+243+78+73+113+86+213+19+30+7+16+10+10</f>
        <v>19705</v>
      </c>
      <c r="P17" s="70">
        <f>N17/O17</f>
        <v>11.798971834559756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5.8554687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138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139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140</v>
      </c>
      <c r="D6" s="45">
        <v>42251</v>
      </c>
      <c r="E6" s="46" t="s">
        <v>9</v>
      </c>
      <c r="F6" s="47" t="s">
        <v>29</v>
      </c>
      <c r="G6" s="48">
        <v>35</v>
      </c>
      <c r="H6" s="49">
        <v>71</v>
      </c>
      <c r="I6" s="50">
        <v>1</v>
      </c>
      <c r="J6" s="53">
        <v>127027.28</v>
      </c>
      <c r="K6" s="16">
        <v>12534</v>
      </c>
      <c r="L6" s="51">
        <f t="shared" ref="L6" si="0">K6/H6</f>
        <v>176.53521126760563</v>
      </c>
      <c r="M6" s="52">
        <f t="shared" ref="M6" si="1">+J6/K6</f>
        <v>10.134616243816819</v>
      </c>
      <c r="N6" s="54">
        <f>127027.28</f>
        <v>127027.28</v>
      </c>
      <c r="O6" s="55">
        <f>12534</f>
        <v>12534</v>
      </c>
      <c r="P6" s="56">
        <f t="shared" ref="P6" si="2">N6/O6</f>
        <v>10.134616243816819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137</v>
      </c>
      <c r="D7" s="58">
        <v>42244</v>
      </c>
      <c r="E7" s="59" t="s">
        <v>9</v>
      </c>
      <c r="F7" s="60" t="s">
        <v>104</v>
      </c>
      <c r="G7" s="61">
        <v>10</v>
      </c>
      <c r="H7" s="19">
        <v>17</v>
      </c>
      <c r="I7" s="20">
        <v>2</v>
      </c>
      <c r="J7" s="21">
        <v>33569</v>
      </c>
      <c r="K7" s="22">
        <v>2269</v>
      </c>
      <c r="L7" s="23">
        <f>K7/H7</f>
        <v>133.47058823529412</v>
      </c>
      <c r="M7" s="24">
        <f>+J7/K7</f>
        <v>14.79462318201851</v>
      </c>
      <c r="N7" s="25">
        <f>81035.44+33569</f>
        <v>114604.44</v>
      </c>
      <c r="O7" s="26">
        <f>6246+2269</f>
        <v>8515</v>
      </c>
      <c r="P7" s="27">
        <f>N7/O7</f>
        <v>13.459123899001762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134</v>
      </c>
      <c r="D8" s="58">
        <v>42237</v>
      </c>
      <c r="E8" s="59" t="s">
        <v>9</v>
      </c>
      <c r="F8" s="60" t="s">
        <v>104</v>
      </c>
      <c r="G8" s="61">
        <v>27</v>
      </c>
      <c r="H8" s="19">
        <v>15</v>
      </c>
      <c r="I8" s="20">
        <v>3</v>
      </c>
      <c r="J8" s="21">
        <v>28199</v>
      </c>
      <c r="K8" s="22">
        <v>2841</v>
      </c>
      <c r="L8" s="23">
        <f t="shared" ref="L8:L18" si="4">K8/H8</f>
        <v>189.4</v>
      </c>
      <c r="M8" s="24">
        <f t="shared" ref="M8:M18" si="5">+J8/K8</f>
        <v>9.9257303766279481</v>
      </c>
      <c r="N8" s="25">
        <f>269051.57+169343.49+28199</f>
        <v>466594.06</v>
      </c>
      <c r="O8" s="26">
        <f>25880+16495+2841</f>
        <v>45216</v>
      </c>
      <c r="P8" s="27">
        <f t="shared" ref="P8:P18" si="6">N8/O8</f>
        <v>10.319224610757255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21</v>
      </c>
      <c r="D9" s="58">
        <v>41915</v>
      </c>
      <c r="E9" s="59" t="s">
        <v>9</v>
      </c>
      <c r="F9" s="60" t="s">
        <v>20</v>
      </c>
      <c r="G9" s="61">
        <v>52</v>
      </c>
      <c r="H9" s="19">
        <v>2</v>
      </c>
      <c r="I9" s="20">
        <v>18</v>
      </c>
      <c r="J9" s="21">
        <v>3207.6</v>
      </c>
      <c r="K9" s="22">
        <v>641</v>
      </c>
      <c r="L9" s="23">
        <f>K9/H9</f>
        <v>320.5</v>
      </c>
      <c r="M9" s="24">
        <f>+J9/K9</f>
        <v>5.0040561622464894</v>
      </c>
      <c r="N9" s="25">
        <f>917082.76+408148.93+229733.98+293566.8+49586.5+3383+1551.5+689+116+162+2648+22.5+69+592+2376+950.4+950.4+3207.6</f>
        <v>1914836.3699999999</v>
      </c>
      <c r="O9" s="26">
        <f>78453+36692+20370+24581+3906+438+199+89+14+20+350+3+10+75+475+190+190+641</f>
        <v>166696</v>
      </c>
      <c r="P9" s="27">
        <f>N9/O9</f>
        <v>11.486996508614483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98</v>
      </c>
      <c r="D10" s="58">
        <v>42174</v>
      </c>
      <c r="E10" s="59" t="s">
        <v>9</v>
      </c>
      <c r="F10" s="60" t="s">
        <v>99</v>
      </c>
      <c r="G10" s="61">
        <v>46</v>
      </c>
      <c r="H10" s="19">
        <v>1</v>
      </c>
      <c r="I10" s="20">
        <v>6</v>
      </c>
      <c r="J10" s="21">
        <v>1782</v>
      </c>
      <c r="K10" s="22">
        <v>356</v>
      </c>
      <c r="L10" s="23">
        <f>K10/H10</f>
        <v>356</v>
      </c>
      <c r="M10" s="24">
        <f>+J10/K10</f>
        <v>5.0056179775280896</v>
      </c>
      <c r="N10" s="25">
        <f>50986.55+6954.91+1217.5+368+1425.6+1782</f>
        <v>62734.560000000005</v>
      </c>
      <c r="O10" s="26">
        <f>5294+838+153+42+285+356</f>
        <v>6968</v>
      </c>
      <c r="P10" s="27">
        <f>N10/O10</f>
        <v>9.0032376578645241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1</v>
      </c>
      <c r="I11" s="20">
        <v>22</v>
      </c>
      <c r="J11" s="21">
        <v>1352</v>
      </c>
      <c r="K11" s="22">
        <v>104</v>
      </c>
      <c r="L11" s="23">
        <f>K11/H11</f>
        <v>104</v>
      </c>
      <c r="M11" s="24">
        <f>+J11/K11</f>
        <v>13</v>
      </c>
      <c r="N11" s="25">
        <f>4241+362258.96+222136.17+49398.98+7963+5272.5+3175+2140+739+469+91+2372+2393+1550+1155+2464+72+1782+184+160+496+1425.6+1352</f>
        <v>673290.21</v>
      </c>
      <c r="O11" s="26">
        <f>748+36807+24128+5499+982+687+504+269+97+64+13+438+360+285+253+487+10+356+23+20+62+285+104</f>
        <v>72481</v>
      </c>
      <c r="P11" s="27">
        <f>N11/O11</f>
        <v>9.2891959272085085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131</v>
      </c>
      <c r="D12" s="58">
        <v>42230</v>
      </c>
      <c r="E12" s="59" t="s">
        <v>9</v>
      </c>
      <c r="F12" s="60" t="s">
        <v>104</v>
      </c>
      <c r="G12" s="61">
        <v>18</v>
      </c>
      <c r="H12" s="19">
        <v>1</v>
      </c>
      <c r="I12" s="20">
        <v>4</v>
      </c>
      <c r="J12" s="21">
        <v>1312</v>
      </c>
      <c r="K12" s="22">
        <v>107</v>
      </c>
      <c r="L12" s="23">
        <f t="shared" si="4"/>
        <v>107</v>
      </c>
      <c r="M12" s="24">
        <f t="shared" si="5"/>
        <v>12.261682242990654</v>
      </c>
      <c r="N12" s="25">
        <f>175417.68+83956.48+21784+1312</f>
        <v>282470.15999999997</v>
      </c>
      <c r="O12" s="26">
        <f>13448+6180+1312+107</f>
        <v>21047</v>
      </c>
      <c r="P12" s="27">
        <f t="shared" si="6"/>
        <v>13.420922696821398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126</v>
      </c>
      <c r="D13" s="58">
        <v>42223</v>
      </c>
      <c r="E13" s="59" t="s">
        <v>9</v>
      </c>
      <c r="F13" s="60" t="s">
        <v>127</v>
      </c>
      <c r="G13" s="61">
        <v>50</v>
      </c>
      <c r="H13" s="19">
        <v>4</v>
      </c>
      <c r="I13" s="20">
        <v>5</v>
      </c>
      <c r="J13" s="21">
        <v>834</v>
      </c>
      <c r="K13" s="22">
        <v>81</v>
      </c>
      <c r="L13" s="23">
        <f t="shared" si="4"/>
        <v>20.25</v>
      </c>
      <c r="M13" s="24">
        <f t="shared" si="5"/>
        <v>10.296296296296296</v>
      </c>
      <c r="N13" s="25">
        <f>219626.68+141972.52+34543+11532+834</f>
        <v>408508.19999999995</v>
      </c>
      <c r="O13" s="26">
        <f>20459+13617+3776+1109+81</f>
        <v>39042</v>
      </c>
      <c r="P13" s="27">
        <f t="shared" si="6"/>
        <v>10.463301060396494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81</v>
      </c>
      <c r="D14" s="58">
        <v>42132</v>
      </c>
      <c r="E14" s="59" t="s">
        <v>9</v>
      </c>
      <c r="F14" s="60" t="s">
        <v>9</v>
      </c>
      <c r="G14" s="61">
        <v>27</v>
      </c>
      <c r="H14" s="19">
        <v>2</v>
      </c>
      <c r="I14" s="20">
        <v>12</v>
      </c>
      <c r="J14" s="21">
        <v>326</v>
      </c>
      <c r="K14" s="22">
        <v>42</v>
      </c>
      <c r="L14" s="23">
        <f>K14/H14</f>
        <v>21</v>
      </c>
      <c r="M14" s="24">
        <f>+J14/K14</f>
        <v>7.7619047619047619</v>
      </c>
      <c r="N14" s="25">
        <f>150395.08+52946.08+3011.5+1726+142+1745+755+1765+153+184+678+326</f>
        <v>213826.65999999997</v>
      </c>
      <c r="O14" s="26">
        <f>14539+4867+346+172+14+208+97+169+19+28+90+42</f>
        <v>20591</v>
      </c>
      <c r="P14" s="27">
        <f>N14/O14</f>
        <v>10.384471856636393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1</v>
      </c>
      <c r="I15" s="20">
        <v>12</v>
      </c>
      <c r="J15" s="21">
        <v>322</v>
      </c>
      <c r="K15" s="22">
        <v>36</v>
      </c>
      <c r="L15" s="23">
        <f t="shared" si="4"/>
        <v>36</v>
      </c>
      <c r="M15" s="24">
        <f t="shared" si="5"/>
        <v>8.9444444444444446</v>
      </c>
      <c r="N15" s="25">
        <f>68974+25816.1+2524+476+340+477+512+2602+707.5+906+1461+322</f>
        <v>105117.6</v>
      </c>
      <c r="O15" s="26">
        <f>5512+1865+151+62+39+59+63+298+95+96+125+36</f>
        <v>8401</v>
      </c>
      <c r="P15" s="27">
        <f t="shared" si="6"/>
        <v>12.512510415426735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2</v>
      </c>
      <c r="I16" s="20">
        <v>5</v>
      </c>
      <c r="J16" s="21">
        <v>251</v>
      </c>
      <c r="K16" s="22">
        <v>32</v>
      </c>
      <c r="L16" s="23">
        <f t="shared" si="4"/>
        <v>16</v>
      </c>
      <c r="M16" s="24">
        <f t="shared" si="5"/>
        <v>7.84375</v>
      </c>
      <c r="N16" s="25">
        <f>141997.33+44530.4+6257.4+829+251</f>
        <v>193865.12999999998</v>
      </c>
      <c r="O16" s="26">
        <f>13581+4388+746+110+32</f>
        <v>18857</v>
      </c>
      <c r="P16" s="27">
        <f t="shared" si="6"/>
        <v>10.280804475791482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33</v>
      </c>
      <c r="D17" s="58">
        <v>41873</v>
      </c>
      <c r="E17" s="59" t="s">
        <v>9</v>
      </c>
      <c r="F17" s="60" t="s">
        <v>34</v>
      </c>
      <c r="G17" s="61">
        <v>27</v>
      </c>
      <c r="H17" s="19">
        <v>1</v>
      </c>
      <c r="I17" s="20">
        <v>21</v>
      </c>
      <c r="J17" s="21">
        <v>80</v>
      </c>
      <c r="K17" s="22">
        <v>10</v>
      </c>
      <c r="L17" s="23">
        <f>K17/H17</f>
        <v>10</v>
      </c>
      <c r="M17" s="24">
        <f>+J17/K17</f>
        <v>8</v>
      </c>
      <c r="N17" s="25">
        <f>86853.81+54964.43+34022.66+23560.33+8123.41+7604.5+3529.5+2609+1898+2251.6+1218+977.5+1040+1455+1095+653+115+195+45+128+80</f>
        <v>232418.74</v>
      </c>
      <c r="O17" s="26">
        <f>7232+4293+2509+1779+817+649+331+264+501+432+243+78+73+113+86+213+19+30+7+16+10</f>
        <v>19695</v>
      </c>
      <c r="P17" s="27">
        <f>N17/O17</f>
        <v>11.800900736227469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35</v>
      </c>
      <c r="J18" s="64">
        <v>72</v>
      </c>
      <c r="K18" s="65">
        <v>6</v>
      </c>
      <c r="L18" s="66">
        <f t="shared" si="4"/>
        <v>6</v>
      </c>
      <c r="M18" s="67">
        <f t="shared" si="5"/>
        <v>12</v>
      </c>
      <c r="N18" s="68">
        <f>73428.48+65677.81+40435.99+20437+22258.56+12040.44+17815.52+6634+2166+2694+5184+2502+3981+1205+69+696+782+2067.5+665+2013.6+288+258+96+400+264+184+30+536+124+108+48+554+120+40+72</f>
        <v>285874.89999999991</v>
      </c>
      <c r="O18" s="69">
        <f>7463+6959+4805+2294+2518+1280+2169+965+358+347+662+324+455+143+13+136+154+177+51+403+36+32+12+50+33+23+5+85+20+17+7+110+24+8+6</f>
        <v>32144</v>
      </c>
      <c r="P18" s="70">
        <f t="shared" si="6"/>
        <v>8.8935695619711268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9" style="6" bestFit="1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135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136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thickBot="1" x14ac:dyDescent="0.3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134</v>
      </c>
      <c r="D6" s="45">
        <v>42237</v>
      </c>
      <c r="E6" s="46" t="s">
        <v>9</v>
      </c>
      <c r="F6" s="47" t="s">
        <v>104</v>
      </c>
      <c r="G6" s="48">
        <v>27</v>
      </c>
      <c r="H6" s="49">
        <v>100</v>
      </c>
      <c r="I6" s="50">
        <v>2</v>
      </c>
      <c r="J6" s="53">
        <v>169343.49</v>
      </c>
      <c r="K6" s="16">
        <v>16495</v>
      </c>
      <c r="L6" s="51">
        <f t="shared" ref="L6:L22" si="0">K6/H6</f>
        <v>164.95</v>
      </c>
      <c r="M6" s="52">
        <f t="shared" ref="M6:M22" si="1">+J6/K6</f>
        <v>10.26635283419218</v>
      </c>
      <c r="N6" s="54">
        <f>269051.57+169343.49</f>
        <v>438395.06</v>
      </c>
      <c r="O6" s="55">
        <f>25880+16495</f>
        <v>42375</v>
      </c>
      <c r="P6" s="56">
        <f t="shared" ref="P6:P22" si="2">N6/O6</f>
        <v>10.345606135693215</v>
      </c>
      <c r="Q6" s="29"/>
      <c r="R6" s="29"/>
      <c r="S6" s="29"/>
    </row>
    <row r="7" spans="1:19" s="3" customFormat="1" ht="22.5" customHeight="1" x14ac:dyDescent="0.25">
      <c r="B7" s="18">
        <f t="shared" ref="B7:B22" si="3">B6+1</f>
        <v>2</v>
      </c>
      <c r="C7" s="82" t="s">
        <v>137</v>
      </c>
      <c r="D7" s="83">
        <v>42244</v>
      </c>
      <c r="E7" s="84" t="s">
        <v>9</v>
      </c>
      <c r="F7" s="85" t="s">
        <v>104</v>
      </c>
      <c r="G7" s="86">
        <v>10</v>
      </c>
      <c r="H7" s="19">
        <v>35</v>
      </c>
      <c r="I7" s="20">
        <v>1</v>
      </c>
      <c r="J7" s="21">
        <v>81035.44</v>
      </c>
      <c r="K7" s="22">
        <v>6246</v>
      </c>
      <c r="L7" s="23">
        <f t="shared" ref="L7" si="4">K7/H7</f>
        <v>178.45714285714286</v>
      </c>
      <c r="M7" s="24">
        <f t="shared" ref="M7" si="5">+J7/K7</f>
        <v>12.973973743195646</v>
      </c>
      <c r="N7" s="25">
        <f>81035.44</f>
        <v>81035.44</v>
      </c>
      <c r="O7" s="26">
        <f>6246</f>
        <v>6246</v>
      </c>
      <c r="P7" s="27">
        <f t="shared" si="2"/>
        <v>12.973973743195646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131</v>
      </c>
      <c r="D8" s="58">
        <v>42230</v>
      </c>
      <c r="E8" s="59" t="s">
        <v>9</v>
      </c>
      <c r="F8" s="60" t="s">
        <v>104</v>
      </c>
      <c r="G8" s="61">
        <v>18</v>
      </c>
      <c r="H8" s="19">
        <v>10</v>
      </c>
      <c r="I8" s="20">
        <v>3</v>
      </c>
      <c r="J8" s="21">
        <v>21784</v>
      </c>
      <c r="K8" s="22">
        <v>1312</v>
      </c>
      <c r="L8" s="23">
        <f t="shared" si="0"/>
        <v>131.19999999999999</v>
      </c>
      <c r="M8" s="24">
        <f t="shared" si="1"/>
        <v>16.603658536585368</v>
      </c>
      <c r="N8" s="25">
        <f>175417.68+83956.48+21784</f>
        <v>281158.15999999997</v>
      </c>
      <c r="O8" s="26">
        <f>13448+6180+1312</f>
        <v>20940</v>
      </c>
      <c r="P8" s="27">
        <f t="shared" si="2"/>
        <v>13.42684622731614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126</v>
      </c>
      <c r="D9" s="58">
        <v>42223</v>
      </c>
      <c r="E9" s="59" t="s">
        <v>9</v>
      </c>
      <c r="F9" s="60" t="s">
        <v>127</v>
      </c>
      <c r="G9" s="61">
        <v>50</v>
      </c>
      <c r="H9" s="19">
        <v>18</v>
      </c>
      <c r="I9" s="20">
        <v>4</v>
      </c>
      <c r="J9" s="21">
        <v>11532</v>
      </c>
      <c r="K9" s="22">
        <v>1109</v>
      </c>
      <c r="L9" s="23">
        <f t="shared" si="0"/>
        <v>61.611111111111114</v>
      </c>
      <c r="M9" s="24">
        <f t="shared" si="1"/>
        <v>10.398557258791705</v>
      </c>
      <c r="N9" s="25">
        <f>219626.68+141972.52+34543+11532</f>
        <v>407674.19999999995</v>
      </c>
      <c r="O9" s="26">
        <f>20459+13617+3776+1109</f>
        <v>38961</v>
      </c>
      <c r="P9" s="27">
        <f t="shared" si="2"/>
        <v>10.463648263648263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2</v>
      </c>
      <c r="I10" s="20">
        <v>40</v>
      </c>
      <c r="J10" s="21">
        <v>2222</v>
      </c>
      <c r="K10" s="22">
        <v>400</v>
      </c>
      <c r="L10" s="23">
        <f t="shared" ref="L10:L15" si="6">K10/H10</f>
        <v>200</v>
      </c>
      <c r="M10" s="24">
        <f t="shared" ref="M10:M15" si="7">+J10/K10</f>
        <v>5.5549999999999997</v>
      </c>
      <c r="N10" s="25">
        <f>1099708.11+593370.74+224185+52839.5+17039.5+9578+7414+5098+4983.5+10660.5+14194.5+2400+3550+2380.5+7656.5+4091.5+1713+2737+828+128+4019.35+696+742+3681+1237+1911+1320+2988+1801+2002+865+891+666+1977+185+70+1223+424+3730+2222</f>
        <v>2097206.2000000002</v>
      </c>
      <c r="O10" s="26">
        <f>102148+56106+22339+5539+1692+934+809+597+525+1619+1502+226+582+302+1163+486+470+558+154+16+730+93+96+595+155+233+216+393+237+257+118+138+96+381+25+14+245+41+729+400</f>
        <v>202959</v>
      </c>
      <c r="P10" s="27">
        <f t="shared" ref="P10:P15" si="8">N10/O10</f>
        <v>10.3331520159244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1</v>
      </c>
      <c r="I11" s="20">
        <v>19</v>
      </c>
      <c r="J11" s="21">
        <v>1782</v>
      </c>
      <c r="K11" s="22">
        <v>356</v>
      </c>
      <c r="L11" s="23">
        <f t="shared" si="6"/>
        <v>356</v>
      </c>
      <c r="M11" s="24">
        <f t="shared" si="7"/>
        <v>5.0056179775280896</v>
      </c>
      <c r="N11" s="25">
        <f>371891.95+241999.75+69894+20187.87+18724.1+22951.5+4635.5+1896+668+3460.6+242+394+1425.6+951+128+364+419+1742+1782</f>
        <v>763756.86999999988</v>
      </c>
      <c r="O11" s="26">
        <f>33703+24038+8305+2721+2351+2413+517+210+165+873+30+51+285+129+16+38+45+134+356</f>
        <v>76380</v>
      </c>
      <c r="P11" s="27">
        <f t="shared" si="8"/>
        <v>9.9994353233830822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84</v>
      </c>
      <c r="D12" s="58">
        <v>42139</v>
      </c>
      <c r="E12" s="59" t="s">
        <v>9</v>
      </c>
      <c r="F12" s="60" t="s">
        <v>29</v>
      </c>
      <c r="G12" s="61">
        <v>16</v>
      </c>
      <c r="H12" s="19">
        <v>2</v>
      </c>
      <c r="I12" s="20">
        <v>11</v>
      </c>
      <c r="J12" s="21">
        <v>1461</v>
      </c>
      <c r="K12" s="22">
        <v>125</v>
      </c>
      <c r="L12" s="23">
        <f t="shared" si="6"/>
        <v>62.5</v>
      </c>
      <c r="M12" s="24">
        <f t="shared" si="7"/>
        <v>11.688000000000001</v>
      </c>
      <c r="N12" s="25">
        <f>68974+25816.1+2524+476+340+477+512+2602+707.5+906+1461</f>
        <v>104795.6</v>
      </c>
      <c r="O12" s="26">
        <f>5512+1865+151+62+39+59+63+298+95+96+125</f>
        <v>8365</v>
      </c>
      <c r="P12" s="27">
        <f t="shared" si="8"/>
        <v>12.527866108786611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21</v>
      </c>
      <c r="J13" s="21">
        <v>1425.6</v>
      </c>
      <c r="K13" s="22">
        <v>285</v>
      </c>
      <c r="L13" s="23">
        <f t="shared" si="6"/>
        <v>285</v>
      </c>
      <c r="M13" s="24">
        <f t="shared" si="7"/>
        <v>5.0021052631578948</v>
      </c>
      <c r="N13" s="25">
        <f>4241+362258.96+222136.17+49398.98+7963+5272.5+3175+2140+739+469+91+2372+2393+1550+1155+2464+72+1782+184+160+496+1425.6</f>
        <v>671938.21</v>
      </c>
      <c r="O13" s="26">
        <f>748+36807+24128+5499+982+687+504+269+97+64+13+438+360+285+253+487+10+356+23+20+62+285</f>
        <v>72377</v>
      </c>
      <c r="P13" s="27">
        <f t="shared" si="8"/>
        <v>9.2838637965099409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1</v>
      </c>
      <c r="I14" s="20">
        <v>5</v>
      </c>
      <c r="J14" s="21">
        <v>1425.6</v>
      </c>
      <c r="K14" s="22">
        <v>285</v>
      </c>
      <c r="L14" s="23">
        <f t="shared" si="6"/>
        <v>285</v>
      </c>
      <c r="M14" s="24">
        <f t="shared" si="7"/>
        <v>5.0021052631578948</v>
      </c>
      <c r="N14" s="25">
        <f>50986.55+6954.91+1217.5+368+1425.6</f>
        <v>60952.560000000005</v>
      </c>
      <c r="O14" s="26">
        <f>5294+838+153+42+285</f>
        <v>6612</v>
      </c>
      <c r="P14" s="27">
        <f t="shared" si="8"/>
        <v>9.218475499092559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50</v>
      </c>
      <c r="D15" s="58">
        <v>41796</v>
      </c>
      <c r="E15" s="59" t="s">
        <v>9</v>
      </c>
      <c r="F15" s="60" t="s">
        <v>9</v>
      </c>
      <c r="G15" s="61">
        <v>22</v>
      </c>
      <c r="H15" s="19">
        <v>1</v>
      </c>
      <c r="I15" s="20">
        <v>36</v>
      </c>
      <c r="J15" s="21">
        <v>1188</v>
      </c>
      <c r="K15" s="22">
        <v>238</v>
      </c>
      <c r="L15" s="23">
        <f t="shared" si="6"/>
        <v>238</v>
      </c>
      <c r="M15" s="24">
        <f t="shared" si="7"/>
        <v>4.9915966386554622</v>
      </c>
      <c r="N15" s="25">
        <f>166025.28+97326.52+57686.96+13701.5+11079.5+6936+18694.5+12272.5+7080.5+9304+8779+4785.44+5102.63+3908.66+4837+3724+3492+9632.5+4839+5360.5+615.5+83+1425.6+1525+121+1722.5+1737.5+1635+2287.5+272+153+136+226+136+168+1188</f>
        <v>467999.58999999997</v>
      </c>
      <c r="O15" s="26">
        <f>15114+9515+5786+1430+1181+648+1199+1400+830+999+900+603+561+474+557+436+370+1189+567+607+105+10+285+117+12+138+141+137+196+34+19+17+28+17+21+238</f>
        <v>45881</v>
      </c>
      <c r="P15" s="27">
        <f t="shared" si="8"/>
        <v>10.200291841938927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128</v>
      </c>
      <c r="D16" s="58">
        <v>42223</v>
      </c>
      <c r="E16" s="59" t="s">
        <v>9</v>
      </c>
      <c r="F16" s="60" t="s">
        <v>104</v>
      </c>
      <c r="G16" s="61">
        <v>45</v>
      </c>
      <c r="H16" s="19">
        <v>3</v>
      </c>
      <c r="I16" s="20">
        <v>4</v>
      </c>
      <c r="J16" s="21">
        <v>829</v>
      </c>
      <c r="K16" s="22">
        <v>110</v>
      </c>
      <c r="L16" s="23">
        <f t="shared" si="0"/>
        <v>36.666666666666664</v>
      </c>
      <c r="M16" s="24">
        <f t="shared" si="1"/>
        <v>7.5363636363636362</v>
      </c>
      <c r="N16" s="25">
        <f>141997.33+44530.4+6257.4+829</f>
        <v>193614.12999999998</v>
      </c>
      <c r="O16" s="26">
        <f>13581+4388+746+110</f>
        <v>18825</v>
      </c>
      <c r="P16" s="27">
        <f t="shared" si="2"/>
        <v>10.284947144754314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116</v>
      </c>
      <c r="D17" s="58">
        <v>42202</v>
      </c>
      <c r="E17" s="59" t="s">
        <v>9</v>
      </c>
      <c r="F17" s="60" t="s">
        <v>117</v>
      </c>
      <c r="G17" s="61">
        <v>56</v>
      </c>
      <c r="H17" s="19">
        <v>3</v>
      </c>
      <c r="I17" s="20">
        <v>7</v>
      </c>
      <c r="J17" s="21">
        <v>697.5</v>
      </c>
      <c r="K17" s="22">
        <v>82</v>
      </c>
      <c r="L17" s="23">
        <f t="shared" si="0"/>
        <v>27.333333333333332</v>
      </c>
      <c r="M17" s="24">
        <f t="shared" si="1"/>
        <v>8.5060975609756095</v>
      </c>
      <c r="N17" s="25">
        <f>184618.24+54686.02+11326.21+901+1221+1279.5+697.5</f>
        <v>254729.46999999997</v>
      </c>
      <c r="O17" s="26">
        <f>18571+5704+1167+106+141+143+82</f>
        <v>25914</v>
      </c>
      <c r="P17" s="27">
        <f t="shared" si="2"/>
        <v>9.8298012657250897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3</v>
      </c>
      <c r="I18" s="20">
        <v>11</v>
      </c>
      <c r="J18" s="21">
        <v>678</v>
      </c>
      <c r="K18" s="22">
        <v>90</v>
      </c>
      <c r="L18" s="23">
        <f>K18/H18</f>
        <v>30</v>
      </c>
      <c r="M18" s="24">
        <f>+J18/K18</f>
        <v>7.5333333333333332</v>
      </c>
      <c r="N18" s="25">
        <f>150395.08+52946.08+3011.5+1726+142+1745+755+1765+153+184+678</f>
        <v>213500.65999999997</v>
      </c>
      <c r="O18" s="26">
        <f>14539+4867+346+172+14+208+97+169+19+28+90</f>
        <v>20549</v>
      </c>
      <c r="P18" s="27">
        <f>N18/O18</f>
        <v>10.389832108618423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90</v>
      </c>
      <c r="D19" s="58">
        <v>42153</v>
      </c>
      <c r="E19" s="59" t="s">
        <v>9</v>
      </c>
      <c r="F19" s="60" t="s">
        <v>9</v>
      </c>
      <c r="G19" s="61">
        <v>10</v>
      </c>
      <c r="H19" s="19">
        <v>1</v>
      </c>
      <c r="I19" s="20">
        <v>6</v>
      </c>
      <c r="J19" s="21">
        <v>494</v>
      </c>
      <c r="K19" s="22">
        <v>63</v>
      </c>
      <c r="L19" s="23">
        <f t="shared" ref="L19" si="9">K19/H19</f>
        <v>63</v>
      </c>
      <c r="M19" s="24">
        <f t="shared" ref="M19" si="10">+J19/K19</f>
        <v>7.8412698412698409</v>
      </c>
      <c r="N19" s="25">
        <f>23426+5288+768+447+264+494</f>
        <v>30687</v>
      </c>
      <c r="O19" s="26">
        <f>1726+349+207+136+88+63</f>
        <v>2569</v>
      </c>
      <c r="P19" s="27">
        <f t="shared" ref="P19" si="11">N19/O19</f>
        <v>11.945114830673413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115</v>
      </c>
      <c r="D20" s="58">
        <v>42202</v>
      </c>
      <c r="E20" s="59" t="s">
        <v>9</v>
      </c>
      <c r="F20" s="60" t="s">
        <v>9</v>
      </c>
      <c r="G20" s="61">
        <v>51</v>
      </c>
      <c r="H20" s="19">
        <v>3</v>
      </c>
      <c r="I20" s="20">
        <v>7</v>
      </c>
      <c r="J20" s="21">
        <v>453</v>
      </c>
      <c r="K20" s="22">
        <v>151</v>
      </c>
      <c r="L20" s="23">
        <f t="shared" si="0"/>
        <v>50.333333333333336</v>
      </c>
      <c r="M20" s="24">
        <f t="shared" si="1"/>
        <v>3</v>
      </c>
      <c r="N20" s="25">
        <f>219982.98+68491.3+22743.5+4870.5+545+971+453</f>
        <v>318057.28000000003</v>
      </c>
      <c r="O20" s="26">
        <f>21611+6617+2076+509+89+263+151</f>
        <v>31316</v>
      </c>
      <c r="P20" s="27">
        <f t="shared" si="2"/>
        <v>10.156382679780306</v>
      </c>
      <c r="Q20" s="29"/>
      <c r="R20" s="29"/>
      <c r="S20" s="29"/>
    </row>
    <row r="21" spans="2:19" s="3" customFormat="1" ht="22.5" customHeight="1" x14ac:dyDescent="0.25">
      <c r="B21" s="18">
        <f t="shared" si="3"/>
        <v>16</v>
      </c>
      <c r="C21" s="57" t="s">
        <v>33</v>
      </c>
      <c r="D21" s="58">
        <v>41873</v>
      </c>
      <c r="E21" s="59" t="s">
        <v>9</v>
      </c>
      <c r="F21" s="60" t="s">
        <v>34</v>
      </c>
      <c r="G21" s="61">
        <v>27</v>
      </c>
      <c r="H21" s="19">
        <v>1</v>
      </c>
      <c r="I21" s="20">
        <v>20</v>
      </c>
      <c r="J21" s="21">
        <v>128</v>
      </c>
      <c r="K21" s="22">
        <v>16</v>
      </c>
      <c r="L21" s="23">
        <f>K21/H21</f>
        <v>16</v>
      </c>
      <c r="M21" s="24">
        <f>+J21/K21</f>
        <v>8</v>
      </c>
      <c r="N21" s="25">
        <f>86853.81+54964.43+34022.66+23560.33+8123.41+7604.5+3529.5+2609+1898+2251.6+1218+977.5+1040+1455+1095+653+115+195+45+128</f>
        <v>232338.74</v>
      </c>
      <c r="O21" s="26">
        <f>7232+4293+2509+1779+817+649+331+264+501+432+243+78+73+113+86+213+19+30+7+16</f>
        <v>19685</v>
      </c>
      <c r="P21" s="27">
        <f>N21/O21</f>
        <v>11.802831597663195</v>
      </c>
      <c r="Q21" s="29"/>
      <c r="R21" s="29"/>
      <c r="S21" s="29"/>
    </row>
    <row r="22" spans="2:19" s="3" customFormat="1" ht="22.5" customHeight="1" thickBot="1" x14ac:dyDescent="0.3">
      <c r="B22" s="4">
        <f t="shared" si="3"/>
        <v>17</v>
      </c>
      <c r="C22" s="36" t="s">
        <v>55</v>
      </c>
      <c r="D22" s="37">
        <v>41845</v>
      </c>
      <c r="E22" s="38" t="s">
        <v>9</v>
      </c>
      <c r="F22" s="39" t="s">
        <v>9</v>
      </c>
      <c r="G22" s="40">
        <v>23</v>
      </c>
      <c r="H22" s="62">
        <v>1</v>
      </c>
      <c r="I22" s="63">
        <v>34</v>
      </c>
      <c r="J22" s="64">
        <v>40</v>
      </c>
      <c r="K22" s="65">
        <v>8</v>
      </c>
      <c r="L22" s="66">
        <f t="shared" si="0"/>
        <v>8</v>
      </c>
      <c r="M22" s="67">
        <f t="shared" si="1"/>
        <v>5</v>
      </c>
      <c r="N22" s="68">
        <f>73428.48+65677.81+40435.99+20437+22258.56+12040.44+17815.52+6634+2166+2694+5184+2502+3981+1205+69+696+782+2067.5+665+2013.6+288+258+96+400+264+184+30+536+124+108+48+554+120+40</f>
        <v>285802.89999999991</v>
      </c>
      <c r="O22" s="69">
        <f>7463+6959+4805+2294+2518+1280+2169+965+358+347+662+324+455+143+13+136+154+177+51+403+36+32+12+50+33+23+5+85+20+17+7+110+24+8</f>
        <v>32138</v>
      </c>
      <c r="P22" s="70">
        <f t="shared" si="2"/>
        <v>8.8929896073184356</v>
      </c>
      <c r="Q22" s="29"/>
      <c r="R22" s="29"/>
      <c r="S2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132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133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>B5+1</f>
        <v>1</v>
      </c>
      <c r="C6" s="82" t="s">
        <v>134</v>
      </c>
      <c r="D6" s="83">
        <v>42237</v>
      </c>
      <c r="E6" s="84" t="s">
        <v>9</v>
      </c>
      <c r="F6" s="85" t="s">
        <v>104</v>
      </c>
      <c r="G6" s="86">
        <v>27</v>
      </c>
      <c r="H6" s="19">
        <v>114</v>
      </c>
      <c r="I6" s="20">
        <v>1</v>
      </c>
      <c r="J6" s="21">
        <v>269051.57</v>
      </c>
      <c r="K6" s="22">
        <v>25880</v>
      </c>
      <c r="L6" s="23">
        <f t="shared" ref="L6:L20" si="0">K6/H6</f>
        <v>227.01754385964912</v>
      </c>
      <c r="M6" s="24">
        <f t="shared" ref="M6:M20" si="1">+J6/K6</f>
        <v>10.396119397217928</v>
      </c>
      <c r="N6" s="25">
        <f>269051.57</f>
        <v>269051.57</v>
      </c>
      <c r="O6" s="26">
        <f>25880</f>
        <v>25880</v>
      </c>
      <c r="P6" s="27">
        <f t="shared" ref="P6:P20" si="2">N6/O6</f>
        <v>10.396119397217928</v>
      </c>
      <c r="Q6" s="29"/>
      <c r="R6" s="29"/>
      <c r="S6" s="29"/>
    </row>
    <row r="7" spans="1:19" s="3" customFormat="1" ht="22.5" customHeight="1" x14ac:dyDescent="0.25">
      <c r="B7" s="18">
        <f t="shared" ref="B7:B20" si="3">B6+1</f>
        <v>2</v>
      </c>
      <c r="C7" s="57" t="s">
        <v>131</v>
      </c>
      <c r="D7" s="58">
        <v>42230</v>
      </c>
      <c r="E7" s="59" t="s">
        <v>9</v>
      </c>
      <c r="F7" s="60" t="s">
        <v>104</v>
      </c>
      <c r="G7" s="61">
        <v>18</v>
      </c>
      <c r="H7" s="19">
        <v>37</v>
      </c>
      <c r="I7" s="20">
        <v>2</v>
      </c>
      <c r="J7" s="21">
        <v>83956.479999999996</v>
      </c>
      <c r="K7" s="22">
        <v>6180</v>
      </c>
      <c r="L7" s="23">
        <f t="shared" si="0"/>
        <v>167.02702702702703</v>
      </c>
      <c r="M7" s="24">
        <f t="shared" si="1"/>
        <v>13.585190938511326</v>
      </c>
      <c r="N7" s="25">
        <f>175417.68+83956.48</f>
        <v>259374.15999999997</v>
      </c>
      <c r="O7" s="26">
        <f>13448+6180</f>
        <v>19628</v>
      </c>
      <c r="P7" s="27">
        <f t="shared" si="2"/>
        <v>13.214497656409209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126</v>
      </c>
      <c r="D8" s="58">
        <v>42223</v>
      </c>
      <c r="E8" s="59" t="s">
        <v>9</v>
      </c>
      <c r="F8" s="60" t="s">
        <v>127</v>
      </c>
      <c r="G8" s="61">
        <v>50</v>
      </c>
      <c r="H8" s="19">
        <v>33</v>
      </c>
      <c r="I8" s="20">
        <v>3</v>
      </c>
      <c r="J8" s="21">
        <v>34543</v>
      </c>
      <c r="K8" s="22">
        <v>3776</v>
      </c>
      <c r="L8" s="23">
        <f t="shared" si="0"/>
        <v>114.42424242424242</v>
      </c>
      <c r="M8" s="24">
        <f t="shared" si="1"/>
        <v>9.1480402542372889</v>
      </c>
      <c r="N8" s="25">
        <f>219626.68+141972.52+34543</f>
        <v>396142.19999999995</v>
      </c>
      <c r="O8" s="26">
        <f>20459+13617+3776</f>
        <v>37852</v>
      </c>
      <c r="P8" s="27">
        <f t="shared" si="2"/>
        <v>10.465555320722814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128</v>
      </c>
      <c r="D9" s="58">
        <v>42223</v>
      </c>
      <c r="E9" s="59" t="s">
        <v>9</v>
      </c>
      <c r="F9" s="60" t="s">
        <v>104</v>
      </c>
      <c r="G9" s="61">
        <v>45</v>
      </c>
      <c r="H9" s="19">
        <v>15</v>
      </c>
      <c r="I9" s="20">
        <v>3</v>
      </c>
      <c r="J9" s="21">
        <v>6257.4</v>
      </c>
      <c r="K9" s="22">
        <v>746</v>
      </c>
      <c r="L9" s="23">
        <f t="shared" si="0"/>
        <v>49.733333333333334</v>
      </c>
      <c r="M9" s="24">
        <f t="shared" si="1"/>
        <v>8.3879356568364614</v>
      </c>
      <c r="N9" s="25">
        <f>141997.33+44530.4+6257.4</f>
        <v>192785.12999999998</v>
      </c>
      <c r="O9" s="26">
        <f>13581+4388+746</f>
        <v>18715</v>
      </c>
      <c r="P9" s="27">
        <f t="shared" si="2"/>
        <v>10.301102324338764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40</v>
      </c>
      <c r="D10" s="58">
        <v>41747</v>
      </c>
      <c r="E10" s="59" t="s">
        <v>9</v>
      </c>
      <c r="F10" s="60" t="s">
        <v>9</v>
      </c>
      <c r="G10" s="61">
        <v>27</v>
      </c>
      <c r="H10" s="19">
        <v>1</v>
      </c>
      <c r="I10" s="20">
        <v>31</v>
      </c>
      <c r="J10" s="21">
        <v>1425.6</v>
      </c>
      <c r="K10" s="22">
        <v>285</v>
      </c>
      <c r="L10" s="23">
        <f t="shared" si="0"/>
        <v>285</v>
      </c>
      <c r="M10" s="24">
        <f t="shared" si="1"/>
        <v>5.0021052631578948</v>
      </c>
      <c r="N10" s="25">
        <f>186153.66+73200.86+7974.97+3137.5+2235.5+2569.5+1951+3923.5+2028.5+2570+1951+851+280.5+1284+387.5+714.5+19.5+377+84.5+528+2376+200+244+2451+7128+1425.6+1782+1425.6+1425.6+1782+1425.6</f>
        <v>313887.8899999999</v>
      </c>
      <c r="O10" s="26">
        <f>17828+6634+897+384+272+355+277+539+259+316+258+106+40+183+51+100+3+58+13+44+475+38+48+490+1426+285+356+285+285+356+285</f>
        <v>32946</v>
      </c>
      <c r="P10" s="27">
        <f t="shared" si="2"/>
        <v>9.5273444424209277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116</v>
      </c>
      <c r="D11" s="58">
        <v>42202</v>
      </c>
      <c r="E11" s="59" t="s">
        <v>9</v>
      </c>
      <c r="F11" s="60" t="s">
        <v>117</v>
      </c>
      <c r="G11" s="61">
        <v>56</v>
      </c>
      <c r="H11" s="19">
        <v>4</v>
      </c>
      <c r="I11" s="20">
        <v>6</v>
      </c>
      <c r="J11" s="21">
        <v>1279.5</v>
      </c>
      <c r="K11" s="22">
        <v>143</v>
      </c>
      <c r="L11" s="23">
        <f t="shared" si="0"/>
        <v>35.75</v>
      </c>
      <c r="M11" s="24">
        <f t="shared" si="1"/>
        <v>8.9475524475524484</v>
      </c>
      <c r="N11" s="25">
        <f>184618.24+54686.02+11326.21+901+1221+1279.5</f>
        <v>254031.96999999997</v>
      </c>
      <c r="O11" s="26">
        <f>18571+5704+1167+106+141+143</f>
        <v>25832</v>
      </c>
      <c r="P11" s="27">
        <f t="shared" si="2"/>
        <v>9.8340031743573846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115</v>
      </c>
      <c r="D12" s="58">
        <v>42202</v>
      </c>
      <c r="E12" s="59" t="s">
        <v>9</v>
      </c>
      <c r="F12" s="60" t="s">
        <v>9</v>
      </c>
      <c r="G12" s="61">
        <v>51</v>
      </c>
      <c r="H12" s="19">
        <v>6</v>
      </c>
      <c r="I12" s="20">
        <v>6</v>
      </c>
      <c r="J12" s="21">
        <v>971</v>
      </c>
      <c r="K12" s="22">
        <v>263</v>
      </c>
      <c r="L12" s="23">
        <f t="shared" si="0"/>
        <v>43.833333333333336</v>
      </c>
      <c r="M12" s="24">
        <f t="shared" si="1"/>
        <v>3.6920152091254752</v>
      </c>
      <c r="N12" s="25">
        <f>219982.98+68491.3+22743.5+4870.5+545+971</f>
        <v>317604.28000000003</v>
      </c>
      <c r="O12" s="26">
        <f>21611+6617+2076+509+89+263</f>
        <v>31165</v>
      </c>
      <c r="P12" s="27">
        <f t="shared" si="2"/>
        <v>10.191056634044601</v>
      </c>
      <c r="Q12" s="29"/>
      <c r="R12" s="29"/>
      <c r="S12" s="29"/>
    </row>
    <row r="13" spans="1:19" s="3" customFormat="1" ht="22.5" customHeight="1" x14ac:dyDescent="0.25">
      <c r="B13" s="81">
        <f t="shared" si="3"/>
        <v>8</v>
      </c>
      <c r="C13" s="57" t="s">
        <v>84</v>
      </c>
      <c r="D13" s="58">
        <v>42139</v>
      </c>
      <c r="E13" s="59" t="s">
        <v>9</v>
      </c>
      <c r="F13" s="60" t="s">
        <v>29</v>
      </c>
      <c r="G13" s="61">
        <v>16</v>
      </c>
      <c r="H13" s="19">
        <v>1</v>
      </c>
      <c r="I13" s="20">
        <v>10</v>
      </c>
      <c r="J13" s="21">
        <v>906</v>
      </c>
      <c r="K13" s="22">
        <v>96</v>
      </c>
      <c r="L13" s="23">
        <f t="shared" si="0"/>
        <v>96</v>
      </c>
      <c r="M13" s="24">
        <f t="shared" si="1"/>
        <v>9.4375</v>
      </c>
      <c r="N13" s="25">
        <f>68974+25816.1+2524+476+340+477+512+2602+707.5+906</f>
        <v>103334.6</v>
      </c>
      <c r="O13" s="26">
        <f>5512+1865+151+62+39+59+63+298+95+96</f>
        <v>8240</v>
      </c>
      <c r="P13" s="27">
        <f t="shared" si="2"/>
        <v>12.540606796116506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10</v>
      </c>
      <c r="J14" s="21">
        <v>570</v>
      </c>
      <c r="K14" s="22">
        <v>57</v>
      </c>
      <c r="L14" s="23">
        <f t="shared" si="0"/>
        <v>57</v>
      </c>
      <c r="M14" s="24">
        <f t="shared" si="1"/>
        <v>10</v>
      </c>
      <c r="N14" s="25">
        <f>153138.55+92932.5+24506.5+5070+473.5+384.5+950.4+1782+663+570</f>
        <v>280470.95</v>
      </c>
      <c r="O14" s="26">
        <f>11493+6804+2097+245+61+42+190+356+51+57</f>
        <v>21396</v>
      </c>
      <c r="P14" s="27">
        <f t="shared" si="2"/>
        <v>13.108569358758647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37</v>
      </c>
      <c r="D15" s="58">
        <v>42027</v>
      </c>
      <c r="E15" s="59" t="s">
        <v>9</v>
      </c>
      <c r="F15" s="60" t="s">
        <v>9</v>
      </c>
      <c r="G15" s="61">
        <v>64</v>
      </c>
      <c r="H15" s="19">
        <v>1</v>
      </c>
      <c r="I15" s="20">
        <v>20</v>
      </c>
      <c r="J15" s="21">
        <v>496</v>
      </c>
      <c r="K15" s="22">
        <v>62</v>
      </c>
      <c r="L15" s="23">
        <f t="shared" si="0"/>
        <v>62</v>
      </c>
      <c r="M15" s="24">
        <f t="shared" si="1"/>
        <v>8</v>
      </c>
      <c r="N15" s="25">
        <f>4241+362258.96+222136.17+49398.98+7963+5272.5+3175+2140+739+469+91+2372+2393+1550+1155+2464+72+1782+184+160+496</f>
        <v>670512.61</v>
      </c>
      <c r="O15" s="26">
        <f>748+36807+24128+5499+982+687+504+269+97+64+13+438+360+285+253+487+10+356+23+20+62</f>
        <v>72092</v>
      </c>
      <c r="P15" s="27">
        <f t="shared" si="2"/>
        <v>9.3007907950951552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30</v>
      </c>
      <c r="D16" s="58">
        <v>41782</v>
      </c>
      <c r="E16" s="59" t="s">
        <v>9</v>
      </c>
      <c r="F16" s="60" t="s">
        <v>9</v>
      </c>
      <c r="G16" s="61">
        <v>30</v>
      </c>
      <c r="H16" s="19">
        <v>1</v>
      </c>
      <c r="I16" s="20">
        <v>28</v>
      </c>
      <c r="J16" s="21">
        <v>379</v>
      </c>
      <c r="K16" s="22">
        <v>126</v>
      </c>
      <c r="L16" s="23">
        <f t="shared" si="0"/>
        <v>126</v>
      </c>
      <c r="M16" s="24">
        <f t="shared" si="1"/>
        <v>3.0079365079365079</v>
      </c>
      <c r="N16" s="25">
        <f>95967.35+76227.39+34644.5+27256+29590.5+12797.63+9801.17+8948.5+7152.5+16352.94+12150.29+7448.1+8486.06+7400.64+5579.56+3486.52+760+1010+454+162+694+385+790+774+950.4+449+534+379</f>
        <v>370631.05</v>
      </c>
      <c r="O16" s="26">
        <f>9552+7384+3615+3071+3349+1439+1120+971+812+1886+1381+880+989+926+692+485+91+116+49+24+62+55+154+96+190+74+173+126</f>
        <v>39762</v>
      </c>
      <c r="P16" s="27">
        <f t="shared" si="2"/>
        <v>9.321237613802122</v>
      </c>
      <c r="Q16" s="29"/>
      <c r="R16" s="29"/>
      <c r="S16" s="29"/>
    </row>
    <row r="17" spans="2:19" s="3" customFormat="1" ht="22.5" customHeight="1" x14ac:dyDescent="0.25">
      <c r="B17" s="81">
        <f t="shared" si="3"/>
        <v>12</v>
      </c>
      <c r="C17" s="57" t="s">
        <v>120</v>
      </c>
      <c r="D17" s="58">
        <v>42209</v>
      </c>
      <c r="E17" s="59" t="s">
        <v>9</v>
      </c>
      <c r="F17" s="60" t="s">
        <v>29</v>
      </c>
      <c r="G17" s="61">
        <v>9</v>
      </c>
      <c r="H17" s="19">
        <v>1</v>
      </c>
      <c r="I17" s="20">
        <v>5</v>
      </c>
      <c r="J17" s="21">
        <v>197</v>
      </c>
      <c r="K17" s="22">
        <v>25</v>
      </c>
      <c r="L17" s="23">
        <f t="shared" si="0"/>
        <v>25</v>
      </c>
      <c r="M17" s="24">
        <f t="shared" si="1"/>
        <v>7.88</v>
      </c>
      <c r="N17" s="25">
        <f>13656.92+5657.5+421.5+710+197</f>
        <v>20642.919999999998</v>
      </c>
      <c r="O17" s="26">
        <f>1003+438+58+98+25</f>
        <v>1622</v>
      </c>
      <c r="P17" s="27">
        <f t="shared" si="2"/>
        <v>12.726831072749691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81</v>
      </c>
      <c r="D18" s="58">
        <v>42132</v>
      </c>
      <c r="E18" s="59" t="s">
        <v>9</v>
      </c>
      <c r="F18" s="60" t="s">
        <v>9</v>
      </c>
      <c r="G18" s="61">
        <v>27</v>
      </c>
      <c r="H18" s="19">
        <v>1</v>
      </c>
      <c r="I18" s="20">
        <v>10</v>
      </c>
      <c r="J18" s="21">
        <v>184</v>
      </c>
      <c r="K18" s="22">
        <v>28</v>
      </c>
      <c r="L18" s="23">
        <f t="shared" si="0"/>
        <v>28</v>
      </c>
      <c r="M18" s="24">
        <f t="shared" si="1"/>
        <v>6.5714285714285712</v>
      </c>
      <c r="N18" s="25">
        <f>150395.08+52946.08+3011.5+1726+142+1745+755+1765+153+184</f>
        <v>212822.65999999997</v>
      </c>
      <c r="O18" s="26">
        <f>14539+4867+346+172+14+208+97+169+19+28</f>
        <v>20459</v>
      </c>
      <c r="P18" s="27">
        <f t="shared" si="2"/>
        <v>10.402397966665037</v>
      </c>
      <c r="Q18" s="29"/>
      <c r="R18" s="29"/>
      <c r="S18" s="29"/>
    </row>
    <row r="19" spans="2:19" s="3" customFormat="1" ht="22.5" customHeight="1" x14ac:dyDescent="0.25">
      <c r="B19" s="18">
        <f t="shared" si="3"/>
        <v>14</v>
      </c>
      <c r="C19" s="57" t="s">
        <v>50</v>
      </c>
      <c r="D19" s="58">
        <v>41796</v>
      </c>
      <c r="E19" s="59" t="s">
        <v>9</v>
      </c>
      <c r="F19" s="60" t="s">
        <v>9</v>
      </c>
      <c r="G19" s="61">
        <v>22</v>
      </c>
      <c r="H19" s="19">
        <v>1</v>
      </c>
      <c r="I19" s="20">
        <v>35</v>
      </c>
      <c r="J19" s="21">
        <v>168</v>
      </c>
      <c r="K19" s="22">
        <v>21</v>
      </c>
      <c r="L19" s="23">
        <f t="shared" si="0"/>
        <v>21</v>
      </c>
      <c r="M19" s="24">
        <f t="shared" si="1"/>
        <v>8</v>
      </c>
      <c r="N19" s="25">
        <f>166025.28+97326.52+57686.96+13701.5+11079.5+6936+18694.5+12272.5+7080.5+9304+8779+4785.44+5102.63+3908.66+4837+3724+3492+9632.5+4839+5360.5+615.5+83+1425.6+1525+121+1722.5+1737.5+1635+2287.5+272+153+136+226+136+168</f>
        <v>466811.58999999997</v>
      </c>
      <c r="O19" s="26">
        <f>15114+9515+5786+1430+1181+648+1199+1400+830+999+900+603+561+474+557+436+370+1189+567+607+105+10+285+117+12+138+141+137+196+34+19+17+28+17+21</f>
        <v>45643</v>
      </c>
      <c r="P19" s="27">
        <f t="shared" si="2"/>
        <v>10.227451964156606</v>
      </c>
      <c r="Q19" s="29"/>
      <c r="R19" s="29"/>
      <c r="S19" s="29"/>
    </row>
    <row r="20" spans="2:19" s="3" customFormat="1" ht="22.5" customHeight="1" x14ac:dyDescent="0.25">
      <c r="B20" s="18">
        <f t="shared" si="3"/>
        <v>15</v>
      </c>
      <c r="C20" s="57" t="s">
        <v>55</v>
      </c>
      <c r="D20" s="58">
        <v>41845</v>
      </c>
      <c r="E20" s="59" t="s">
        <v>9</v>
      </c>
      <c r="F20" s="60" t="s">
        <v>9</v>
      </c>
      <c r="G20" s="61">
        <v>23</v>
      </c>
      <c r="H20" s="19">
        <v>1</v>
      </c>
      <c r="I20" s="20">
        <v>33</v>
      </c>
      <c r="J20" s="21">
        <v>120</v>
      </c>
      <c r="K20" s="22">
        <v>24</v>
      </c>
      <c r="L20" s="23">
        <f t="shared" si="0"/>
        <v>24</v>
      </c>
      <c r="M20" s="24">
        <f t="shared" si="1"/>
        <v>5</v>
      </c>
      <c r="N20" s="25">
        <f>73428.48+65677.81+40435.99+20437+22258.56+12040.44+17815.52+6634+2166+2694+5184+2502+3981+1205+69+696+782+2067.5+665+2013.6+288+258+96+400+264+184+30+536+124+108+48+554+120</f>
        <v>285762.89999999991</v>
      </c>
      <c r="O20" s="26">
        <f>7463+6959+4805+2294+2518+1280+2169+965+358+347+662+324+455+143+13+136+154+177+51+403+36+32+12+50+33+23+5+85+20+17+7+110+24</f>
        <v>32130</v>
      </c>
      <c r="P20" s="27">
        <f t="shared" si="2"/>
        <v>8.8939589169000897</v>
      </c>
      <c r="Q20" s="29"/>
      <c r="R20" s="29"/>
      <c r="S2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 t="s">
        <v>15</v>
      </c>
      <c r="O2" s="96" t="s">
        <v>129</v>
      </c>
      <c r="P2" s="97"/>
    </row>
    <row r="3" spans="1:19" ht="30.75" customHeight="1" thickBot="1" x14ac:dyDescent="0.3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" t="s">
        <v>16</v>
      </c>
      <c r="O3" s="98" t="s">
        <v>130</v>
      </c>
      <c r="P3" s="99"/>
    </row>
    <row r="4" spans="1:19" s="3" customFormat="1" ht="16.5" customHeight="1" x14ac:dyDescent="0.25">
      <c r="A4" s="1"/>
      <c r="B4" s="2"/>
      <c r="C4" s="100" t="s">
        <v>0</v>
      </c>
      <c r="D4" s="102" t="s">
        <v>1</v>
      </c>
      <c r="E4" s="104" t="s">
        <v>2</v>
      </c>
      <c r="F4" s="104" t="s">
        <v>3</v>
      </c>
      <c r="G4" s="106" t="s">
        <v>4</v>
      </c>
      <c r="H4" s="106" t="s">
        <v>5</v>
      </c>
      <c r="I4" s="108" t="s">
        <v>11</v>
      </c>
      <c r="J4" s="87" t="s">
        <v>13</v>
      </c>
      <c r="K4" s="88"/>
      <c r="L4" s="88"/>
      <c r="M4" s="89"/>
      <c r="N4" s="87" t="s">
        <v>14</v>
      </c>
      <c r="O4" s="90"/>
      <c r="P4" s="91"/>
      <c r="Q4" s="29"/>
      <c r="R4" s="29"/>
      <c r="S4" s="29"/>
    </row>
    <row r="5" spans="1:19" s="3" customFormat="1" ht="15" customHeight="1" x14ac:dyDescent="0.25">
      <c r="A5" s="1"/>
      <c r="B5" s="10"/>
      <c r="C5" s="101"/>
      <c r="D5" s="103"/>
      <c r="E5" s="105"/>
      <c r="F5" s="105"/>
      <c r="G5" s="107"/>
      <c r="H5" s="107"/>
      <c r="I5" s="109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8">
        <f t="shared" ref="B6:B21" si="0">B5+1</f>
        <v>1</v>
      </c>
      <c r="C6" s="57" t="s">
        <v>131</v>
      </c>
      <c r="D6" s="58">
        <v>42230</v>
      </c>
      <c r="E6" s="59" t="s">
        <v>9</v>
      </c>
      <c r="F6" s="60" t="s">
        <v>104</v>
      </c>
      <c r="G6" s="61">
        <v>18</v>
      </c>
      <c r="H6" s="19">
        <v>60</v>
      </c>
      <c r="I6" s="20">
        <v>1</v>
      </c>
      <c r="J6" s="21">
        <v>175417.68</v>
      </c>
      <c r="K6" s="22">
        <v>13448</v>
      </c>
      <c r="L6" s="23">
        <f t="shared" ref="L6:L21" si="1">K6/H6</f>
        <v>224.13333333333333</v>
      </c>
      <c r="M6" s="24">
        <f t="shared" ref="M6:M21" si="2">+J6/K6</f>
        <v>13.044146341463414</v>
      </c>
      <c r="N6" s="25">
        <f>175417.68</f>
        <v>175417.68</v>
      </c>
      <c r="O6" s="26">
        <f>13448</f>
        <v>13448</v>
      </c>
      <c r="P6" s="27">
        <f t="shared" ref="P6:P21" si="3">N6/O6</f>
        <v>13.044146341463414</v>
      </c>
      <c r="Q6" s="29"/>
      <c r="R6" s="29"/>
      <c r="S6" s="29"/>
    </row>
    <row r="7" spans="1:19" s="3" customFormat="1" ht="22.5" customHeight="1" x14ac:dyDescent="0.25">
      <c r="B7" s="18">
        <f t="shared" si="0"/>
        <v>2</v>
      </c>
      <c r="C7" s="57" t="s">
        <v>126</v>
      </c>
      <c r="D7" s="58">
        <v>42223</v>
      </c>
      <c r="E7" s="59" t="s">
        <v>9</v>
      </c>
      <c r="F7" s="60" t="s">
        <v>127</v>
      </c>
      <c r="G7" s="61">
        <v>50</v>
      </c>
      <c r="H7" s="19">
        <v>110</v>
      </c>
      <c r="I7" s="20">
        <v>2</v>
      </c>
      <c r="J7" s="21">
        <v>141972.51999999999</v>
      </c>
      <c r="K7" s="22">
        <v>13617</v>
      </c>
      <c r="L7" s="23">
        <f t="shared" si="1"/>
        <v>123.7909090909091</v>
      </c>
      <c r="M7" s="24">
        <f t="shared" si="2"/>
        <v>10.426123228317543</v>
      </c>
      <c r="N7" s="25">
        <f>219626.68+141972.52</f>
        <v>361599.19999999995</v>
      </c>
      <c r="O7" s="26">
        <f>20459+13617</f>
        <v>34076</v>
      </c>
      <c r="P7" s="27">
        <f t="shared" si="3"/>
        <v>10.611550651484915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128</v>
      </c>
      <c r="D8" s="58">
        <v>42223</v>
      </c>
      <c r="E8" s="59" t="s">
        <v>9</v>
      </c>
      <c r="F8" s="60" t="s">
        <v>104</v>
      </c>
      <c r="G8" s="61">
        <v>45</v>
      </c>
      <c r="H8" s="19">
        <v>57</v>
      </c>
      <c r="I8" s="20">
        <v>2</v>
      </c>
      <c r="J8" s="21">
        <v>44530.400000000001</v>
      </c>
      <c r="K8" s="22">
        <v>4388</v>
      </c>
      <c r="L8" s="23">
        <f t="shared" si="1"/>
        <v>76.982456140350877</v>
      </c>
      <c r="M8" s="24">
        <f t="shared" si="2"/>
        <v>10.148222424794895</v>
      </c>
      <c r="N8" s="25">
        <f>141997.33+44530.4</f>
        <v>186527.72999999998</v>
      </c>
      <c r="O8" s="26">
        <f>13581+4388</f>
        <v>17969</v>
      </c>
      <c r="P8" s="27">
        <f t="shared" si="3"/>
        <v>10.380529244810505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39</v>
      </c>
      <c r="J9" s="21">
        <v>3730</v>
      </c>
      <c r="K9" s="22">
        <v>729</v>
      </c>
      <c r="L9" s="23">
        <f t="shared" si="1"/>
        <v>243</v>
      </c>
      <c r="M9" s="24">
        <f t="shared" si="2"/>
        <v>5.1165980795610428</v>
      </c>
      <c r="N9" s="25">
        <f>1099708.11+593370.74+224185+52839.5+17039.5+9578+7414+5098+4983.5+10660.5+14194.5+2400+3550+2380.5+7656.5+4091.5+1713+2737+828+128+4019.35+696+742+3681+1237+1911+1320+2988+1801+2002+865+891+666+1977+185+70+1223+424+3730</f>
        <v>2094984.2000000002</v>
      </c>
      <c r="O9" s="26">
        <f>102148+56106+22339+5539+1692+934+809+597+525+1619+1502+226+582+302+1163+486+470+558+154+16+730+93+96+595+155+233+216+393+237+257+118+138+96+381+25+14+245+41+729</f>
        <v>202559</v>
      </c>
      <c r="P9" s="27">
        <f t="shared" si="3"/>
        <v>10.342587591763388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19</v>
      </c>
      <c r="D10" s="58">
        <v>41831</v>
      </c>
      <c r="E10" s="59" t="s">
        <v>9</v>
      </c>
      <c r="F10" s="60" t="s">
        <v>20</v>
      </c>
      <c r="G10" s="61">
        <v>35</v>
      </c>
      <c r="H10" s="19">
        <v>1</v>
      </c>
      <c r="I10" s="20">
        <v>22</v>
      </c>
      <c r="J10" s="21">
        <v>1782</v>
      </c>
      <c r="K10" s="22">
        <v>356</v>
      </c>
      <c r="L10" s="23">
        <f t="shared" si="1"/>
        <v>356</v>
      </c>
      <c r="M10" s="24">
        <f t="shared" si="2"/>
        <v>5.0056179775280896</v>
      </c>
      <c r="N10" s="25">
        <f>204425.4+130339.21+47866.4+41040.53+24854.45+10673+4557.5+1594+1611.5+4273+260+202.5+1010+8553.6+1425.6+1425.6+600+712.8+600+950.4+1425.6+1782</f>
        <v>490183.08999999997</v>
      </c>
      <c r="O10" s="26">
        <f>19421+12650+4370+3566+2047+958+545+202+192+659+33+26+109+1176+285+285+49+143+49+190+285+356</f>
        <v>47596</v>
      </c>
      <c r="P10" s="27">
        <f t="shared" si="3"/>
        <v>10.298829523489369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40</v>
      </c>
      <c r="D11" s="58">
        <v>41747</v>
      </c>
      <c r="E11" s="59" t="s">
        <v>9</v>
      </c>
      <c r="F11" s="60" t="s">
        <v>9</v>
      </c>
      <c r="G11" s="61">
        <v>27</v>
      </c>
      <c r="H11" s="19">
        <v>1</v>
      </c>
      <c r="I11" s="20">
        <v>30</v>
      </c>
      <c r="J11" s="21">
        <v>1782</v>
      </c>
      <c r="K11" s="22">
        <v>356</v>
      </c>
      <c r="L11" s="23">
        <f t="shared" si="1"/>
        <v>356</v>
      </c>
      <c r="M11" s="24">
        <f t="shared" si="2"/>
        <v>5.0056179775280896</v>
      </c>
      <c r="N11" s="25">
        <f>186153.66+73200.86+7974.97+3137.5+2235.5+2569.5+1951+3923.5+2028.5+2570+1951+851+280.5+1284+387.5+714.5+19.5+377+84.5+528+2376+200+244+2451+7128+1425.6+1782+1425.6+1425.6+1782</f>
        <v>312462.28999999992</v>
      </c>
      <c r="O11" s="26">
        <f>17828+6634+897+384+272+355+277+539+259+316+258+106+40+183+51+100+3+58+13+44+475+38+48+490+1426+285+356+285+285+356</f>
        <v>32661</v>
      </c>
      <c r="P11" s="27">
        <f t="shared" si="3"/>
        <v>9.5668316952940788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1</v>
      </c>
      <c r="I12" s="20">
        <v>18</v>
      </c>
      <c r="J12" s="21">
        <v>1742</v>
      </c>
      <c r="K12" s="22">
        <v>134</v>
      </c>
      <c r="L12" s="23">
        <f t="shared" si="1"/>
        <v>134</v>
      </c>
      <c r="M12" s="24">
        <f t="shared" si="2"/>
        <v>13</v>
      </c>
      <c r="N12" s="25">
        <f>371891.95+241999.75+69894+20187.87+18724.1+22951.5+4635.5+1896+668+3460.6+242+394+1425.6+951+128+364+419+1742</f>
        <v>761974.86999999988</v>
      </c>
      <c r="O12" s="26">
        <f>33703+24038+8305+2721+2351+2413+517+210+165+873+30+51+285+129+16+38+45+134</f>
        <v>76024</v>
      </c>
      <c r="P12" s="27">
        <f t="shared" si="3"/>
        <v>10.022820030516677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103</v>
      </c>
      <c r="D13" s="58">
        <v>42181</v>
      </c>
      <c r="E13" s="59" t="s">
        <v>9</v>
      </c>
      <c r="F13" s="60" t="s">
        <v>104</v>
      </c>
      <c r="G13" s="61">
        <v>23</v>
      </c>
      <c r="H13" s="19">
        <v>2</v>
      </c>
      <c r="I13" s="20">
        <v>7</v>
      </c>
      <c r="J13" s="21">
        <v>1717</v>
      </c>
      <c r="K13" s="22">
        <v>192</v>
      </c>
      <c r="L13" s="23">
        <f t="shared" si="1"/>
        <v>96</v>
      </c>
      <c r="M13" s="24">
        <f t="shared" si="2"/>
        <v>8.9427083333333339</v>
      </c>
      <c r="N13" s="25">
        <f>67551+29032.73+8961.6+164.5+3304.5+2198+1717</f>
        <v>112929.33</v>
      </c>
      <c r="O13" s="26">
        <f>5607+2375+841+21+380+259+192</f>
        <v>9675</v>
      </c>
      <c r="P13" s="27">
        <f t="shared" si="3"/>
        <v>11.672282170542635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116</v>
      </c>
      <c r="D14" s="58">
        <v>42202</v>
      </c>
      <c r="E14" s="59" t="s">
        <v>9</v>
      </c>
      <c r="F14" s="60" t="s">
        <v>117</v>
      </c>
      <c r="G14" s="61">
        <v>56</v>
      </c>
      <c r="H14" s="19">
        <v>4</v>
      </c>
      <c r="I14" s="20">
        <v>5</v>
      </c>
      <c r="J14" s="21">
        <v>1221</v>
      </c>
      <c r="K14" s="22">
        <v>141</v>
      </c>
      <c r="L14" s="23">
        <f t="shared" si="1"/>
        <v>35.25</v>
      </c>
      <c r="M14" s="24">
        <f t="shared" si="2"/>
        <v>8.6595744680851059</v>
      </c>
      <c r="N14" s="25">
        <f>184618.24+54686.02+11326.21+901+1221</f>
        <v>252752.46999999997</v>
      </c>
      <c r="O14" s="26">
        <f>18571+5704+1167+106+141</f>
        <v>25689</v>
      </c>
      <c r="P14" s="27">
        <f t="shared" si="3"/>
        <v>9.8389376776052</v>
      </c>
      <c r="Q14" s="29"/>
      <c r="R14" s="29"/>
      <c r="S14" s="29"/>
    </row>
    <row r="15" spans="1:19" s="3" customFormat="1" ht="22.5" customHeight="1" x14ac:dyDescent="0.25">
      <c r="B15" s="18">
        <f t="shared" si="0"/>
        <v>10</v>
      </c>
      <c r="C15" s="57" t="s">
        <v>45</v>
      </c>
      <c r="D15" s="58">
        <v>42048</v>
      </c>
      <c r="E15" s="59" t="s">
        <v>9</v>
      </c>
      <c r="F15" s="60" t="s">
        <v>9</v>
      </c>
      <c r="G15" s="61">
        <v>13</v>
      </c>
      <c r="H15" s="19">
        <v>1</v>
      </c>
      <c r="I15" s="20">
        <v>11</v>
      </c>
      <c r="J15" s="21">
        <v>850</v>
      </c>
      <c r="K15" s="22">
        <v>85</v>
      </c>
      <c r="L15" s="23">
        <f t="shared" si="1"/>
        <v>85</v>
      </c>
      <c r="M15" s="24">
        <f t="shared" si="2"/>
        <v>10</v>
      </c>
      <c r="N15" s="25">
        <f>217416+133447+36039+7196+5028+2013.56+1782+950.4+1550+3004+850</f>
        <v>409275.96</v>
      </c>
      <c r="O15" s="26">
        <f>15610+9137+2226+1626+1055+403+356+190+155+450+85</f>
        <v>31293</v>
      </c>
      <c r="P15" s="27">
        <f t="shared" si="3"/>
        <v>13.078834244080147</v>
      </c>
      <c r="Q15" s="29"/>
      <c r="R15" s="29"/>
      <c r="S15" s="29"/>
    </row>
    <row r="16" spans="1:19" s="3" customFormat="1" ht="22.5" customHeight="1" x14ac:dyDescent="0.25">
      <c r="B16" s="18">
        <f t="shared" si="0"/>
        <v>11</v>
      </c>
      <c r="C16" s="57" t="s">
        <v>120</v>
      </c>
      <c r="D16" s="58">
        <v>42209</v>
      </c>
      <c r="E16" s="59" t="s">
        <v>9</v>
      </c>
      <c r="F16" s="60" t="s">
        <v>29</v>
      </c>
      <c r="G16" s="61">
        <v>9</v>
      </c>
      <c r="H16" s="19">
        <v>3</v>
      </c>
      <c r="I16" s="20">
        <v>4</v>
      </c>
      <c r="J16" s="21">
        <v>710</v>
      </c>
      <c r="K16" s="22">
        <v>98</v>
      </c>
      <c r="L16" s="23">
        <f t="shared" si="1"/>
        <v>32.666666666666664</v>
      </c>
      <c r="M16" s="24">
        <f t="shared" si="2"/>
        <v>7.2448979591836737</v>
      </c>
      <c r="N16" s="25">
        <f>13656.92+5657.5+421.5+710</f>
        <v>20445.919999999998</v>
      </c>
      <c r="O16" s="26">
        <f>1003+438+58+98</f>
        <v>1597</v>
      </c>
      <c r="P16" s="27">
        <f t="shared" si="3"/>
        <v>12.802705072010017</v>
      </c>
      <c r="Q16" s="29"/>
      <c r="R16" s="29"/>
      <c r="S16" s="29"/>
    </row>
    <row r="17" spans="2:19" s="3" customFormat="1" ht="22.5" customHeight="1" x14ac:dyDescent="0.25">
      <c r="B17" s="81">
        <f t="shared" si="0"/>
        <v>12</v>
      </c>
      <c r="C17" s="57" t="s">
        <v>67</v>
      </c>
      <c r="D17" s="58">
        <v>42097</v>
      </c>
      <c r="E17" s="59" t="s">
        <v>9</v>
      </c>
      <c r="F17" s="60" t="s">
        <v>9</v>
      </c>
      <c r="G17" s="61">
        <v>23</v>
      </c>
      <c r="H17" s="19">
        <v>1</v>
      </c>
      <c r="I17" s="20">
        <v>9</v>
      </c>
      <c r="J17" s="21">
        <v>663</v>
      </c>
      <c r="K17" s="22">
        <v>51</v>
      </c>
      <c r="L17" s="23">
        <f t="shared" si="1"/>
        <v>51</v>
      </c>
      <c r="M17" s="24">
        <f t="shared" si="2"/>
        <v>13</v>
      </c>
      <c r="N17" s="25">
        <f>153138.55+92932.5+24506.5+5070+473.5+384.5+950.4+1782+663</f>
        <v>279900.95</v>
      </c>
      <c r="O17" s="26">
        <f>11493+6804+2097+245+61+42+190+356+51</f>
        <v>21339</v>
      </c>
      <c r="P17" s="27">
        <f t="shared" si="3"/>
        <v>13.116872861896059</v>
      </c>
      <c r="Q17" s="29"/>
      <c r="R17" s="29"/>
      <c r="S17" s="29"/>
    </row>
    <row r="18" spans="2:19" s="3" customFormat="1" ht="22.5" customHeight="1" x14ac:dyDescent="0.25">
      <c r="B18" s="18">
        <f t="shared" si="0"/>
        <v>13</v>
      </c>
      <c r="C18" s="57" t="s">
        <v>55</v>
      </c>
      <c r="D18" s="58">
        <v>41845</v>
      </c>
      <c r="E18" s="59" t="s">
        <v>9</v>
      </c>
      <c r="F18" s="60" t="s">
        <v>9</v>
      </c>
      <c r="G18" s="61">
        <v>23</v>
      </c>
      <c r="H18" s="19">
        <v>2</v>
      </c>
      <c r="I18" s="20">
        <v>32</v>
      </c>
      <c r="J18" s="21">
        <v>554</v>
      </c>
      <c r="K18" s="22">
        <v>110</v>
      </c>
      <c r="L18" s="23">
        <f t="shared" si="1"/>
        <v>55</v>
      </c>
      <c r="M18" s="24">
        <f t="shared" si="2"/>
        <v>5.0363636363636362</v>
      </c>
      <c r="N18" s="25">
        <f>73428.48+65677.81+40435.99+20437+22258.56+12040.44+17815.52+6634+2166+2694+5184+2502+3981+1205+69+696+782+2067.5+665+2013.6+288+258+96+400+264+184+30+536+124+108+48+554</f>
        <v>285642.89999999991</v>
      </c>
      <c r="O18" s="26">
        <f>7463+6959+4805+2294+2518+1280+2169+965+358+347+662+324+455+143+13+136+154+177+51+403+36+32+12+50+33+23+5+85+20+17+7+110</f>
        <v>32106</v>
      </c>
      <c r="P18" s="27">
        <f t="shared" si="3"/>
        <v>8.8968697439730864</v>
      </c>
      <c r="Q18" s="29"/>
      <c r="R18" s="29"/>
      <c r="S18" s="29"/>
    </row>
    <row r="19" spans="2:19" s="3" customFormat="1" ht="22.5" customHeight="1" x14ac:dyDescent="0.25">
      <c r="B19" s="18">
        <f t="shared" si="0"/>
        <v>14</v>
      </c>
      <c r="C19" s="57" t="s">
        <v>115</v>
      </c>
      <c r="D19" s="58">
        <v>42202</v>
      </c>
      <c r="E19" s="59" t="s">
        <v>9</v>
      </c>
      <c r="F19" s="60" t="s">
        <v>9</v>
      </c>
      <c r="G19" s="61">
        <v>51</v>
      </c>
      <c r="H19" s="19">
        <v>3</v>
      </c>
      <c r="I19" s="20">
        <v>5</v>
      </c>
      <c r="J19" s="21">
        <v>545</v>
      </c>
      <c r="K19" s="22">
        <v>89</v>
      </c>
      <c r="L19" s="23">
        <f t="shared" si="1"/>
        <v>29.666666666666668</v>
      </c>
      <c r="M19" s="24">
        <f t="shared" si="2"/>
        <v>6.1235955056179776</v>
      </c>
      <c r="N19" s="25">
        <f>219982.98+68491.3+22743.5+4870.5+545</f>
        <v>316633.28000000003</v>
      </c>
      <c r="O19" s="26">
        <f>21611+6617+2076+509+89</f>
        <v>30902</v>
      </c>
      <c r="P19" s="27">
        <f t="shared" si="3"/>
        <v>10.246368519836905</v>
      </c>
      <c r="Q19" s="29"/>
      <c r="R19" s="29"/>
      <c r="S19" s="29"/>
    </row>
    <row r="20" spans="2:19" s="3" customFormat="1" ht="22.5" customHeight="1" x14ac:dyDescent="0.25">
      <c r="B20" s="18">
        <f t="shared" si="0"/>
        <v>15</v>
      </c>
      <c r="C20" s="57" t="s">
        <v>30</v>
      </c>
      <c r="D20" s="58">
        <v>41782</v>
      </c>
      <c r="E20" s="59" t="s">
        <v>9</v>
      </c>
      <c r="F20" s="60" t="s">
        <v>9</v>
      </c>
      <c r="G20" s="61">
        <v>30</v>
      </c>
      <c r="H20" s="19">
        <v>1</v>
      </c>
      <c r="I20" s="20">
        <v>27</v>
      </c>
      <c r="J20" s="21">
        <v>534</v>
      </c>
      <c r="K20" s="22">
        <v>173</v>
      </c>
      <c r="L20" s="23">
        <f t="shared" si="1"/>
        <v>173</v>
      </c>
      <c r="M20" s="24">
        <f t="shared" si="2"/>
        <v>3.0867052023121389</v>
      </c>
      <c r="N20" s="25">
        <f>95967.35+76227.39+34644.5+27256+29590.5+12797.63+9801.17+8948.5+7152.5+16352.94+12150.29+7448.1+8486.06+7400.64+5579.56+3486.52+760+1010+454+162+694+385+790+774+950.4+449+534</f>
        <v>370252.05</v>
      </c>
      <c r="O20" s="26">
        <f>9552+7384+3615+3071+3349+1439+1120+971+812+1886+1381+880+989+926+692+485+91+116+49+24+62+55+154+96+190+74+173</f>
        <v>39636</v>
      </c>
      <c r="P20" s="27">
        <f t="shared" si="3"/>
        <v>9.3413071450196785</v>
      </c>
      <c r="Q20" s="29"/>
      <c r="R20" s="29"/>
      <c r="S20" s="29"/>
    </row>
    <row r="21" spans="2:19" s="3" customFormat="1" ht="22.5" customHeight="1" x14ac:dyDescent="0.25">
      <c r="B21" s="18">
        <f t="shared" si="0"/>
        <v>16</v>
      </c>
      <c r="C21" s="57" t="s">
        <v>50</v>
      </c>
      <c r="D21" s="58">
        <v>41796</v>
      </c>
      <c r="E21" s="59" t="s">
        <v>9</v>
      </c>
      <c r="F21" s="60" t="s">
        <v>9</v>
      </c>
      <c r="G21" s="61">
        <v>22</v>
      </c>
      <c r="H21" s="19">
        <v>1</v>
      </c>
      <c r="I21" s="20">
        <v>34</v>
      </c>
      <c r="J21" s="21">
        <v>136</v>
      </c>
      <c r="K21" s="22">
        <v>17</v>
      </c>
      <c r="L21" s="23">
        <f t="shared" si="1"/>
        <v>17</v>
      </c>
      <c r="M21" s="24">
        <f t="shared" si="2"/>
        <v>8</v>
      </c>
      <c r="N21" s="25">
        <f>166025.28+97326.52+57686.96+13701.5+11079.5+6936+18694.5+12272.5+7080.5+9304+8779+4785.44+5102.63+3908.66+4837+3724+3492+9632.5+4839+5360.5+615.5+83+1425.6+1525+121+1722.5+1737.5+1635+2287.5+272+153+136+226+136</f>
        <v>466643.58999999997</v>
      </c>
      <c r="O21" s="26">
        <f>15114+9515+5786+1430+1181+648+1199+1400+830+999+900+603+561+474+557+436+370+1189+567+607+105+10+285+117+12+138+141+137+196+34+19+17+28+17</f>
        <v>45622</v>
      </c>
      <c r="P21" s="27">
        <f t="shared" si="3"/>
        <v>10.228477269738283</v>
      </c>
      <c r="Q21" s="29"/>
      <c r="R21" s="29"/>
      <c r="S2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2015_41_09-15.10</vt:lpstr>
      <vt:lpstr>2015_40_02-08.10</vt:lpstr>
      <vt:lpstr>2015_39_25.09-01.10</vt:lpstr>
      <vt:lpstr>2015_38_18-24.09</vt:lpstr>
      <vt:lpstr>2015_37_11-17.09</vt:lpstr>
      <vt:lpstr>2015_36_04-10.09</vt:lpstr>
      <vt:lpstr>2015_35_28.08-03.09</vt:lpstr>
      <vt:lpstr>2015_34_21-27.08</vt:lpstr>
      <vt:lpstr>2015_33_14-20.08</vt:lpstr>
      <vt:lpstr>2015_32_07-13.08</vt:lpstr>
      <vt:lpstr>2015_31_31.07-06.08</vt:lpstr>
      <vt:lpstr>2015_30_24-30.07</vt:lpstr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Derya Yanmis</cp:lastModifiedBy>
  <cp:lastPrinted>2015-10-09T12:59:27Z</cp:lastPrinted>
  <dcterms:created xsi:type="dcterms:W3CDTF">2014-02-17T12:24:16Z</dcterms:created>
  <dcterms:modified xsi:type="dcterms:W3CDTF">2015-10-16T09:51:38Z</dcterms:modified>
</cp:coreProperties>
</file>