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635"/>
  </bookViews>
  <sheets>
    <sheet name="2015_29_17-23.07" sheetId="74" r:id="rId1"/>
    <sheet name="2015_28_10-16.07" sheetId="73" r:id="rId2"/>
    <sheet name="2015_27_03-09.07" sheetId="72" r:id="rId3"/>
    <sheet name="2015_26_26.06-02.07" sheetId="71" r:id="rId4"/>
    <sheet name="2015_25_19-25.06" sheetId="70" r:id="rId5"/>
    <sheet name="2015_24_12-18.06" sheetId="69" r:id="rId6"/>
    <sheet name="2015_23_05-11.06" sheetId="68" r:id="rId7"/>
    <sheet name="2015_22_29.05-04.06" sheetId="67" r:id="rId8"/>
    <sheet name="2015_21_22-28.05" sheetId="66" r:id="rId9"/>
    <sheet name="2015_20_15-21.05" sheetId="65" r:id="rId10"/>
    <sheet name="2015_19_08-14.05" sheetId="64" r:id="rId11"/>
    <sheet name="2015_18_01-07.05" sheetId="63" r:id="rId12"/>
    <sheet name="2015_17_24-30.04" sheetId="62" r:id="rId13"/>
    <sheet name="2015_16_17-23.04" sheetId="61" r:id="rId14"/>
    <sheet name="2015_15_10-16.04" sheetId="60" r:id="rId15"/>
    <sheet name="2015_14_03-09.04" sheetId="59" r:id="rId16"/>
    <sheet name="2015_13_27.03-02.04" sheetId="58" r:id="rId17"/>
    <sheet name="2015_12_20-26.03" sheetId="56" r:id="rId18"/>
    <sheet name="2015_11_13-19.03" sheetId="57" r:id="rId19"/>
    <sheet name="2015_10_06-12.03" sheetId="55" r:id="rId20"/>
    <sheet name="2015_09_27.02-05.03" sheetId="54" r:id="rId21"/>
    <sheet name="2015_08_20-26.02" sheetId="53" r:id="rId22"/>
    <sheet name="2015_07_13-19.02" sheetId="52" r:id="rId23"/>
    <sheet name="2015_06_06-12.02" sheetId="51" r:id="rId24"/>
    <sheet name="2015_05_30.01-05.02" sheetId="50" r:id="rId25"/>
    <sheet name="2015_04_23-29.01" sheetId="49" r:id="rId26"/>
    <sheet name="2015_03_16-22.01" sheetId="48" r:id="rId27"/>
    <sheet name="2015_02_09-15.01" sheetId="47" r:id="rId28"/>
    <sheet name="2015_01_02-08.01" sheetId="46" r:id="rId29"/>
  </sheets>
  <definedNames>
    <definedName name="_xlnm._FilterDatabase" localSheetId="19" hidden="1">'2015_10_06-12.03'!$J$5:$M$5</definedName>
    <definedName name="_xlnm._FilterDatabase" localSheetId="18" hidden="1">'2015_11_13-19.03'!$J$5:$M$5</definedName>
    <definedName name="_xlnm._FilterDatabase" localSheetId="17" hidden="1">'2015_12_20-26.03'!$J$5:$M$5</definedName>
    <definedName name="_xlnm._FilterDatabase" localSheetId="16" hidden="1">'2015_13_27.03-02.04'!$J$5:$M$5</definedName>
    <definedName name="_xlnm._FilterDatabase" localSheetId="15" hidden="1">'2015_14_03-09.04'!$J$5:$M$5</definedName>
    <definedName name="_xlnm._FilterDatabase" localSheetId="14" hidden="1">'2015_15_10-16.04'!$J$5:$M$5</definedName>
    <definedName name="_xlnm._FilterDatabase" localSheetId="13" hidden="1">'2015_16_17-23.04'!$J$5:$M$5</definedName>
    <definedName name="_xlnm._FilterDatabase" localSheetId="12" hidden="1">'2015_17_24-30.04'!$J$5:$M$5</definedName>
    <definedName name="_xlnm._FilterDatabase" localSheetId="11" hidden="1">'2015_18_01-07.05'!$J$5:$M$5</definedName>
    <definedName name="_xlnm._FilterDatabase" localSheetId="10" hidden="1">'2015_19_08-14.05'!$J$5:$M$5</definedName>
    <definedName name="_xlnm._FilterDatabase" localSheetId="9" hidden="1">'2015_20_15-21.05'!$J$5:$M$5</definedName>
    <definedName name="_xlnm._FilterDatabase" localSheetId="8" hidden="1">'2015_21_22-28.05'!$J$5:$M$5</definedName>
    <definedName name="_xlnm._FilterDatabase" localSheetId="7" hidden="1">'2015_22_29.05-04.06'!$J$5:$M$5</definedName>
    <definedName name="_xlnm._FilterDatabase" localSheetId="6" hidden="1">'2015_23_05-11.06'!$J$5:$M$5</definedName>
    <definedName name="_xlnm._FilterDatabase" localSheetId="5" hidden="1">'2015_24_12-18.06'!$J$5:$M$5</definedName>
    <definedName name="_xlnm._FilterDatabase" localSheetId="4" hidden="1">'2015_25_19-25.06'!$J$5:$M$5</definedName>
    <definedName name="_xlnm._FilterDatabase" localSheetId="3" hidden="1">'2015_26_26.06-02.07'!$J$5:$M$5</definedName>
    <definedName name="_xlnm._FilterDatabase" localSheetId="2" hidden="1">'2015_27_03-09.07'!$J$5:$M$5</definedName>
    <definedName name="_xlnm._FilterDatabase" localSheetId="1" hidden="1">'2015_28_10-16.07'!$J$5:$M$5</definedName>
    <definedName name="_xlnm._FilterDatabase" localSheetId="0" hidden="1">'2015_29_17-23.07'!$J$5:$M$5</definedName>
  </definedNames>
  <calcPr calcId="145621"/>
</workbook>
</file>

<file path=xl/calcChain.xml><?xml version="1.0" encoding="utf-8"?>
<calcChain xmlns="http://schemas.openxmlformats.org/spreadsheetml/2006/main">
  <c r="B10" i="74" l="1"/>
  <c r="B11" i="74" s="1"/>
  <c r="B12" i="74" s="1"/>
  <c r="B13" i="74" s="1"/>
  <c r="B14" i="74" s="1"/>
  <c r="B15" i="74" s="1"/>
  <c r="B16" i="74" s="1"/>
  <c r="B17" i="74" s="1"/>
  <c r="O11" i="74"/>
  <c r="P11" i="74" s="1"/>
  <c r="N11" i="74"/>
  <c r="M11" i="74"/>
  <c r="L11" i="74"/>
  <c r="B6" i="74"/>
  <c r="B7" i="74" s="1"/>
  <c r="B8" i="74" s="1"/>
  <c r="B9" i="74" s="1"/>
  <c r="O14" i="74"/>
  <c r="N14" i="74"/>
  <c r="O10" i="74"/>
  <c r="N10" i="74"/>
  <c r="O13" i="74"/>
  <c r="N13" i="74"/>
  <c r="O17" i="74"/>
  <c r="N17" i="74"/>
  <c r="O12" i="74"/>
  <c r="N12" i="74"/>
  <c r="O15" i="74"/>
  <c r="N15" i="74"/>
  <c r="O16" i="74"/>
  <c r="N16" i="74"/>
  <c r="O9" i="74"/>
  <c r="N9" i="74"/>
  <c r="O7" i="74"/>
  <c r="N7" i="74"/>
  <c r="O6" i="74"/>
  <c r="N6" i="74"/>
  <c r="O8" i="74"/>
  <c r="N8" i="74"/>
  <c r="P7" i="74" l="1"/>
  <c r="M7" i="74"/>
  <c r="L7" i="74"/>
  <c r="P6" i="74"/>
  <c r="M6" i="74"/>
  <c r="L6" i="74"/>
  <c r="P12" i="74"/>
  <c r="M12" i="74"/>
  <c r="L12" i="74"/>
  <c r="P15" i="74"/>
  <c r="M15" i="74"/>
  <c r="L15" i="74"/>
  <c r="P17" i="74"/>
  <c r="M17" i="74"/>
  <c r="L17" i="74"/>
  <c r="P10" i="74"/>
  <c r="M10" i="74"/>
  <c r="L10" i="74"/>
  <c r="P16" i="74"/>
  <c r="M16" i="74"/>
  <c r="L16" i="74"/>
  <c r="P13" i="74"/>
  <c r="M13" i="74"/>
  <c r="L13" i="74"/>
  <c r="P9" i="74"/>
  <c r="M9" i="74"/>
  <c r="L9" i="74"/>
  <c r="P14" i="74"/>
  <c r="M14" i="74"/>
  <c r="L14" i="74"/>
  <c r="P8" i="74"/>
  <c r="M8" i="74"/>
  <c r="L8" i="74"/>
  <c r="O17" i="73" l="1"/>
  <c r="N17" i="73"/>
  <c r="B16" i="73"/>
  <c r="B17" i="73"/>
  <c r="B18" i="73" s="1"/>
  <c r="N7" i="73"/>
  <c r="B7" i="73" l="1"/>
  <c r="B8" i="73" s="1"/>
  <c r="B9" i="73" s="1"/>
  <c r="B10" i="73" s="1"/>
  <c r="B11" i="73" s="1"/>
  <c r="B12" i="73" s="1"/>
  <c r="B13" i="73" s="1"/>
  <c r="B14" i="73" s="1"/>
  <c r="B15" i="73" s="1"/>
  <c r="B6" i="73"/>
  <c r="O18" i="73"/>
  <c r="N18" i="73"/>
  <c r="O16" i="73"/>
  <c r="N16" i="73"/>
  <c r="O10" i="73"/>
  <c r="N10" i="73"/>
  <c r="O13" i="73"/>
  <c r="N13" i="73"/>
  <c r="O12" i="73"/>
  <c r="N12" i="73"/>
  <c r="O11" i="73"/>
  <c r="N11" i="73"/>
  <c r="O15" i="73"/>
  <c r="N15" i="73"/>
  <c r="O9" i="73"/>
  <c r="N9" i="73"/>
  <c r="O14" i="73"/>
  <c r="N14" i="73"/>
  <c r="O7" i="73"/>
  <c r="O8" i="73"/>
  <c r="N8" i="73"/>
  <c r="O6" i="73"/>
  <c r="N6" i="73"/>
  <c r="P18" i="73" l="1"/>
  <c r="M18" i="73"/>
  <c r="L18" i="73"/>
  <c r="P13" i="73"/>
  <c r="M13" i="73"/>
  <c r="L13" i="73"/>
  <c r="P6" i="73" l="1"/>
  <c r="M6" i="73"/>
  <c r="L6" i="73"/>
  <c r="M17" i="73"/>
  <c r="L17" i="73"/>
  <c r="P16" i="73"/>
  <c r="M16" i="73"/>
  <c r="L16" i="73"/>
  <c r="M9" i="73"/>
  <c r="L9" i="73"/>
  <c r="P10" i="73"/>
  <c r="M10" i="73"/>
  <c r="L10" i="73"/>
  <c r="M11" i="73"/>
  <c r="L11" i="73"/>
  <c r="M14" i="73"/>
  <c r="L14" i="73"/>
  <c r="P12" i="73"/>
  <c r="M12" i="73"/>
  <c r="L12" i="73"/>
  <c r="M15" i="73"/>
  <c r="L15" i="73"/>
  <c r="M7" i="73"/>
  <c r="L7" i="73"/>
  <c r="P8" i="73"/>
  <c r="M8" i="73"/>
  <c r="L8" i="73"/>
  <c r="P7" i="73" l="1"/>
  <c r="P15" i="73"/>
  <c r="P14" i="73"/>
  <c r="P11" i="73"/>
  <c r="P9" i="73"/>
  <c r="P17" i="73"/>
  <c r="B7" i="72"/>
  <c r="B8" i="72" s="1"/>
  <c r="B9" i="72" s="1"/>
  <c r="B10" i="72" s="1"/>
  <c r="B11" i="72" s="1"/>
  <c r="B12" i="72" s="1"/>
  <c r="B13" i="72" s="1"/>
  <c r="B14" i="72" s="1"/>
  <c r="B15" i="72" s="1"/>
  <c r="B16" i="72" s="1"/>
  <c r="B17" i="72" s="1"/>
  <c r="B6" i="72"/>
  <c r="O14" i="72"/>
  <c r="N14" i="72"/>
  <c r="O12" i="72"/>
  <c r="N12" i="72"/>
  <c r="O16" i="72"/>
  <c r="N16" i="72"/>
  <c r="O17" i="72"/>
  <c r="N17" i="72"/>
  <c r="O6" i="72"/>
  <c r="N6" i="72"/>
  <c r="O7" i="72"/>
  <c r="N7" i="72"/>
  <c r="O11" i="72"/>
  <c r="N11" i="72"/>
  <c r="O15" i="72"/>
  <c r="N15" i="72"/>
  <c r="O9" i="72"/>
  <c r="N9" i="72"/>
  <c r="O13" i="72"/>
  <c r="N13" i="72"/>
  <c r="O10" i="72"/>
  <c r="N10" i="72"/>
  <c r="O8" i="72"/>
  <c r="N8" i="72"/>
  <c r="P8" i="72" l="1"/>
  <c r="M8" i="72"/>
  <c r="L8" i="72"/>
  <c r="M15" i="72"/>
  <c r="L15" i="72"/>
  <c r="M13" i="72"/>
  <c r="L13" i="72"/>
  <c r="M12" i="72"/>
  <c r="L12" i="72"/>
  <c r="M16" i="72"/>
  <c r="L16" i="72"/>
  <c r="M6" i="72"/>
  <c r="L6" i="72"/>
  <c r="M17" i="72"/>
  <c r="L17" i="72"/>
  <c r="M10" i="72"/>
  <c r="L10" i="72"/>
  <c r="M9" i="72"/>
  <c r="L9" i="72"/>
  <c r="M14" i="72"/>
  <c r="L14" i="72"/>
  <c r="M11" i="72"/>
  <c r="L11" i="72"/>
  <c r="M7" i="72"/>
  <c r="L7" i="72"/>
  <c r="P13" i="72" l="1"/>
  <c r="P15" i="72"/>
  <c r="P7" i="72"/>
  <c r="P11" i="72"/>
  <c r="P9" i="72"/>
  <c r="P17" i="72"/>
  <c r="P6" i="72"/>
  <c r="P16" i="72"/>
  <c r="P12" i="72"/>
  <c r="P14" i="72"/>
  <c r="P10" i="72"/>
  <c r="B7" i="71"/>
  <c r="B8" i="71" s="1"/>
  <c r="B9" i="71" s="1"/>
  <c r="B10" i="71" s="1"/>
  <c r="B11" i="71" s="1"/>
  <c r="B12" i="71" s="1"/>
  <c r="B13" i="71" s="1"/>
  <c r="B14" i="71" s="1"/>
  <c r="B15" i="71" s="1"/>
  <c r="B16" i="71" s="1"/>
  <c r="B6" i="71"/>
  <c r="O10" i="71"/>
  <c r="N10" i="71"/>
  <c r="O14" i="71"/>
  <c r="N14" i="71"/>
  <c r="O15" i="71"/>
  <c r="N15" i="71"/>
  <c r="P15" i="71" s="1"/>
  <c r="M15" i="71"/>
  <c r="L15" i="71"/>
  <c r="O6" i="71" l="1"/>
  <c r="N6" i="71"/>
  <c r="O7" i="71"/>
  <c r="N7" i="71"/>
  <c r="O13" i="71"/>
  <c r="N13" i="71"/>
  <c r="O11" i="71"/>
  <c r="N11" i="71"/>
  <c r="O16" i="71"/>
  <c r="N16" i="71"/>
  <c r="P16" i="71" s="1"/>
  <c r="M16" i="71"/>
  <c r="L16" i="71"/>
  <c r="O9" i="71"/>
  <c r="N9" i="71"/>
  <c r="M9" i="71"/>
  <c r="L9" i="71"/>
  <c r="O12" i="71"/>
  <c r="N12" i="71"/>
  <c r="O8" i="71"/>
  <c r="N8" i="71"/>
  <c r="M8" i="71"/>
  <c r="L8" i="71"/>
  <c r="P9" i="71" l="1"/>
  <c r="P8" i="71"/>
  <c r="P6" i="71"/>
  <c r="M6" i="71"/>
  <c r="L6" i="71"/>
  <c r="M14" i="71"/>
  <c r="L14" i="71"/>
  <c r="M12" i="71"/>
  <c r="L12" i="71"/>
  <c r="P13" i="71"/>
  <c r="M13" i="71"/>
  <c r="L13" i="71"/>
  <c r="P10" i="71"/>
  <c r="M10" i="71"/>
  <c r="L10" i="71"/>
  <c r="P11" i="71"/>
  <c r="M11" i="71"/>
  <c r="L11" i="71"/>
  <c r="M7" i="71"/>
  <c r="L7" i="71"/>
  <c r="P14" i="71" l="1"/>
  <c r="P7" i="71"/>
  <c r="P12" i="71"/>
  <c r="B7" i="70"/>
  <c r="B8" i="70" s="1"/>
  <c r="B9" i="70" s="1"/>
  <c r="B10" i="70" s="1"/>
  <c r="B11" i="70" s="1"/>
  <c r="B12" i="70" s="1"/>
  <c r="B13" i="70" s="1"/>
  <c r="B14" i="70" s="1"/>
  <c r="B15" i="70" s="1"/>
  <c r="B6" i="70"/>
  <c r="O11" i="70"/>
  <c r="N11" i="70"/>
  <c r="O14" i="70"/>
  <c r="N14" i="70"/>
  <c r="O6" i="70"/>
  <c r="N6" i="70"/>
  <c r="O7" i="70"/>
  <c r="N7" i="70"/>
  <c r="P7" i="70" s="1"/>
  <c r="O13" i="70"/>
  <c r="N13" i="70"/>
  <c r="O10" i="70"/>
  <c r="N10" i="70"/>
  <c r="O15" i="70"/>
  <c r="N15" i="70"/>
  <c r="N9" i="70"/>
  <c r="O9" i="70"/>
  <c r="P9" i="70" s="1"/>
  <c r="O8" i="70"/>
  <c r="N8" i="70"/>
  <c r="P8" i="70" s="1"/>
  <c r="M13" i="70"/>
  <c r="L13" i="70"/>
  <c r="M7" i="70"/>
  <c r="L7" i="70"/>
  <c r="M9" i="70"/>
  <c r="L9" i="70"/>
  <c r="M8" i="70"/>
  <c r="L8" i="70"/>
  <c r="P13" i="70" l="1"/>
  <c r="P6" i="70"/>
  <c r="M6" i="70"/>
  <c r="L6" i="70"/>
  <c r="O12" i="70" l="1"/>
  <c r="N12" i="70"/>
  <c r="M14" i="70" l="1"/>
  <c r="L14" i="70"/>
  <c r="M15" i="70"/>
  <c r="L15" i="70"/>
  <c r="M11" i="70"/>
  <c r="L11" i="70"/>
  <c r="P12" i="70"/>
  <c r="M12" i="70"/>
  <c r="L12" i="70"/>
  <c r="M10" i="70"/>
  <c r="L10" i="70"/>
  <c r="P11" i="70" l="1"/>
  <c r="P15" i="70"/>
  <c r="P14" i="70"/>
  <c r="P10" i="70"/>
  <c r="B7" i="69"/>
  <c r="B8" i="69"/>
  <c r="B9" i="69"/>
  <c r="B10" i="69" s="1"/>
  <c r="B11" i="69" s="1"/>
  <c r="B6" i="69"/>
  <c r="O11" i="69"/>
  <c r="N11" i="69"/>
  <c r="O7" i="69"/>
  <c r="N7" i="69"/>
  <c r="O8" i="69"/>
  <c r="N8" i="69"/>
  <c r="O6" i="69"/>
  <c r="N6" i="69"/>
  <c r="O9" i="69"/>
  <c r="N9" i="69"/>
  <c r="O10" i="69"/>
  <c r="N10" i="69"/>
  <c r="P9" i="69" l="1"/>
  <c r="M9" i="69"/>
  <c r="L9" i="69"/>
  <c r="P11" i="69"/>
  <c r="M11" i="69"/>
  <c r="L11" i="69"/>
  <c r="P10" i="69"/>
  <c r="M10" i="69"/>
  <c r="L10" i="69"/>
  <c r="M8" i="69"/>
  <c r="L8" i="69"/>
  <c r="P6" i="69"/>
  <c r="M6" i="69"/>
  <c r="L6" i="69"/>
  <c r="P7" i="69"/>
  <c r="M7" i="69"/>
  <c r="L7" i="69"/>
  <c r="P8" i="69" l="1"/>
  <c r="B8" i="68"/>
  <c r="B9" i="68" s="1"/>
  <c r="B10" i="68" s="1"/>
  <c r="B11" i="68" s="1"/>
  <c r="B12" i="68" s="1"/>
  <c r="O6" i="68"/>
  <c r="N6" i="68"/>
  <c r="O10" i="68"/>
  <c r="N10" i="68"/>
  <c r="P10" i="68" s="1"/>
  <c r="O9" i="68"/>
  <c r="N9" i="68"/>
  <c r="O12" i="68"/>
  <c r="N12" i="68"/>
  <c r="O7" i="68"/>
  <c r="N7" i="68"/>
  <c r="O11" i="68"/>
  <c r="N11" i="68"/>
  <c r="O8" i="68"/>
  <c r="N8" i="68"/>
  <c r="M10" i="68"/>
  <c r="L10" i="68"/>
  <c r="P12" i="68" l="1"/>
  <c r="M12" i="68"/>
  <c r="L12" i="68"/>
  <c r="P9" i="68"/>
  <c r="M9" i="68"/>
  <c r="L9" i="68"/>
  <c r="M11" i="68"/>
  <c r="L11" i="68"/>
  <c r="P8" i="68"/>
  <c r="M8" i="68"/>
  <c r="L8" i="68"/>
  <c r="M7" i="68"/>
  <c r="L7" i="68"/>
  <c r="P6" i="68"/>
  <c r="M6" i="68"/>
  <c r="L6" i="68"/>
  <c r="B6" i="68"/>
  <c r="B7" i="68" s="1"/>
  <c r="P7" i="68" l="1"/>
  <c r="P11" i="68"/>
  <c r="B7" i="67"/>
  <c r="B8" i="67"/>
  <c r="B9" i="67" s="1"/>
  <c r="B10" i="67" s="1"/>
  <c r="B11" i="67" s="1"/>
  <c r="B12" i="67" s="1"/>
  <c r="B6" i="67"/>
  <c r="O7" i="67"/>
  <c r="N7" i="67"/>
  <c r="O10" i="67"/>
  <c r="N10" i="67"/>
  <c r="O12" i="67"/>
  <c r="N12" i="67"/>
  <c r="O6" i="67"/>
  <c r="N6" i="67"/>
  <c r="O9" i="67"/>
  <c r="N9" i="67"/>
  <c r="O11" i="67"/>
  <c r="N11" i="67"/>
  <c r="O8" i="67"/>
  <c r="N8" i="67"/>
  <c r="P6" i="67" l="1"/>
  <c r="M6" i="67"/>
  <c r="L6" i="67"/>
  <c r="M10" i="67"/>
  <c r="L10" i="67"/>
  <c r="M12" i="67"/>
  <c r="L12" i="67"/>
  <c r="P11" i="67"/>
  <c r="M11" i="67"/>
  <c r="L11" i="67"/>
  <c r="P7" i="67"/>
  <c r="M7" i="67"/>
  <c r="L7" i="67"/>
  <c r="P9" i="67"/>
  <c r="M9" i="67"/>
  <c r="L9" i="67"/>
  <c r="P8" i="67"/>
  <c r="M8" i="67"/>
  <c r="L8" i="67"/>
  <c r="P10" i="67" l="1"/>
  <c r="P12" i="67"/>
  <c r="O8" i="66"/>
  <c r="N8" i="66"/>
  <c r="O12" i="66" l="1"/>
  <c r="P12" i="66" s="1"/>
  <c r="N12" i="66"/>
  <c r="M12" i="66"/>
  <c r="L12" i="66"/>
  <c r="O11" i="66"/>
  <c r="N11" i="66"/>
  <c r="P11" i="66" s="1"/>
  <c r="M11" i="66"/>
  <c r="L11" i="66"/>
  <c r="O10" i="66"/>
  <c r="N10" i="66"/>
  <c r="P10" i="66" s="1"/>
  <c r="M10" i="66"/>
  <c r="L10" i="66"/>
  <c r="O9" i="66"/>
  <c r="N9" i="66"/>
  <c r="P9" i="66" s="1"/>
  <c r="M9" i="66"/>
  <c r="L9" i="66"/>
  <c r="M8" i="66"/>
  <c r="L8" i="66"/>
  <c r="O7" i="66"/>
  <c r="P7" i="66" s="1"/>
  <c r="N7" i="66"/>
  <c r="M7" i="66"/>
  <c r="L7" i="66"/>
  <c r="O6" i="66"/>
  <c r="N6" i="66"/>
  <c r="M6" i="66"/>
  <c r="L6" i="66"/>
  <c r="B6" i="66"/>
  <c r="B7" i="66" s="1"/>
  <c r="B8" i="66" s="1"/>
  <c r="B9" i="66" s="1"/>
  <c r="B10" i="66" s="1"/>
  <c r="B11" i="66" s="1"/>
  <c r="B12" i="66" s="1"/>
  <c r="P6" i="66" l="1"/>
  <c r="P8" i="66"/>
  <c r="O11" i="65"/>
  <c r="N11" i="65"/>
  <c r="B6" i="65"/>
  <c r="B7" i="65" s="1"/>
  <c r="B8" i="65" s="1"/>
  <c r="B9" i="65" s="1"/>
  <c r="B10" i="65" s="1"/>
  <c r="B11" i="65" s="1"/>
  <c r="B12" i="65" s="1"/>
  <c r="B13" i="65" s="1"/>
  <c r="B14" i="65" s="1"/>
  <c r="B15" i="65" s="1"/>
  <c r="M11" i="65"/>
  <c r="L11" i="65"/>
  <c r="O15" i="65"/>
  <c r="N15" i="65"/>
  <c r="O9" i="65"/>
  <c r="N9" i="65"/>
  <c r="O6" i="65"/>
  <c r="N6" i="65"/>
  <c r="O7" i="65"/>
  <c r="N7" i="65"/>
  <c r="O12" i="65"/>
  <c r="N12" i="65"/>
  <c r="O14" i="65"/>
  <c r="N14" i="65"/>
  <c r="O13" i="65"/>
  <c r="N13" i="65"/>
  <c r="O8" i="65"/>
  <c r="N8" i="65"/>
  <c r="O10" i="65"/>
  <c r="N10" i="65"/>
  <c r="P11" i="65" l="1"/>
  <c r="P6" i="65"/>
  <c r="M6" i="65"/>
  <c r="L6" i="65"/>
  <c r="P15" i="65"/>
  <c r="M15" i="65"/>
  <c r="L15" i="65"/>
  <c r="P10" i="65"/>
  <c r="M10" i="65"/>
  <c r="L10" i="65"/>
  <c r="P14" i="65"/>
  <c r="M14" i="65"/>
  <c r="L14" i="65"/>
  <c r="M13" i="65"/>
  <c r="L13" i="65"/>
  <c r="P8" i="65"/>
  <c r="M8" i="65"/>
  <c r="L8" i="65"/>
  <c r="P9" i="65"/>
  <c r="M9" i="65"/>
  <c r="L9" i="65"/>
  <c r="P12" i="65"/>
  <c r="M12" i="65"/>
  <c r="L12" i="65"/>
  <c r="M7" i="65"/>
  <c r="L7" i="65"/>
  <c r="P7" i="65" l="1"/>
  <c r="P13" i="65"/>
  <c r="O19" i="64"/>
  <c r="P19" i="64" s="1"/>
  <c r="N19" i="64"/>
  <c r="M19" i="64"/>
  <c r="L19" i="64"/>
  <c r="O18" i="64"/>
  <c r="N18" i="64"/>
  <c r="P18" i="64" s="1"/>
  <c r="M18" i="64"/>
  <c r="L18" i="64"/>
  <c r="O17" i="64"/>
  <c r="N17" i="64"/>
  <c r="P17" i="64" s="1"/>
  <c r="M17" i="64"/>
  <c r="L17" i="64"/>
  <c r="O16" i="64"/>
  <c r="N16" i="64"/>
  <c r="P16" i="64" s="1"/>
  <c r="M16" i="64"/>
  <c r="L16" i="64"/>
  <c r="O15" i="64"/>
  <c r="N15" i="64"/>
  <c r="M15" i="64"/>
  <c r="L15" i="64"/>
  <c r="O14" i="64"/>
  <c r="N14" i="64"/>
  <c r="P14" i="64" s="1"/>
  <c r="M14" i="64"/>
  <c r="L14" i="64"/>
  <c r="O13" i="64"/>
  <c r="N13" i="64"/>
  <c r="P13" i="64" s="1"/>
  <c r="M13" i="64"/>
  <c r="L13" i="64"/>
  <c r="O12" i="64"/>
  <c r="N12" i="64"/>
  <c r="P12" i="64" s="1"/>
  <c r="M12" i="64"/>
  <c r="L12" i="64"/>
  <c r="O11" i="64"/>
  <c r="N11" i="64"/>
  <c r="M11" i="64"/>
  <c r="L11" i="64"/>
  <c r="O10" i="64"/>
  <c r="N10" i="64"/>
  <c r="P10" i="64" s="1"/>
  <c r="M10" i="64"/>
  <c r="L10" i="64"/>
  <c r="O9" i="64"/>
  <c r="N9" i="64"/>
  <c r="M9" i="64"/>
  <c r="L9" i="64"/>
  <c r="O8" i="64"/>
  <c r="N8" i="64"/>
  <c r="M8" i="64"/>
  <c r="L8" i="64"/>
  <c r="O7" i="64"/>
  <c r="N7" i="64"/>
  <c r="M7" i="64"/>
  <c r="L7" i="64"/>
  <c r="O6" i="64"/>
  <c r="N6" i="64"/>
  <c r="P6" i="64" s="1"/>
  <c r="M6" i="64"/>
  <c r="L6" i="64"/>
  <c r="P7" i="64" l="1"/>
  <c r="P11" i="64"/>
  <c r="P15" i="64"/>
  <c r="P8" i="64"/>
  <c r="P9" i="64"/>
  <c r="B6" i="64" l="1"/>
  <c r="B7" i="64" s="1"/>
  <c r="B8" i="64" s="1"/>
  <c r="B9" i="64" s="1"/>
  <c r="B10" i="64" s="1"/>
  <c r="B11" i="64" s="1"/>
  <c r="B12" i="64" s="1"/>
  <c r="B13" i="64" s="1"/>
  <c r="B14" i="64" s="1"/>
  <c r="B15" i="64" s="1"/>
  <c r="B16" i="64" s="1"/>
  <c r="B17" i="64" s="1"/>
  <c r="B18" i="64" s="1"/>
  <c r="B19" i="64" s="1"/>
  <c r="O10" i="63" l="1"/>
  <c r="N10" i="63"/>
  <c r="B6" i="63" l="1"/>
  <c r="B7" i="63" s="1"/>
  <c r="B8" i="63" s="1"/>
  <c r="B9" i="63" s="1"/>
  <c r="B10" i="63" s="1"/>
  <c r="B11" i="63" s="1"/>
  <c r="B12" i="63" s="1"/>
  <c r="B13" i="63" s="1"/>
  <c r="B14" i="63" s="1"/>
  <c r="O13" i="63"/>
  <c r="N13" i="63"/>
  <c r="M13" i="63"/>
  <c r="L13" i="63"/>
  <c r="O6" i="63"/>
  <c r="N6" i="63"/>
  <c r="P13" i="63" l="1"/>
  <c r="P6" i="63"/>
  <c r="M6" i="63"/>
  <c r="L6" i="63"/>
  <c r="O7" i="63"/>
  <c r="N7" i="63"/>
  <c r="O12" i="63"/>
  <c r="N12" i="63"/>
  <c r="P12" i="63" s="1"/>
  <c r="O9" i="63"/>
  <c r="N9" i="63"/>
  <c r="O8" i="63"/>
  <c r="N8" i="63"/>
  <c r="O11" i="63"/>
  <c r="N11" i="63"/>
  <c r="M11" i="63"/>
  <c r="L11" i="63"/>
  <c r="L8" i="48"/>
  <c r="M8" i="48"/>
  <c r="N8" i="48"/>
  <c r="O8" i="48"/>
  <c r="O14" i="63"/>
  <c r="N14" i="63"/>
  <c r="M14" i="63"/>
  <c r="L14" i="63"/>
  <c r="M8" i="63"/>
  <c r="L8" i="63"/>
  <c r="M9" i="63"/>
  <c r="L9" i="63"/>
  <c r="P10" i="63"/>
  <c r="M10" i="63"/>
  <c r="L10" i="63"/>
  <c r="M12" i="63"/>
  <c r="L12" i="63"/>
  <c r="M7" i="63"/>
  <c r="L7" i="63"/>
  <c r="B6" i="62"/>
  <c r="B7" i="62" s="1"/>
  <c r="B8" i="62" s="1"/>
  <c r="B9" i="62" s="1"/>
  <c r="B10" i="62" s="1"/>
  <c r="B11" i="62" s="1"/>
  <c r="B12" i="62" s="1"/>
  <c r="B13" i="62" s="1"/>
  <c r="B14" i="62" s="1"/>
  <c r="O8" i="62"/>
  <c r="P8" i="62" s="1"/>
  <c r="N8" i="62"/>
  <c r="O6" i="62"/>
  <c r="N6" i="62"/>
  <c r="O14" i="62"/>
  <c r="N14" i="62"/>
  <c r="O13" i="62"/>
  <c r="N13" i="62"/>
  <c r="P13" i="62" s="1"/>
  <c r="O11" i="62"/>
  <c r="P11" i="62" s="1"/>
  <c r="N11" i="62"/>
  <c r="O10" i="62"/>
  <c r="N10" i="62"/>
  <c r="O12" i="62"/>
  <c r="N12" i="62"/>
  <c r="O7" i="62"/>
  <c r="N7" i="62"/>
  <c r="P7" i="62" s="1"/>
  <c r="O9" i="62"/>
  <c r="N9" i="62"/>
  <c r="P14" i="62"/>
  <c r="M14" i="62"/>
  <c r="L14" i="62"/>
  <c r="M10" i="62"/>
  <c r="L10" i="62"/>
  <c r="P12" i="62"/>
  <c r="M12" i="62"/>
  <c r="L12" i="62"/>
  <c r="M6" i="62"/>
  <c r="L6" i="62"/>
  <c r="M13" i="62"/>
  <c r="L13" i="62"/>
  <c r="M11" i="62"/>
  <c r="L11" i="62"/>
  <c r="P9" i="62"/>
  <c r="M9" i="62"/>
  <c r="L9" i="62"/>
  <c r="M8" i="62"/>
  <c r="L8" i="62"/>
  <c r="M7" i="62"/>
  <c r="L7" i="62"/>
  <c r="N6" i="61"/>
  <c r="N7" i="61"/>
  <c r="O8" i="61"/>
  <c r="N8" i="61"/>
  <c r="B6" i="61"/>
  <c r="B7" i="61" s="1"/>
  <c r="B8" i="61" s="1"/>
  <c r="B9" i="61" s="1"/>
  <c r="B10" i="61" s="1"/>
  <c r="O7" i="61"/>
  <c r="O6" i="61"/>
  <c r="P6" i="61" s="1"/>
  <c r="O9" i="61"/>
  <c r="N9" i="61"/>
  <c r="O10" i="61"/>
  <c r="N10" i="61"/>
  <c r="M9" i="61"/>
  <c r="L9" i="61"/>
  <c r="M10" i="61"/>
  <c r="L10" i="61"/>
  <c r="P7" i="61"/>
  <c r="M7" i="61"/>
  <c r="L7" i="61"/>
  <c r="M8" i="61"/>
  <c r="L8" i="61"/>
  <c r="M6" i="61"/>
  <c r="L6" i="61"/>
  <c r="O8" i="60"/>
  <c r="N8" i="60"/>
  <c r="O7" i="60"/>
  <c r="N7" i="60"/>
  <c r="P7" i="60" s="1"/>
  <c r="O6" i="60"/>
  <c r="N6" i="60"/>
  <c r="O10" i="60"/>
  <c r="N10" i="60"/>
  <c r="P10" i="60" s="1"/>
  <c r="B6" i="60"/>
  <c r="B7" i="60" s="1"/>
  <c r="B8" i="60" s="1"/>
  <c r="B9" i="60" s="1"/>
  <c r="B10" i="60" s="1"/>
  <c r="O9" i="60"/>
  <c r="N9" i="60"/>
  <c r="P6" i="60"/>
  <c r="M6" i="60"/>
  <c r="L6" i="60"/>
  <c r="M9" i="60"/>
  <c r="L9" i="60"/>
  <c r="M10" i="60"/>
  <c r="L10" i="60"/>
  <c r="M8" i="60"/>
  <c r="L8" i="60"/>
  <c r="M7" i="60"/>
  <c r="L7" i="60"/>
  <c r="O6" i="59"/>
  <c r="N6" i="59"/>
  <c r="B6" i="59"/>
  <c r="B7" i="59" s="1"/>
  <c r="B8" i="59" s="1"/>
  <c r="B9" i="59" s="1"/>
  <c r="B10" i="59" s="1"/>
  <c r="M6" i="59"/>
  <c r="L6" i="59"/>
  <c r="O7" i="59"/>
  <c r="N7" i="59"/>
  <c r="O9" i="59"/>
  <c r="P9" i="59" s="1"/>
  <c r="N9" i="59"/>
  <c r="O8" i="59"/>
  <c r="N8" i="59"/>
  <c r="P8" i="59" s="1"/>
  <c r="O10" i="59"/>
  <c r="N10" i="59"/>
  <c r="M8" i="59"/>
  <c r="L8" i="59"/>
  <c r="M9" i="59"/>
  <c r="L9" i="59"/>
  <c r="M10" i="59"/>
  <c r="L10" i="59"/>
  <c r="P7" i="59"/>
  <c r="M7" i="59"/>
  <c r="L7" i="59"/>
  <c r="O11" i="58"/>
  <c r="P11" i="58" s="1"/>
  <c r="N11" i="58"/>
  <c r="O9" i="58"/>
  <c r="N9" i="58"/>
  <c r="O7" i="58"/>
  <c r="N7" i="58"/>
  <c r="M7" i="58"/>
  <c r="L7" i="58"/>
  <c r="O8" i="58"/>
  <c r="N8" i="58"/>
  <c r="M8" i="58"/>
  <c r="L8" i="58"/>
  <c r="O6" i="58"/>
  <c r="P6" i="58" s="1"/>
  <c r="N6" i="58"/>
  <c r="O10" i="58"/>
  <c r="N10" i="58"/>
  <c r="P10" i="58" s="1"/>
  <c r="M11" i="58"/>
  <c r="L11" i="58"/>
  <c r="M10" i="58"/>
  <c r="L10" i="58"/>
  <c r="M9" i="58"/>
  <c r="L9" i="58"/>
  <c r="M6" i="58"/>
  <c r="L6" i="58"/>
  <c r="B6" i="58"/>
  <c r="B7" i="58" s="1"/>
  <c r="B8" i="58" s="1"/>
  <c r="B9" i="58" s="1"/>
  <c r="B10" i="58" s="1"/>
  <c r="B11" i="58" s="1"/>
  <c r="O6" i="56"/>
  <c r="P6" i="56" s="1"/>
  <c r="N6" i="56"/>
  <c r="O11" i="56"/>
  <c r="N11" i="56"/>
  <c r="M11" i="56"/>
  <c r="L11" i="56"/>
  <c r="O10" i="56"/>
  <c r="N10" i="56"/>
  <c r="M10" i="56"/>
  <c r="L10" i="56"/>
  <c r="O9" i="56"/>
  <c r="N9" i="56"/>
  <c r="P9" i="56" s="1"/>
  <c r="M9" i="56"/>
  <c r="L9" i="56"/>
  <c r="O8" i="56"/>
  <c r="N8" i="56"/>
  <c r="P8" i="56" s="1"/>
  <c r="M8" i="56"/>
  <c r="L8" i="56"/>
  <c r="O7" i="56"/>
  <c r="N7" i="56"/>
  <c r="P7" i="56" s="1"/>
  <c r="M7" i="56"/>
  <c r="L7" i="56"/>
  <c r="M6" i="56"/>
  <c r="L6" i="56"/>
  <c r="O15" i="57"/>
  <c r="N15" i="57"/>
  <c r="M15" i="57"/>
  <c r="L15" i="57"/>
  <c r="O14" i="57"/>
  <c r="N14" i="57"/>
  <c r="M14" i="57"/>
  <c r="L14" i="57"/>
  <c r="O13" i="57"/>
  <c r="N13" i="57"/>
  <c r="M13" i="57"/>
  <c r="L13" i="57"/>
  <c r="O12" i="57"/>
  <c r="N12" i="57"/>
  <c r="M12" i="57"/>
  <c r="L12" i="57"/>
  <c r="O11" i="57"/>
  <c r="N11" i="57"/>
  <c r="M11" i="57"/>
  <c r="L11" i="57"/>
  <c r="O10" i="57"/>
  <c r="N10" i="57"/>
  <c r="M10" i="57"/>
  <c r="L10" i="57"/>
  <c r="O9" i="57"/>
  <c r="N9" i="57"/>
  <c r="M9" i="57"/>
  <c r="L9" i="57"/>
  <c r="O8" i="57"/>
  <c r="N8" i="57"/>
  <c r="M8" i="57"/>
  <c r="L8" i="57"/>
  <c r="O7" i="57"/>
  <c r="N7" i="57"/>
  <c r="M7" i="57"/>
  <c r="L7" i="57"/>
  <c r="O6" i="57"/>
  <c r="N6" i="57"/>
  <c r="M6" i="57"/>
  <c r="L6" i="57"/>
  <c r="B6" i="57"/>
  <c r="B7" i="57" s="1"/>
  <c r="B8" i="57" s="1"/>
  <c r="B9" i="57" s="1"/>
  <c r="B10" i="57" s="1"/>
  <c r="B11" i="57" s="1"/>
  <c r="B12" i="57" s="1"/>
  <c r="B13" i="57" s="1"/>
  <c r="B14" i="57" s="1"/>
  <c r="B15" i="57" s="1"/>
  <c r="P15" i="57"/>
  <c r="P11" i="57"/>
  <c r="B6" i="56"/>
  <c r="B7" i="56" s="1"/>
  <c r="B8" i="56" s="1"/>
  <c r="B9" i="56" s="1"/>
  <c r="B10" i="56" s="1"/>
  <c r="B11" i="56" s="1"/>
  <c r="O11" i="55"/>
  <c r="N11" i="55"/>
  <c r="P11" i="55" s="1"/>
  <c r="O9" i="55"/>
  <c r="N9" i="55"/>
  <c r="O8" i="55"/>
  <c r="N8" i="55"/>
  <c r="O6" i="55"/>
  <c r="N6" i="55"/>
  <c r="O14" i="55"/>
  <c r="N14" i="55"/>
  <c r="O13" i="55"/>
  <c r="N13" i="55"/>
  <c r="O15" i="55"/>
  <c r="N15" i="55"/>
  <c r="O12" i="55"/>
  <c r="N12" i="55"/>
  <c r="O16" i="55"/>
  <c r="N16" i="55"/>
  <c r="O10" i="55"/>
  <c r="N10" i="55"/>
  <c r="O7" i="55"/>
  <c r="N7" i="55"/>
  <c r="M10" i="55"/>
  <c r="L10" i="55"/>
  <c r="M11" i="55"/>
  <c r="L11" i="55"/>
  <c r="M15" i="55"/>
  <c r="L15" i="55"/>
  <c r="M14" i="55"/>
  <c r="L14" i="55"/>
  <c r="M13" i="55"/>
  <c r="L13" i="55"/>
  <c r="M16" i="55"/>
  <c r="L16" i="55"/>
  <c r="P12" i="55"/>
  <c r="M12" i="55"/>
  <c r="L12" i="55"/>
  <c r="M9" i="55"/>
  <c r="L9" i="55"/>
  <c r="M8" i="55"/>
  <c r="L8" i="55"/>
  <c r="M7" i="55"/>
  <c r="L7" i="55"/>
  <c r="M6" i="55"/>
  <c r="L6" i="55"/>
  <c r="B6" i="55"/>
  <c r="B7" i="55" s="1"/>
  <c r="B8" i="55" s="1"/>
  <c r="B9" i="55" s="1"/>
  <c r="B10" i="55" s="1"/>
  <c r="B11" i="55" s="1"/>
  <c r="B12" i="55" s="1"/>
  <c r="B13" i="55" s="1"/>
  <c r="B14" i="55" s="1"/>
  <c r="B15" i="55" s="1"/>
  <c r="B16" i="55" s="1"/>
  <c r="O8" i="54"/>
  <c r="N8" i="54"/>
  <c r="O11" i="54"/>
  <c r="N11" i="54"/>
  <c r="M11" i="54"/>
  <c r="L11" i="54"/>
  <c r="O10" i="54"/>
  <c r="N10" i="54"/>
  <c r="M10" i="54"/>
  <c r="L10" i="54"/>
  <c r="O9" i="54"/>
  <c r="N9" i="54"/>
  <c r="M9" i="54"/>
  <c r="L9" i="54"/>
  <c r="M8" i="54"/>
  <c r="L8" i="54"/>
  <c r="O7" i="54"/>
  <c r="N7" i="54"/>
  <c r="P7" i="54"/>
  <c r="M7" i="54"/>
  <c r="L7" i="54"/>
  <c r="O6" i="54"/>
  <c r="N6" i="54"/>
  <c r="P6" i="54" s="1"/>
  <c r="M6" i="54"/>
  <c r="L6" i="54"/>
  <c r="B6" i="54"/>
  <c r="B7" i="54" s="1"/>
  <c r="B8" i="54" s="1"/>
  <c r="B9" i="54" s="1"/>
  <c r="B10" i="54" s="1"/>
  <c r="B11" i="54" s="1"/>
  <c r="O7" i="53"/>
  <c r="N7" i="53"/>
  <c r="O6" i="53"/>
  <c r="N6" i="53"/>
  <c r="P6" i="53" s="1"/>
  <c r="O8" i="53"/>
  <c r="N8" i="53"/>
  <c r="O10" i="53"/>
  <c r="N10" i="53"/>
  <c r="P10" i="53" s="1"/>
  <c r="O9" i="53"/>
  <c r="P9" i="53" s="1"/>
  <c r="N9" i="53"/>
  <c r="M10" i="53"/>
  <c r="L10" i="53"/>
  <c r="M9" i="53"/>
  <c r="L9" i="53"/>
  <c r="M8" i="53"/>
  <c r="L8" i="53"/>
  <c r="M7" i="53"/>
  <c r="L7" i="53"/>
  <c r="M6" i="53"/>
  <c r="L6" i="53"/>
  <c r="B6" i="53"/>
  <c r="B7" i="53" s="1"/>
  <c r="B8" i="53" s="1"/>
  <c r="B9" i="53" s="1"/>
  <c r="B10" i="53" s="1"/>
  <c r="O7" i="52"/>
  <c r="N7" i="52"/>
  <c r="O6" i="52"/>
  <c r="N6" i="52"/>
  <c r="P6" i="52" s="1"/>
  <c r="O8" i="52"/>
  <c r="P8" i="52" s="1"/>
  <c r="N8" i="52"/>
  <c r="O9" i="52"/>
  <c r="N9" i="52"/>
  <c r="M9" i="52"/>
  <c r="L9" i="52"/>
  <c r="M8" i="52"/>
  <c r="L8" i="52"/>
  <c r="M7" i="52"/>
  <c r="L7" i="52"/>
  <c r="M6" i="52"/>
  <c r="L6" i="52"/>
  <c r="B6" i="52"/>
  <c r="B7" i="52" s="1"/>
  <c r="B8" i="52" s="1"/>
  <c r="B9" i="52" s="1"/>
  <c r="O10" i="51"/>
  <c r="N10" i="51"/>
  <c r="M10" i="51"/>
  <c r="L10" i="51"/>
  <c r="O9" i="51"/>
  <c r="P9" i="51" s="1"/>
  <c r="N9" i="51"/>
  <c r="M9" i="51"/>
  <c r="L9" i="51"/>
  <c r="O8" i="51"/>
  <c r="N8" i="51"/>
  <c r="M8" i="51"/>
  <c r="L8" i="51"/>
  <c r="O7" i="51"/>
  <c r="N7" i="51"/>
  <c r="M7" i="51"/>
  <c r="L7" i="51"/>
  <c r="O6" i="51"/>
  <c r="N6" i="51"/>
  <c r="M6" i="51"/>
  <c r="L6" i="51"/>
  <c r="B6" i="51"/>
  <c r="B7" i="51" s="1"/>
  <c r="B8" i="51" s="1"/>
  <c r="B9" i="51" s="1"/>
  <c r="B10" i="51" s="1"/>
  <c r="O6" i="50"/>
  <c r="N6" i="50"/>
  <c r="O8" i="50"/>
  <c r="N8" i="50"/>
  <c r="O10" i="50"/>
  <c r="N10" i="50"/>
  <c r="O7" i="50"/>
  <c r="N7" i="50"/>
  <c r="P7" i="50" s="1"/>
  <c r="O9" i="50"/>
  <c r="N9" i="50"/>
  <c r="M9" i="50"/>
  <c r="L9" i="50"/>
  <c r="M10" i="50"/>
  <c r="L10" i="50"/>
  <c r="M8" i="50"/>
  <c r="L8" i="50"/>
  <c r="M7" i="50"/>
  <c r="L7" i="50"/>
  <c r="M6" i="50"/>
  <c r="L6" i="50"/>
  <c r="B6" i="50"/>
  <c r="B7" i="50" s="1"/>
  <c r="B8" i="50" s="1"/>
  <c r="B9" i="50" s="1"/>
  <c r="B10" i="50" s="1"/>
  <c r="O6" i="49"/>
  <c r="N6" i="49"/>
  <c r="P6" i="49" s="1"/>
  <c r="O7" i="49"/>
  <c r="N7" i="49"/>
  <c r="O9" i="49"/>
  <c r="N9" i="49"/>
  <c r="O10" i="49"/>
  <c r="N10" i="49"/>
  <c r="O8" i="49"/>
  <c r="N8" i="49"/>
  <c r="P8" i="49" s="1"/>
  <c r="M8" i="49"/>
  <c r="L8" i="49"/>
  <c r="M10" i="49"/>
  <c r="L10" i="49"/>
  <c r="M9" i="49"/>
  <c r="L9" i="49"/>
  <c r="M7" i="49"/>
  <c r="L7" i="49"/>
  <c r="M6" i="49"/>
  <c r="L6" i="49"/>
  <c r="B6" i="49"/>
  <c r="B7" i="49" s="1"/>
  <c r="B8" i="49" s="1"/>
  <c r="B9" i="49" s="1"/>
  <c r="B10" i="49" s="1"/>
  <c r="P9" i="49"/>
  <c r="N10" i="48"/>
  <c r="O10" i="48"/>
  <c r="M10" i="48"/>
  <c r="L10" i="48"/>
  <c r="N9" i="48"/>
  <c r="P9" i="48" s="1"/>
  <c r="O9" i="48"/>
  <c r="M9" i="48"/>
  <c r="L9" i="48"/>
  <c r="N7" i="48"/>
  <c r="O7" i="48"/>
  <c r="M7" i="48"/>
  <c r="L7" i="48"/>
  <c r="N6" i="48"/>
  <c r="O6" i="48"/>
  <c r="M6" i="48"/>
  <c r="L6" i="48"/>
  <c r="B6" i="48"/>
  <c r="B7" i="48" s="1"/>
  <c r="B6" i="47"/>
  <c r="B7" i="47" s="1"/>
  <c r="B8" i="47" s="1"/>
  <c r="B9" i="47" s="1"/>
  <c r="O9" i="47"/>
  <c r="N9" i="47"/>
  <c r="O6" i="47"/>
  <c r="N6" i="47"/>
  <c r="O7" i="47"/>
  <c r="N7" i="47"/>
  <c r="P7" i="47" s="1"/>
  <c r="O8" i="47"/>
  <c r="N8" i="47"/>
  <c r="M8" i="47"/>
  <c r="L8" i="47"/>
  <c r="M7" i="47"/>
  <c r="L7" i="47"/>
  <c r="M9" i="47"/>
  <c r="L9" i="47"/>
  <c r="M6" i="47"/>
  <c r="L6" i="47"/>
  <c r="O6" i="46"/>
  <c r="N6" i="46"/>
  <c r="B6" i="46"/>
  <c r="B7" i="46" s="1"/>
  <c r="B8" i="46" s="1"/>
  <c r="B9" i="46" s="1"/>
  <c r="B10" i="46" s="1"/>
  <c r="O9" i="46"/>
  <c r="N9" i="46"/>
  <c r="P9" i="46" s="1"/>
  <c r="O10" i="46"/>
  <c r="N10" i="46"/>
  <c r="P10" i="46" s="1"/>
  <c r="O8" i="46"/>
  <c r="N8" i="46"/>
  <c r="O7" i="46"/>
  <c r="N7" i="46"/>
  <c r="M8" i="46"/>
  <c r="L8" i="46"/>
  <c r="M7" i="46"/>
  <c r="L7" i="46"/>
  <c r="M10" i="46"/>
  <c r="L10" i="46"/>
  <c r="M9" i="46"/>
  <c r="L9" i="46"/>
  <c r="M6" i="46"/>
  <c r="L6" i="46"/>
  <c r="P6" i="46" l="1"/>
  <c r="P8" i="54"/>
  <c r="P14" i="55"/>
  <c r="P8" i="55"/>
  <c r="P10" i="56"/>
  <c r="P10" i="61"/>
  <c r="P6" i="62"/>
  <c r="P8" i="48"/>
  <c r="P8" i="47"/>
  <c r="P9" i="50"/>
  <c r="P10" i="50"/>
  <c r="P6" i="50"/>
  <c r="P7" i="52"/>
  <c r="P10" i="55"/>
  <c r="P13" i="55"/>
  <c r="P6" i="55"/>
  <c r="P9" i="55"/>
  <c r="P9" i="57"/>
  <c r="P10" i="57"/>
  <c r="P12" i="57"/>
  <c r="P14" i="57"/>
  <c r="P9" i="58"/>
  <c r="P9" i="60"/>
  <c r="P9" i="61"/>
  <c r="P8" i="51"/>
  <c r="P9" i="54"/>
  <c r="P11" i="54"/>
  <c r="P7" i="58"/>
  <c r="B8" i="48"/>
  <c r="B9" i="48" s="1"/>
  <c r="B10" i="48" s="1"/>
  <c r="P7" i="46"/>
  <c r="P9" i="47"/>
  <c r="P10" i="54"/>
  <c r="P11" i="56"/>
  <c r="P6" i="47"/>
  <c r="P8" i="50"/>
  <c r="P6" i="51"/>
  <c r="P7" i="51"/>
  <c r="P10" i="51"/>
  <c r="P6" i="57"/>
  <c r="P7" i="57"/>
  <c r="P8" i="57"/>
  <c r="P13" i="57"/>
  <c r="P6" i="59"/>
  <c r="P8" i="61"/>
  <c r="P8" i="46"/>
  <c r="P6" i="48"/>
  <c r="P7" i="48"/>
  <c r="P10" i="48"/>
  <c r="P10" i="49"/>
  <c r="P7" i="49"/>
  <c r="P9" i="52"/>
  <c r="P8" i="53"/>
  <c r="P7" i="53"/>
  <c r="P7" i="55"/>
  <c r="P16" i="55"/>
  <c r="P15" i="55"/>
  <c r="P8" i="58"/>
  <c r="P10" i="59"/>
  <c r="P8" i="60"/>
  <c r="P10" i="62"/>
  <c r="P7" i="63"/>
  <c r="P9" i="63"/>
  <c r="P8" i="63"/>
  <c r="P11" i="63"/>
  <c r="P14" i="63"/>
</calcChain>
</file>

<file path=xl/sharedStrings.xml><?xml version="1.0" encoding="utf-8"?>
<sst xmlns="http://schemas.openxmlformats.org/spreadsheetml/2006/main" count="1267" uniqueCount="118">
  <si>
    <t>Filmin Adı</t>
  </si>
  <si>
    <t>Vizyon Tarihi</t>
  </si>
  <si>
    <t>Dağıtımcı</t>
  </si>
  <si>
    <t>Şirket</t>
  </si>
  <si>
    <t>Kopya Adedi</t>
  </si>
  <si>
    <t>Salon Adedi</t>
  </si>
  <si>
    <t>Hasılat</t>
  </si>
  <si>
    <t>Seyirci</t>
  </si>
  <si>
    <t>Salon Ort.</t>
  </si>
  <si>
    <t>BİR FİLM</t>
  </si>
  <si>
    <t>Bilet F. Ort.</t>
  </si>
  <si>
    <t>Haf</t>
  </si>
  <si>
    <t>BİR FİLM HAFTALIK SEYİRCİ VE HASILAT RAPORU</t>
  </si>
  <si>
    <t>Haftalık Toplam</t>
  </si>
  <si>
    <t>Genel Toplam</t>
  </si>
  <si>
    <t>Hafta:</t>
  </si>
  <si>
    <t>Tarih:</t>
  </si>
  <si>
    <t>WHO KILLED BAMBI</t>
  </si>
  <si>
    <t>SİYAH BEYAZ MOVIES</t>
  </si>
  <si>
    <t>NICHOLAS ON HOLIDAY</t>
  </si>
  <si>
    <t>FİLMA</t>
  </si>
  <si>
    <t>WINX CLUB: THE MYSTERY OF THE ABYSS</t>
  </si>
  <si>
    <t>KARIŞIK KASET</t>
  </si>
  <si>
    <t>AFRICAN SAFARI (3D)</t>
  </si>
  <si>
    <t>2015 / 01</t>
  </si>
  <si>
    <t>02 - 08 Ocak 2015</t>
  </si>
  <si>
    <t>2015 / 02</t>
  </si>
  <si>
    <t>09 - 15 Ocak 2015</t>
  </si>
  <si>
    <t xml:space="preserve">BABADOOK, THE </t>
  </si>
  <si>
    <t>CALINOS</t>
  </si>
  <si>
    <t>DARK TOUCH</t>
  </si>
  <si>
    <t>2015 / 03</t>
  </si>
  <si>
    <t>16 - 22 Ocak 2015</t>
  </si>
  <si>
    <t>SERIAL (BAD) WEDDINGS</t>
  </si>
  <si>
    <t>LİMON YAPIM</t>
  </si>
  <si>
    <t>2015 / 04</t>
  </si>
  <si>
    <t>23 - 29 Ocak 2015</t>
  </si>
  <si>
    <t>TOM LITTLE AND THE MAGIC MIRROR</t>
  </si>
  <si>
    <t>2015 / 05</t>
  </si>
  <si>
    <t>30 Ocak - 05 Şubat 2015</t>
  </si>
  <si>
    <t>LITTLE GHOST, THE</t>
  </si>
  <si>
    <t>2015 / 06</t>
  </si>
  <si>
    <t>06 - 12 Şubat 2015</t>
  </si>
  <si>
    <t>2015 / 07</t>
  </si>
  <si>
    <t>13 - 19 Şubat 2015</t>
  </si>
  <si>
    <t>STILL ALICE</t>
  </si>
  <si>
    <t>YAV HE HE</t>
  </si>
  <si>
    <t>YAV HE HE FİLM</t>
  </si>
  <si>
    <t>2015 / 08</t>
  </si>
  <si>
    <t>20 - 26 Şubat 2015</t>
  </si>
  <si>
    <t>RIGHT KIND OF WRONG, THE</t>
  </si>
  <si>
    <t>2015 / 09</t>
  </si>
  <si>
    <t>27 Şubat - 05 Mart 2015</t>
  </si>
  <si>
    <t>2015 / 10</t>
  </si>
  <si>
    <t>06 - 12 Mart 2015</t>
  </si>
  <si>
    <t>IN FEAR</t>
  </si>
  <si>
    <t>2015 / 11</t>
  </si>
  <si>
    <t>13 - 19 Mart 2015</t>
  </si>
  <si>
    <t>COCONUT: THE LITTLE DRAGON</t>
  </si>
  <si>
    <t>CHINESE PUZZLE</t>
  </si>
  <si>
    <t>SILS MARIA</t>
  </si>
  <si>
    <t>2015 / 12</t>
  </si>
  <si>
    <t>20 - 26 Mart 2015</t>
  </si>
  <si>
    <t>2015 / 13</t>
  </si>
  <si>
    <t>27 Mart - 02 Nisan 2015</t>
  </si>
  <si>
    <t>2015 / 14</t>
  </si>
  <si>
    <t>03 - 09 Nisan 2015</t>
  </si>
  <si>
    <t>COBBLER, THE</t>
  </si>
  <si>
    <t>2015 / 15</t>
  </si>
  <si>
    <t>10 - 16 Nisan 2015</t>
  </si>
  <si>
    <t>CUB</t>
  </si>
  <si>
    <t>2015 / 16</t>
  </si>
  <si>
    <t>17 - 23 Nisan 2015</t>
  </si>
  <si>
    <t>2015 / 17</t>
  </si>
  <si>
    <t>24 - 30 Nisan 2015</t>
  </si>
  <si>
    <t>BLACK SEA</t>
  </si>
  <si>
    <t>2015 / 18</t>
  </si>
  <si>
    <t>01 - 07 Mayıs 2015</t>
  </si>
  <si>
    <t>POSTHUMOUS</t>
  </si>
  <si>
    <t>2015 / 19</t>
  </si>
  <si>
    <t>08 - 14 Mayıs 2015</t>
  </si>
  <si>
    <t>IT FOLLOWS</t>
  </si>
  <si>
    <t>2015 / 20</t>
  </si>
  <si>
    <t>15 - 21 Mayıs 2015</t>
  </si>
  <si>
    <t>SUITE FRANCAISE</t>
  </si>
  <si>
    <t>2015 / 21</t>
  </si>
  <si>
    <t>22 - 28 Mayıs 2015</t>
  </si>
  <si>
    <t xml:space="preserve">  </t>
  </si>
  <si>
    <t>2015 / 22</t>
  </si>
  <si>
    <t>29 Mayıs - 04 Haziran 2015</t>
  </si>
  <si>
    <t>ALOFT</t>
  </si>
  <si>
    <t>2015 / 23</t>
  </si>
  <si>
    <t>05 - 11 Haziran 2015</t>
  </si>
  <si>
    <t>VAMPIRE ACADEMY</t>
  </si>
  <si>
    <t>2015 / 24</t>
  </si>
  <si>
    <t>12 - 18 Haziran 2015</t>
  </si>
  <si>
    <t>2015 / 25</t>
  </si>
  <si>
    <t>19 - 25 Haziran 2015</t>
  </si>
  <si>
    <t>İYİ BİRİ</t>
  </si>
  <si>
    <t>ANATOLIAN PROD.</t>
  </si>
  <si>
    <t>RETURNED, THE</t>
  </si>
  <si>
    <t>2015 / 26</t>
  </si>
  <si>
    <t>26 Haziran - 02 Temmuz 2015</t>
  </si>
  <si>
    <t>ESCOBAR: PARADISE LOST</t>
  </si>
  <si>
    <t>FABULA FILMS</t>
  </si>
  <si>
    <t>BARCELONA SUMMER NIGHT</t>
  </si>
  <si>
    <t>2015 / 27</t>
  </si>
  <si>
    <t>03 - 09 Temmuz 2015</t>
  </si>
  <si>
    <t>ROYAL NIGHT OUT, A</t>
  </si>
  <si>
    <t>2015 / 28</t>
  </si>
  <si>
    <t>10 - 16 Temmuz 2015</t>
  </si>
  <si>
    <t>BEYOND THE REACH</t>
  </si>
  <si>
    <t>KURMACA F. &amp; FABULA F.</t>
  </si>
  <si>
    <t>2015 / 29</t>
  </si>
  <si>
    <t>17 - 23 Temmuz 2015</t>
  </si>
  <si>
    <t>INDIGENOUS</t>
  </si>
  <si>
    <t>KRALLAR KULÜBÜ</t>
  </si>
  <si>
    <t>MİNERVA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</si>
</sst>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T_L_-;\-* #,##0.00\ _T_L_-;_-* &quot;-&quot;??\ _T_L_-;_-@_-"/>
    <numFmt numFmtId="164" formatCode="dd/mm/yy"/>
    <numFmt numFmtId="165" formatCode="0.00\ "/>
    <numFmt numFmtId="166" formatCode="#,##0.00\ \ "/>
    <numFmt numFmtId="167" formatCode="#,##0\ "/>
    <numFmt numFmtId="168" formatCode="[$-F400]h:mm:ss\ AM/PM"/>
  </numFmts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rgb="FF00206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8"/>
      <color rgb="FFFF0000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right" vertical="center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2" fontId="3" fillId="0" borderId="17" xfId="0" applyNumberFormat="1" applyFont="1" applyBorder="1" applyAlignment="1">
      <alignment horizontal="right" vertical="center" shrinkToFit="1"/>
    </xf>
    <xf numFmtId="0" fontId="3" fillId="0" borderId="16" xfId="0" applyFont="1" applyBorder="1" applyAlignment="1">
      <alignment horizontal="right" vertical="center" shrinkToFit="1"/>
    </xf>
    <xf numFmtId="0" fontId="5" fillId="2" borderId="8" xfId="0" applyFont="1" applyFill="1" applyBorder="1" applyAlignment="1" applyProtection="1">
      <alignment horizontal="center" vertical="center" shrinkToFit="1"/>
    </xf>
    <xf numFmtId="167" fontId="6" fillId="0" borderId="24" xfId="0" applyNumberFormat="1" applyFont="1" applyFill="1" applyBorder="1" applyAlignment="1" applyProtection="1">
      <alignment horizontal="center" vertical="center" wrapText="1"/>
    </xf>
    <xf numFmtId="3" fontId="6" fillId="0" borderId="25" xfId="0" applyNumberFormat="1" applyFont="1" applyFill="1" applyBorder="1" applyAlignment="1" applyProtection="1">
      <alignment horizontal="center" vertical="center" wrapText="1"/>
    </xf>
    <xf numFmtId="167" fontId="6" fillId="0" borderId="25" xfId="0" applyNumberFormat="1" applyFont="1" applyFill="1" applyBorder="1" applyAlignment="1" applyProtection="1">
      <alignment horizontal="center" vertical="center" wrapText="1"/>
    </xf>
    <xf numFmtId="165" fontId="6" fillId="0" borderId="26" xfId="0" applyNumberFormat="1" applyFont="1" applyFill="1" applyBorder="1" applyAlignment="1" applyProtection="1">
      <alignment horizontal="center" vertical="center" wrapText="1"/>
    </xf>
    <xf numFmtId="166" fontId="6" fillId="0" borderId="24" xfId="0" applyNumberFormat="1" applyFont="1" applyFill="1" applyBorder="1" applyAlignment="1" applyProtection="1">
      <alignment horizontal="center" vertical="center" wrapText="1"/>
    </xf>
    <xf numFmtId="3" fontId="4" fillId="0" borderId="28" xfId="2" applyNumberFormat="1" applyFont="1" applyFill="1" applyBorder="1" applyAlignment="1" applyProtection="1">
      <alignment horizontal="right" vertical="center" shrinkToFit="1"/>
    </xf>
    <xf numFmtId="0" fontId="5" fillId="0" borderId="30" xfId="0" applyFont="1" applyFill="1" applyBorder="1" applyAlignment="1" applyProtection="1">
      <alignment horizontal="right" vertical="center"/>
    </xf>
    <xf numFmtId="0" fontId="5" fillId="0" borderId="34" xfId="0" applyFont="1" applyFill="1" applyBorder="1" applyAlignment="1" applyProtection="1">
      <alignment horizontal="right" vertical="center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6" xfId="0" applyFont="1" applyFill="1" applyBorder="1" applyAlignment="1">
      <alignment horizontal="center" vertical="center" shrinkToFit="1"/>
    </xf>
    <xf numFmtId="166" fontId="4" fillId="0" borderId="37" xfId="2" applyNumberFormat="1" applyFont="1" applyFill="1" applyBorder="1" applyAlignment="1" applyProtection="1">
      <alignment horizontal="right" vertical="center" shrinkToFit="1"/>
    </xf>
    <xf numFmtId="3" fontId="4" fillId="0" borderId="35" xfId="2" applyNumberFormat="1" applyFont="1" applyFill="1" applyBorder="1" applyAlignment="1" applyProtection="1">
      <alignment horizontal="right" vertical="center" shrinkToFit="1"/>
    </xf>
    <xf numFmtId="167" fontId="8" fillId="3" borderId="35" xfId="2" applyNumberFormat="1" applyFont="1" applyFill="1" applyBorder="1" applyAlignment="1">
      <alignment horizontal="right" vertical="center" shrinkToFit="1"/>
    </xf>
    <xf numFmtId="165" fontId="8" fillId="3" borderId="38" xfId="2" applyNumberFormat="1" applyFont="1" applyFill="1" applyBorder="1" applyAlignment="1">
      <alignment vertical="center" shrinkToFit="1"/>
    </xf>
    <xf numFmtId="166" fontId="8" fillId="0" borderId="37" xfId="0" applyNumberFormat="1" applyFont="1" applyFill="1" applyBorder="1" applyAlignment="1">
      <alignment vertical="center" shrinkToFit="1"/>
    </xf>
    <xf numFmtId="167" fontId="8" fillId="0" borderId="35" xfId="2" applyNumberFormat="1" applyFont="1" applyFill="1" applyBorder="1" applyAlignment="1" applyProtection="1">
      <alignment vertical="center" shrinkToFit="1"/>
      <protection locked="0"/>
    </xf>
    <xf numFmtId="166" fontId="8" fillId="3" borderId="38" xfId="0" applyNumberFormat="1" applyFont="1" applyFill="1" applyBorder="1" applyAlignment="1">
      <alignment vertical="center" shrinkToFit="1"/>
    </xf>
    <xf numFmtId="0" fontId="5" fillId="0" borderId="0" xfId="0" applyFont="1" applyFill="1" applyBorder="1" applyAlignment="1" applyProtection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166" fontId="4" fillId="0" borderId="14" xfId="2" applyNumberFormat="1" applyFont="1" applyFill="1" applyBorder="1" applyAlignment="1" applyProtection="1">
      <alignment horizontal="right" vertical="center" shrinkToFit="1"/>
    </xf>
    <xf numFmtId="3" fontId="4" fillId="0" borderId="11" xfId="2" applyNumberFormat="1" applyFont="1" applyFill="1" applyBorder="1" applyAlignment="1" applyProtection="1">
      <alignment horizontal="right" vertical="center" shrinkToFit="1"/>
    </xf>
    <xf numFmtId="166" fontId="8" fillId="0" borderId="14" xfId="0" applyNumberFormat="1" applyFont="1" applyFill="1" applyBorder="1" applyAlignment="1">
      <alignment vertical="center" shrinkToFit="1"/>
    </xf>
    <xf numFmtId="167" fontId="8" fillId="0" borderId="11" xfId="2" applyNumberFormat="1" applyFont="1" applyFill="1" applyBorder="1" applyAlignment="1" applyProtection="1">
      <alignment vertical="center" shrinkToFit="1"/>
      <protection locked="0"/>
    </xf>
    <xf numFmtId="168" fontId="8" fillId="3" borderId="10" xfId="0" applyNumberFormat="1" applyFont="1" applyFill="1" applyBorder="1" applyAlignment="1">
      <alignment horizontal="left" vertical="center" shrinkToFit="1"/>
    </xf>
    <xf numFmtId="164" fontId="8" fillId="3" borderId="11" xfId="0" applyNumberFormat="1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left" vertical="center" shrinkToFit="1"/>
    </xf>
    <xf numFmtId="0" fontId="8" fillId="3" borderId="12" xfId="0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center" vertical="center" shrinkToFit="1"/>
    </xf>
    <xf numFmtId="167" fontId="8" fillId="3" borderId="11" xfId="2" applyNumberFormat="1" applyFont="1" applyFill="1" applyBorder="1" applyAlignment="1">
      <alignment horizontal="right" vertical="center" shrinkToFit="1"/>
    </xf>
    <xf numFmtId="165" fontId="8" fillId="3" borderId="15" xfId="2" applyNumberFormat="1" applyFont="1" applyFill="1" applyBorder="1" applyAlignment="1">
      <alignment vertical="center" shrinkToFit="1"/>
    </xf>
    <xf numFmtId="166" fontId="8" fillId="3" borderId="15" xfId="0" applyNumberFormat="1" applyFont="1" applyFill="1" applyBorder="1" applyAlignment="1">
      <alignment vertical="center" shrinkToFit="1"/>
    </xf>
    <xf numFmtId="168" fontId="8" fillId="3" borderId="31" xfId="0" applyNumberFormat="1" applyFont="1" applyFill="1" applyBorder="1" applyAlignment="1">
      <alignment horizontal="left" vertical="center" shrinkToFit="1"/>
    </xf>
    <xf numFmtId="164" fontId="8" fillId="3" borderId="28" xfId="0" applyNumberFormat="1" applyFont="1" applyFill="1" applyBorder="1" applyAlignment="1">
      <alignment horizontal="center" vertical="center" shrinkToFit="1"/>
    </xf>
    <xf numFmtId="0" fontId="8" fillId="3" borderId="28" xfId="0" applyFont="1" applyFill="1" applyBorder="1" applyAlignment="1">
      <alignment horizontal="left" vertical="center" shrinkToFit="1"/>
    </xf>
    <xf numFmtId="0" fontId="8" fillId="3" borderId="32" xfId="0" applyFont="1" applyFill="1" applyBorder="1" applyAlignment="1">
      <alignment horizontal="left" vertical="center" shrinkToFit="1"/>
    </xf>
    <xf numFmtId="0" fontId="8" fillId="3" borderId="28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8" fillId="0" borderId="33" xfId="0" applyFont="1" applyFill="1" applyBorder="1" applyAlignment="1">
      <alignment horizontal="center" vertical="center" shrinkToFit="1"/>
    </xf>
    <xf numFmtId="167" fontId="8" fillId="3" borderId="28" xfId="2" applyNumberFormat="1" applyFont="1" applyFill="1" applyBorder="1" applyAlignment="1">
      <alignment horizontal="right" vertical="center" shrinkToFit="1"/>
    </xf>
    <xf numFmtId="165" fontId="8" fillId="3" borderId="29" xfId="2" applyNumberFormat="1" applyFont="1" applyFill="1" applyBorder="1" applyAlignment="1">
      <alignment vertical="center" shrinkToFit="1"/>
    </xf>
    <xf numFmtId="166" fontId="4" fillId="0" borderId="27" xfId="2" applyNumberFormat="1" applyFont="1" applyFill="1" applyBorder="1" applyAlignment="1" applyProtection="1">
      <alignment horizontal="right" vertical="center" shrinkToFit="1"/>
    </xf>
    <xf numFmtId="166" fontId="8" fillId="0" borderId="27" xfId="0" applyNumberFormat="1" applyFont="1" applyFill="1" applyBorder="1" applyAlignment="1">
      <alignment vertical="center" shrinkToFit="1"/>
    </xf>
    <xf numFmtId="167" fontId="8" fillId="0" borderId="28" xfId="2" applyNumberFormat="1" applyFont="1" applyFill="1" applyBorder="1" applyAlignment="1" applyProtection="1">
      <alignment vertical="center" shrinkToFit="1"/>
      <protection locked="0"/>
    </xf>
    <xf numFmtId="166" fontId="8" fillId="3" borderId="29" xfId="0" applyNumberFormat="1" applyFont="1" applyFill="1" applyBorder="1" applyAlignment="1">
      <alignment vertical="center" shrinkToFit="1"/>
    </xf>
    <xf numFmtId="168" fontId="8" fillId="3" borderId="39" xfId="0" applyNumberFormat="1" applyFont="1" applyFill="1" applyBorder="1" applyAlignment="1">
      <alignment horizontal="left" vertical="center" shrinkToFit="1"/>
    </xf>
    <xf numFmtId="164" fontId="8" fillId="3" borderId="40" xfId="0" applyNumberFormat="1" applyFont="1" applyFill="1" applyBorder="1" applyAlignment="1">
      <alignment horizontal="center" vertical="center" shrinkToFit="1"/>
    </xf>
    <xf numFmtId="0" fontId="8" fillId="3" borderId="40" xfId="0" applyFont="1" applyFill="1" applyBorder="1" applyAlignment="1">
      <alignment horizontal="left" vertical="center" shrinkToFit="1"/>
    </xf>
    <xf numFmtId="0" fontId="8" fillId="3" borderId="41" xfId="0" applyFont="1" applyFill="1" applyBorder="1" applyAlignment="1">
      <alignment horizontal="left" vertical="center" shrinkToFit="1"/>
    </xf>
    <xf numFmtId="0" fontId="8" fillId="3" borderId="40" xfId="0" applyFont="1" applyFill="1" applyBorder="1" applyAlignment="1">
      <alignment horizontal="center" vertical="center" shrinkToFit="1"/>
    </xf>
    <xf numFmtId="0" fontId="8" fillId="0" borderId="42" xfId="0" applyFont="1" applyFill="1" applyBorder="1" applyAlignment="1">
      <alignment horizontal="center" vertical="center" shrinkToFit="1"/>
    </xf>
    <xf numFmtId="0" fontId="8" fillId="0" borderId="43" xfId="0" applyFont="1" applyFill="1" applyBorder="1" applyAlignment="1">
      <alignment horizontal="center" vertical="center" shrinkToFit="1"/>
    </xf>
    <xf numFmtId="166" fontId="4" fillId="0" borderId="44" xfId="2" applyNumberFormat="1" applyFont="1" applyFill="1" applyBorder="1" applyAlignment="1" applyProtection="1">
      <alignment horizontal="right" vertical="center" shrinkToFit="1"/>
    </xf>
    <xf numFmtId="3" fontId="4" fillId="0" borderId="42" xfId="2" applyNumberFormat="1" applyFont="1" applyFill="1" applyBorder="1" applyAlignment="1" applyProtection="1">
      <alignment horizontal="right" vertical="center" shrinkToFit="1"/>
    </xf>
    <xf numFmtId="167" fontId="8" fillId="3" borderId="42" xfId="2" applyNumberFormat="1" applyFont="1" applyFill="1" applyBorder="1" applyAlignment="1">
      <alignment horizontal="right" vertical="center" shrinkToFit="1"/>
    </xf>
    <xf numFmtId="165" fontId="8" fillId="3" borderId="45" xfId="2" applyNumberFormat="1" applyFont="1" applyFill="1" applyBorder="1" applyAlignment="1">
      <alignment vertical="center" shrinkToFit="1"/>
    </xf>
    <xf numFmtId="166" fontId="8" fillId="0" borderId="44" xfId="0" applyNumberFormat="1" applyFont="1" applyFill="1" applyBorder="1" applyAlignment="1">
      <alignment vertical="center" shrinkToFit="1"/>
    </xf>
    <xf numFmtId="167" fontId="8" fillId="0" borderId="42" xfId="2" applyNumberFormat="1" applyFont="1" applyFill="1" applyBorder="1" applyAlignment="1" applyProtection="1">
      <alignment vertical="center" shrinkToFit="1"/>
      <protection locked="0"/>
    </xf>
    <xf numFmtId="166" fontId="8" fillId="3" borderId="45" xfId="0" applyNumberFormat="1" applyFont="1" applyFill="1" applyBorder="1" applyAlignment="1">
      <alignment vertical="center" shrinkToFit="1"/>
    </xf>
    <xf numFmtId="166" fontId="4" fillId="4" borderId="37" xfId="2" applyNumberFormat="1" applyFont="1" applyFill="1" applyBorder="1" applyAlignment="1" applyProtection="1">
      <alignment horizontal="right" vertical="center" shrinkToFit="1"/>
    </xf>
    <xf numFmtId="3" fontId="4" fillId="4" borderId="35" xfId="2" applyNumberFormat="1" applyFont="1" applyFill="1" applyBorder="1" applyAlignment="1" applyProtection="1">
      <alignment horizontal="right" vertical="center" shrinkToFit="1"/>
    </xf>
    <xf numFmtId="166" fontId="8" fillId="4" borderId="37" xfId="0" applyNumberFormat="1" applyFont="1" applyFill="1" applyBorder="1" applyAlignment="1">
      <alignment vertical="center" shrinkToFit="1"/>
    </xf>
    <xf numFmtId="167" fontId="8" fillId="4" borderId="35" xfId="2" applyNumberFormat="1" applyFont="1" applyFill="1" applyBorder="1" applyAlignment="1" applyProtection="1">
      <alignment vertical="center" shrinkToFit="1"/>
      <protection locked="0"/>
    </xf>
    <xf numFmtId="166" fontId="4" fillId="4" borderId="27" xfId="2" applyNumberFormat="1" applyFont="1" applyFill="1" applyBorder="1" applyAlignment="1" applyProtection="1">
      <alignment horizontal="right" vertical="center" shrinkToFit="1"/>
    </xf>
    <xf numFmtId="3" fontId="4" fillId="4" borderId="28" xfId="2" applyNumberFormat="1" applyFont="1" applyFill="1" applyBorder="1" applyAlignment="1" applyProtection="1">
      <alignment horizontal="right" vertical="center" shrinkToFit="1"/>
    </xf>
    <xf numFmtId="166" fontId="8" fillId="4" borderId="27" xfId="0" applyNumberFormat="1" applyFont="1" applyFill="1" applyBorder="1" applyAlignment="1">
      <alignment vertical="center" shrinkToFit="1"/>
    </xf>
    <xf numFmtId="167" fontId="8" fillId="4" borderId="28" xfId="2" applyNumberFormat="1" applyFont="1" applyFill="1" applyBorder="1" applyAlignment="1" applyProtection="1">
      <alignment vertical="center" shrinkToFit="1"/>
      <protection locked="0"/>
    </xf>
    <xf numFmtId="0" fontId="8" fillId="4" borderId="35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 applyProtection="1">
      <alignment horizontal="right" vertical="center"/>
    </xf>
    <xf numFmtId="165" fontId="5" fillId="0" borderId="5" xfId="0" applyNumberFormat="1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  <xf numFmtId="165" fontId="5" fillId="0" borderId="7" xfId="0" applyNumberFormat="1" applyFont="1" applyFill="1" applyBorder="1" applyAlignment="1" applyProtection="1">
      <alignment horizontal="center" vertical="center" wrapText="1"/>
    </xf>
    <xf numFmtId="165" fontId="5" fillId="0" borderId="6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right" vertical="center" shrinkToFit="1"/>
    </xf>
    <xf numFmtId="0" fontId="10" fillId="0" borderId="17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 shrinkToFit="1"/>
    </xf>
    <xf numFmtId="0" fontId="10" fillId="0" borderId="16" xfId="0" applyFont="1" applyBorder="1" applyAlignment="1">
      <alignment horizontal="right" vertical="center" shrinkToFit="1"/>
    </xf>
    <xf numFmtId="2" fontId="3" fillId="0" borderId="17" xfId="0" applyNumberFormat="1" applyFont="1" applyBorder="1" applyAlignment="1">
      <alignment horizontal="center" vertical="center" shrinkToFit="1"/>
    </xf>
    <xf numFmtId="2" fontId="3" fillId="0" borderId="18" xfId="0" applyNumberFormat="1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43" fontId="5" fillId="0" borderId="2" xfId="1" applyFont="1" applyFill="1" applyBorder="1" applyAlignment="1" applyProtection="1">
      <alignment horizontal="center" vertical="center"/>
    </xf>
    <xf numFmtId="43" fontId="5" fillId="0" borderId="21" xfId="1" applyFont="1" applyFill="1" applyBorder="1" applyAlignment="1" applyProtection="1">
      <alignment horizontal="center" vertical="center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164" fontId="5" fillId="0" borderId="22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2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23" xfId="0" applyFont="1" applyFill="1" applyBorder="1" applyAlignment="1" applyProtection="1">
      <alignment horizontal="center" vertical="center" wrapText="1"/>
    </xf>
  </cellXfs>
  <cellStyles count="3">
    <cellStyle name="Binlik Ayracı 2 2" xfId="2"/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66675</xdr:rowOff>
    </xdr:from>
    <xdr:to>
      <xdr:col>2</xdr:col>
      <xdr:colOff>1076325</xdr:colOff>
      <xdr:row>2</xdr:row>
      <xdr:rowOff>330776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23825"/>
          <a:ext cx="1028700" cy="654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tabSelected="1"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113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114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115</v>
      </c>
      <c r="D6" s="45">
        <v>42202</v>
      </c>
      <c r="E6" s="46" t="s">
        <v>9</v>
      </c>
      <c r="F6" s="47" t="s">
        <v>9</v>
      </c>
      <c r="G6" s="48">
        <v>51</v>
      </c>
      <c r="H6" s="49">
        <v>91</v>
      </c>
      <c r="I6" s="50">
        <v>1</v>
      </c>
      <c r="J6" s="53">
        <v>219982.98</v>
      </c>
      <c r="K6" s="16">
        <v>21611</v>
      </c>
      <c r="L6" s="51">
        <f t="shared" ref="L6" si="0">K6/H6</f>
        <v>237.4835164835165</v>
      </c>
      <c r="M6" s="52">
        <f t="shared" ref="M6" si="1">+J6/K6</f>
        <v>10.179213363564852</v>
      </c>
      <c r="N6" s="54">
        <f>219982.98</f>
        <v>219982.98</v>
      </c>
      <c r="O6" s="55">
        <f>21611</f>
        <v>21611</v>
      </c>
      <c r="P6" s="56">
        <f t="shared" ref="P6" si="2">N6/O6</f>
        <v>10.179213363564852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116</v>
      </c>
      <c r="D7" s="58">
        <v>42202</v>
      </c>
      <c r="E7" s="59" t="s">
        <v>9</v>
      </c>
      <c r="F7" s="60" t="s">
        <v>117</v>
      </c>
      <c r="G7" s="61">
        <v>56</v>
      </c>
      <c r="H7" s="19">
        <v>120</v>
      </c>
      <c r="I7" s="20">
        <v>1</v>
      </c>
      <c r="J7" s="21">
        <v>184618.23999999999</v>
      </c>
      <c r="K7" s="22">
        <v>18571</v>
      </c>
      <c r="L7" s="23">
        <f>K7/H7</f>
        <v>154.75833333333333</v>
      </c>
      <c r="M7" s="24">
        <f>+J7/K7</f>
        <v>9.9412115664207636</v>
      </c>
      <c r="N7" s="25">
        <f>184618.24</f>
        <v>184618.23999999999</v>
      </c>
      <c r="O7" s="26">
        <f>18571</f>
        <v>18571</v>
      </c>
      <c r="P7" s="27">
        <f>N7/O7</f>
        <v>9.9412115664207636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111</v>
      </c>
      <c r="D8" s="58">
        <v>42195</v>
      </c>
      <c r="E8" s="59" t="s">
        <v>9</v>
      </c>
      <c r="F8" s="60" t="s">
        <v>112</v>
      </c>
      <c r="G8" s="61">
        <v>27</v>
      </c>
      <c r="H8" s="19">
        <v>13</v>
      </c>
      <c r="I8" s="20">
        <v>2</v>
      </c>
      <c r="J8" s="21">
        <v>15274</v>
      </c>
      <c r="K8" s="22">
        <v>1085</v>
      </c>
      <c r="L8" s="23">
        <f t="shared" ref="L8" si="4">K8/H8</f>
        <v>83.461538461538467</v>
      </c>
      <c r="M8" s="24">
        <f t="shared" ref="M8" si="5">+J8/K8</f>
        <v>14.07741935483871</v>
      </c>
      <c r="N8" s="25">
        <f>83392.39+15274</f>
        <v>98666.39</v>
      </c>
      <c r="O8" s="26">
        <f>6873+1085</f>
        <v>7958</v>
      </c>
      <c r="P8" s="27">
        <f t="shared" ref="P8" si="6">N8/O8</f>
        <v>12.398390299070119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108</v>
      </c>
      <c r="D9" s="58">
        <v>42188</v>
      </c>
      <c r="E9" s="59" t="s">
        <v>9</v>
      </c>
      <c r="F9" s="60" t="s">
        <v>9</v>
      </c>
      <c r="G9" s="61">
        <v>12</v>
      </c>
      <c r="H9" s="19">
        <v>1</v>
      </c>
      <c r="I9" s="20">
        <v>3</v>
      </c>
      <c r="J9" s="21">
        <v>3564</v>
      </c>
      <c r="K9" s="22">
        <v>713</v>
      </c>
      <c r="L9" s="23">
        <f t="shared" ref="L9" si="7">K9/H9</f>
        <v>713</v>
      </c>
      <c r="M9" s="24">
        <f t="shared" ref="M9" si="8">+J9/K9</f>
        <v>4.9985974754558207</v>
      </c>
      <c r="N9" s="25">
        <f>33892.1+3829.04+3564</f>
        <v>41285.14</v>
      </c>
      <c r="O9" s="26">
        <f>2557+250+713</f>
        <v>3520</v>
      </c>
      <c r="P9" s="27">
        <f t="shared" ref="P9" si="9">N9/O9</f>
        <v>11.728732954545455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9</v>
      </c>
      <c r="J10" s="21">
        <v>1550</v>
      </c>
      <c r="K10" s="22">
        <v>155</v>
      </c>
      <c r="L10" s="23">
        <f t="shared" ref="L10" si="10">K10/H10</f>
        <v>155</v>
      </c>
      <c r="M10" s="24">
        <f t="shared" ref="M10" si="11">+J10/K10</f>
        <v>10</v>
      </c>
      <c r="N10" s="25">
        <f>217416+133447+36039+7196+5028+2013.56+1782+950.4+1550</f>
        <v>405421.96</v>
      </c>
      <c r="O10" s="26">
        <f>15610+9137+2226+1626+1055+403+356+190+155</f>
        <v>30758</v>
      </c>
      <c r="P10" s="27">
        <f t="shared" ref="P10" si="12">N10/O10</f>
        <v>13.181024774042527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21</v>
      </c>
      <c r="J11" s="21">
        <v>1425.6</v>
      </c>
      <c r="K11" s="22">
        <v>285</v>
      </c>
      <c r="L11" s="23">
        <f>K11/H11</f>
        <v>285</v>
      </c>
      <c r="M11" s="24">
        <f>+J11/K11</f>
        <v>5.0021052631578948</v>
      </c>
      <c r="N11" s="25">
        <f>204425.4+130339.21+47866.4+41040.53+24854.45+10673+4557.5+1594+1611.5+4273+260+202.5+1010+8553.6+1425.6+1425.6+600+712.8+600+950.4+1425.6</f>
        <v>488401.08999999997</v>
      </c>
      <c r="O11" s="26">
        <f>19421+12650+4370+3566+2047+958+545+202+192+659+33+26+109+1176+285+285+49+143+49+190+285</f>
        <v>47240</v>
      </c>
      <c r="P11" s="27">
        <f>N11/O11</f>
        <v>10.338719093988145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55</v>
      </c>
      <c r="D12" s="58">
        <v>41845</v>
      </c>
      <c r="E12" s="59" t="s">
        <v>9</v>
      </c>
      <c r="F12" s="60" t="s">
        <v>9</v>
      </c>
      <c r="G12" s="61">
        <v>23</v>
      </c>
      <c r="H12" s="19">
        <v>1</v>
      </c>
      <c r="I12" s="20">
        <v>28</v>
      </c>
      <c r="J12" s="21">
        <v>536</v>
      </c>
      <c r="K12" s="22">
        <v>85</v>
      </c>
      <c r="L12" s="23">
        <f>K12/H12</f>
        <v>85</v>
      </c>
      <c r="M12" s="24">
        <f>+J12/K12</f>
        <v>6.3058823529411763</v>
      </c>
      <c r="N12" s="25">
        <f>73428.48+65677.81+40435.99+20437+22258.56+12040.44+17815.52+6634+2166+2694+5184+2502+3981+1205+69+696+782+2067.5+665+2013.6+288+258+96+400+264+184+30+536</f>
        <v>284808.89999999991</v>
      </c>
      <c r="O12" s="26">
        <f>7463+6959+4805+2294+2518+1280+2169+965+358+347+662+324+455+143+13+136+154+177+51+403+36+32+12+50+33+23+5+85</f>
        <v>31952</v>
      </c>
      <c r="P12" s="27">
        <f>N12/O12</f>
        <v>8.9136485978968416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1</v>
      </c>
      <c r="I13" s="20">
        <v>35</v>
      </c>
      <c r="J13" s="21">
        <v>185</v>
      </c>
      <c r="K13" s="22">
        <v>25</v>
      </c>
      <c r="L13" s="23">
        <f>K13/H13</f>
        <v>25</v>
      </c>
      <c r="M13" s="24">
        <f>+J13/K13</f>
        <v>7.4</v>
      </c>
      <c r="N13" s="25">
        <f>1099708.11+593370.74+224185+52839.5+17039.5+9578+7414+5098+4983.5+10660.5+14194.5+2400+3550+2380.5+7656.5+4091.5+1713+2737+828+128+4019.35+696+742+3681+1237+1911+1320+2988+1801+2002+865+891+666+1977+185</f>
        <v>2089537.2000000002</v>
      </c>
      <c r="O13" s="26">
        <f>102148+56106+22339+5539+1692+934+809+597+525+1619+1502+226+582+302+1163+486+470+558+154+16+730+93+96+595+155+233+216+393+237+257+118+138+96+381+25</f>
        <v>201530</v>
      </c>
      <c r="P13" s="27">
        <f>N13/O13</f>
        <v>10.368367984915398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103</v>
      </c>
      <c r="D14" s="58">
        <v>42181</v>
      </c>
      <c r="E14" s="59" t="s">
        <v>9</v>
      </c>
      <c r="F14" s="60" t="s">
        <v>104</v>
      </c>
      <c r="G14" s="61">
        <v>23</v>
      </c>
      <c r="H14" s="19">
        <v>1</v>
      </c>
      <c r="I14" s="20">
        <v>4</v>
      </c>
      <c r="J14" s="21">
        <v>164.5</v>
      </c>
      <c r="K14" s="22">
        <v>21</v>
      </c>
      <c r="L14" s="23">
        <f>K14/H14</f>
        <v>21</v>
      </c>
      <c r="M14" s="24">
        <f>+J14/K14</f>
        <v>7.833333333333333</v>
      </c>
      <c r="N14" s="25">
        <f>67551+29032.73+8961.6+164.5</f>
        <v>105709.83</v>
      </c>
      <c r="O14" s="26">
        <f>5607+2375+841+21</f>
        <v>8844</v>
      </c>
      <c r="P14" s="27">
        <f>N14/O14</f>
        <v>11.952717096336499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23</v>
      </c>
      <c r="J15" s="21">
        <v>162</v>
      </c>
      <c r="K15" s="22">
        <v>25</v>
      </c>
      <c r="L15" s="23">
        <f>K15/H15</f>
        <v>25</v>
      </c>
      <c r="M15" s="24">
        <f>+J15/K15</f>
        <v>6.48</v>
      </c>
      <c r="N15" s="25">
        <f>83413.21+31376.4+14831.5+9913.12+11734.5+8229.1+7018.55+10857.54+6847+2986+13217+3912+1965.5+2132+3849+3531.9+1567.5+1485+149+71+49+87+162</f>
        <v>219384.82</v>
      </c>
      <c r="O15" s="26">
        <f>6309+2343+1168+899+1487+769+760+1066+812+348+1631+365+188+195+314+530+107+121+17+11+8+13+25</f>
        <v>19486</v>
      </c>
      <c r="P15" s="27">
        <f>N15/O15</f>
        <v>11.258586677614698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58</v>
      </c>
      <c r="D16" s="58">
        <v>42076</v>
      </c>
      <c r="E16" s="59" t="s">
        <v>9</v>
      </c>
      <c r="F16" s="60" t="s">
        <v>9</v>
      </c>
      <c r="G16" s="61">
        <v>66</v>
      </c>
      <c r="H16" s="19">
        <v>1</v>
      </c>
      <c r="I16" s="20">
        <v>15</v>
      </c>
      <c r="J16" s="21">
        <v>128</v>
      </c>
      <c r="K16" s="22">
        <v>16</v>
      </c>
      <c r="L16" s="23">
        <f>K16/H16</f>
        <v>16</v>
      </c>
      <c r="M16" s="24">
        <f>+J16/K16</f>
        <v>8</v>
      </c>
      <c r="N16" s="25">
        <f>371891.95+241999.75+69894+20187.87+18724.1+22951.5+4635.5+1896+668+3460.6+242+394+1425.6+951+128</f>
        <v>759449.86999999988</v>
      </c>
      <c r="O16" s="26">
        <f>33703+24038+8305+2721+2351+2413+517+210+165+873+30+51+285+129+16</f>
        <v>75807</v>
      </c>
      <c r="P16" s="27">
        <f>N16/O16</f>
        <v>10.018202408748531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28</v>
      </c>
      <c r="D17" s="37">
        <v>41866</v>
      </c>
      <c r="E17" s="38" t="s">
        <v>9</v>
      </c>
      <c r="F17" s="39" t="s">
        <v>29</v>
      </c>
      <c r="G17" s="40">
        <v>31</v>
      </c>
      <c r="H17" s="62">
        <v>1</v>
      </c>
      <c r="I17" s="63">
        <v>33</v>
      </c>
      <c r="J17" s="64">
        <v>82</v>
      </c>
      <c r="K17" s="65">
        <v>10</v>
      </c>
      <c r="L17" s="66">
        <f t="shared" ref="L17" si="13">K17/H17</f>
        <v>10</v>
      </c>
      <c r="M17" s="67">
        <f t="shared" ref="M17" si="14">+J17/K17</f>
        <v>8.1999999999999993</v>
      </c>
      <c r="N17" s="68">
        <f>166393.25+120953.88+26778.83+15413.16+8141+9655+7141+22668+12148+7305+4200+124+102+212+223+1619+804+2201+992+1988+3344+6211+2046.8+2141.5+1165.4+242+120+285+1190+40+81+94+82</f>
        <v>426104.82</v>
      </c>
      <c r="O17" s="69">
        <f>16398+11920+2425+1471+815+935+859+2615+1401+831+549+16+14+27+29+174+87+240+98+249+365+643+408+205+207+35+17+36+371+5+11+12+10</f>
        <v>43478</v>
      </c>
      <c r="P17" s="70">
        <f t="shared" ref="P17" si="15">N17/O17</f>
        <v>9.8004696628179779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82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83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35</v>
      </c>
      <c r="I6" s="50">
        <v>1</v>
      </c>
      <c r="J6" s="53">
        <v>68974</v>
      </c>
      <c r="K6" s="16">
        <v>5512</v>
      </c>
      <c r="L6" s="51">
        <f t="shared" ref="L6" si="0">K6/H6</f>
        <v>157.48571428571429</v>
      </c>
      <c r="M6" s="52">
        <f t="shared" ref="M6" si="1">+J6/K6</f>
        <v>12.513425253991292</v>
      </c>
      <c r="N6" s="54">
        <f>68974</f>
        <v>68974</v>
      </c>
      <c r="O6" s="55">
        <f>5512</f>
        <v>5512</v>
      </c>
      <c r="P6" s="56">
        <f t="shared" ref="P6" si="2">N6/O6</f>
        <v>12.513425253991292</v>
      </c>
      <c r="Q6" s="29"/>
      <c r="R6" s="29"/>
      <c r="S6" s="29"/>
    </row>
    <row r="7" spans="1:19" s="3" customFormat="1" ht="22.5" customHeight="1" x14ac:dyDescent="0.25">
      <c r="B7" s="18">
        <f t="shared" ref="B7:B15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52</v>
      </c>
      <c r="I7" s="20">
        <v>2</v>
      </c>
      <c r="J7" s="21">
        <v>52946.080000000002</v>
      </c>
      <c r="K7" s="22">
        <v>4867</v>
      </c>
      <c r="L7" s="23">
        <f t="shared" ref="L7:L15" si="4">K7/H7</f>
        <v>93.59615384615384</v>
      </c>
      <c r="M7" s="24">
        <f t="shared" ref="M7:M15" si="5">+J7/K7</f>
        <v>10.878586398191905</v>
      </c>
      <c r="N7" s="25">
        <f>150395.08+52946.08</f>
        <v>203341.15999999997</v>
      </c>
      <c r="O7" s="26">
        <f>14539+4867</f>
        <v>19406</v>
      </c>
      <c r="P7" s="27">
        <f t="shared" ref="P7:P15" si="6">N7/O7</f>
        <v>10.478262393074306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2</v>
      </c>
      <c r="I8" s="20">
        <v>10</v>
      </c>
      <c r="J8" s="21">
        <v>3460.6</v>
      </c>
      <c r="K8" s="22">
        <v>873</v>
      </c>
      <c r="L8" s="23">
        <f>K8/H8</f>
        <v>436.5</v>
      </c>
      <c r="M8" s="24">
        <f>+J8/K8</f>
        <v>3.9640320733104235</v>
      </c>
      <c r="N8" s="25">
        <f>371891.95+241999.75+69894+20187.87+18724.1+22951.5+4635.5+1896+668+3460.6</f>
        <v>756309.2699999999</v>
      </c>
      <c r="O8" s="26">
        <f>33703+24038+8305+2721+2351+2413+517+210+165+873</f>
        <v>75296</v>
      </c>
      <c r="P8" s="27">
        <f>N8/O8</f>
        <v>10.044481380152995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26</v>
      </c>
      <c r="J9" s="21">
        <v>1911</v>
      </c>
      <c r="K9" s="22">
        <v>233</v>
      </c>
      <c r="L9" s="23">
        <f>K9/H9</f>
        <v>77.666666666666671</v>
      </c>
      <c r="M9" s="24">
        <f>+J9/K9</f>
        <v>8.2017167381974243</v>
      </c>
      <c r="N9" s="25">
        <f>1099708.11+593370.74+224185+52839.5+17039.5+9578+7414+5098+4983.5+10660.5+14194.5+2400+3550+2380.5+7656.5+4091.5+1713+2737+828+128+4019.35+696+742+3681+1237+1911</f>
        <v>2076842.2000000002</v>
      </c>
      <c r="O9" s="26">
        <f>102148+56106+22339+5539+1692+934+809+597+525+1619+1502+226+582+302+1163+486+470+558+154+16+730+93+96+595+155+233</f>
        <v>199669</v>
      </c>
      <c r="P9" s="27">
        <f>N9/O9</f>
        <v>10.401425358969094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28</v>
      </c>
      <c r="D10" s="58">
        <v>41866</v>
      </c>
      <c r="E10" s="59" t="s">
        <v>9</v>
      </c>
      <c r="F10" s="60" t="s">
        <v>29</v>
      </c>
      <c r="G10" s="61">
        <v>31</v>
      </c>
      <c r="H10" s="19">
        <v>2</v>
      </c>
      <c r="I10" s="20">
        <v>29</v>
      </c>
      <c r="J10" s="21">
        <v>1190</v>
      </c>
      <c r="K10" s="22">
        <v>371</v>
      </c>
      <c r="L10" s="23">
        <f>K10/H10</f>
        <v>185.5</v>
      </c>
      <c r="M10" s="24">
        <f>+J10/K10</f>
        <v>3.2075471698113209</v>
      </c>
      <c r="N10" s="25">
        <f>166393.25+120953.88+26778.83+15413.16+8141+9655+7141+22668+12148+7305+4200+124+102+212+223+1619+804+2201+992+1988+3344+6211+2046.8+2141.5+1165.4+242+120+285+1190</f>
        <v>425807.82</v>
      </c>
      <c r="O10" s="26">
        <f>16398+11920+2425+1471+815+935+859+2615+1401+831+549+16+14+27+29+174+87+240+98+249+365+643+408+205+207+35+17+36+371</f>
        <v>43440</v>
      </c>
      <c r="P10" s="27">
        <f>N10/O10</f>
        <v>9.8022058011049733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19</v>
      </c>
      <c r="D11" s="58">
        <v>41831</v>
      </c>
      <c r="E11" s="59" t="s">
        <v>9</v>
      </c>
      <c r="F11" s="60" t="s">
        <v>20</v>
      </c>
      <c r="G11" s="61">
        <v>35</v>
      </c>
      <c r="H11" s="19">
        <v>1</v>
      </c>
      <c r="I11" s="20">
        <v>20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204425.4+130339.21+47866.4+41040.53+24854.45+10673+4557.5+1594+1611.5+4273+260+202.5+1010+8553.6+1425.6+1425.6+600+712.8+600+950.4</f>
        <v>486975.49</v>
      </c>
      <c r="O11" s="26">
        <f>19421+12650+4370+3566+2047+958+545+202+192+659+33+26+109+1176+285+285+49+143+49+190</f>
        <v>46955</v>
      </c>
      <c r="P11" s="27">
        <f>N11/O11</f>
        <v>10.37111042487488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70</v>
      </c>
      <c r="D12" s="58">
        <v>42104</v>
      </c>
      <c r="E12" s="59" t="s">
        <v>9</v>
      </c>
      <c r="F12" s="60" t="s">
        <v>9</v>
      </c>
      <c r="G12" s="61">
        <v>24</v>
      </c>
      <c r="H12" s="19">
        <v>3</v>
      </c>
      <c r="I12" s="20">
        <v>5</v>
      </c>
      <c r="J12" s="21">
        <v>840</v>
      </c>
      <c r="K12" s="22">
        <v>105</v>
      </c>
      <c r="L12" s="23">
        <f t="shared" si="4"/>
        <v>35</v>
      </c>
      <c r="M12" s="24">
        <f t="shared" si="5"/>
        <v>8</v>
      </c>
      <c r="N12" s="25">
        <f>84987.77+10982.5+2017.5+2342+840</f>
        <v>101169.77</v>
      </c>
      <c r="O12" s="26">
        <f>7931+982+226+283+105</f>
        <v>9527</v>
      </c>
      <c r="P12" s="27">
        <f t="shared" si="6"/>
        <v>10.619268395087646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11</v>
      </c>
      <c r="J13" s="21">
        <v>327</v>
      </c>
      <c r="K13" s="22">
        <v>41</v>
      </c>
      <c r="L13" s="23">
        <f t="shared" si="4"/>
        <v>20.5</v>
      </c>
      <c r="M13" s="24">
        <f t="shared" si="5"/>
        <v>7.975609756097561</v>
      </c>
      <c r="N13" s="25">
        <f>129506.8+46365.5+5111+2960.5+1288.5+1086.5+622+418+996+412+327</f>
        <v>189093.8</v>
      </c>
      <c r="O13" s="26">
        <f>12756+4851+538+406+161+135+76+54+109+52+41</f>
        <v>19179</v>
      </c>
      <c r="P13" s="27">
        <f t="shared" si="6"/>
        <v>9.8594191563689453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22</v>
      </c>
      <c r="J14" s="21">
        <v>258</v>
      </c>
      <c r="K14" s="22">
        <v>32</v>
      </c>
      <c r="L14" s="23">
        <f t="shared" si="4"/>
        <v>32</v>
      </c>
      <c r="M14" s="24">
        <f t="shared" si="5"/>
        <v>8.0625</v>
      </c>
      <c r="N14" s="25">
        <f>73428.48+65677.81+40435.99+20437+22258.56+12040.44+17815.52+6634+2166+2694+5184+2502+3981+1205+69+696+782+2067.5+665+2013.6+288+258</f>
        <v>283298.89999999991</v>
      </c>
      <c r="O14" s="26">
        <f>7463+6959+4805+2294+2518+1280+2169+965+358+347+662+324+455+143+13+136+154+177+51+403+36+32</f>
        <v>31744</v>
      </c>
      <c r="P14" s="27">
        <f t="shared" si="6"/>
        <v>8.924486517137094</v>
      </c>
      <c r="Q14" s="29"/>
      <c r="R14" s="29"/>
      <c r="S14" s="29"/>
    </row>
    <row r="15" spans="1:19" s="3" customFormat="1" ht="22.5" customHeight="1" thickBot="1" x14ac:dyDescent="0.3">
      <c r="B15" s="4">
        <f t="shared" si="3"/>
        <v>10</v>
      </c>
      <c r="C15" s="36" t="s">
        <v>50</v>
      </c>
      <c r="D15" s="37">
        <v>41796</v>
      </c>
      <c r="E15" s="38" t="s">
        <v>9</v>
      </c>
      <c r="F15" s="39" t="s">
        <v>9</v>
      </c>
      <c r="G15" s="40">
        <v>22</v>
      </c>
      <c r="H15" s="62">
        <v>1</v>
      </c>
      <c r="I15" s="63">
        <v>31</v>
      </c>
      <c r="J15" s="64">
        <v>153</v>
      </c>
      <c r="K15" s="65">
        <v>19</v>
      </c>
      <c r="L15" s="66">
        <f t="shared" si="4"/>
        <v>19</v>
      </c>
      <c r="M15" s="67">
        <f t="shared" si="5"/>
        <v>8.0526315789473681</v>
      </c>
      <c r="N15" s="68">
        <f>166025.28+97326.52+57686.96+13701.5+11079.5+6936+18694.5+12272.5+7080.5+9304+8779+4785.44+5102.63+3908.66+4837+3724+3492+9632.5+4839+5360.5+615.5+83+1425.6+1525+121+1722.5+1737.5+1635+2287.5+272+153</f>
        <v>466145.58999999997</v>
      </c>
      <c r="O15" s="69">
        <f>15114+9515+5786+1430+1181+648+1199+1400+830+999+900+603+561+474+557+436+370+1189+567+607+105+10+285+117+12+138+141+137+196+34+19</f>
        <v>45560</v>
      </c>
      <c r="P15" s="70">
        <f t="shared" si="6"/>
        <v>10.231465978928885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79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80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81</v>
      </c>
      <c r="D6" s="45">
        <v>42132</v>
      </c>
      <c r="E6" s="46" t="s">
        <v>9</v>
      </c>
      <c r="F6" s="47" t="s">
        <v>9</v>
      </c>
      <c r="G6" s="48">
        <v>27</v>
      </c>
      <c r="H6" s="49">
        <v>77</v>
      </c>
      <c r="I6" s="50">
        <v>1</v>
      </c>
      <c r="J6" s="53">
        <v>150395.07999999999</v>
      </c>
      <c r="K6" s="16">
        <v>14539</v>
      </c>
      <c r="L6" s="51">
        <f t="shared" ref="L6:L19" si="0">K6/H6</f>
        <v>188.81818181818181</v>
      </c>
      <c r="M6" s="52">
        <f t="shared" ref="M6:M19" si="1">+J6/K6</f>
        <v>10.34425201183025</v>
      </c>
      <c r="N6" s="54">
        <f>150395.08</f>
        <v>150395.07999999999</v>
      </c>
      <c r="O6" s="55">
        <f>14539</f>
        <v>14539</v>
      </c>
      <c r="P6" s="56">
        <f t="shared" ref="P6:P19" si="2">N6/O6</f>
        <v>10.34425201183025</v>
      </c>
      <c r="Q6" s="29"/>
      <c r="R6" s="29"/>
      <c r="S6" s="29"/>
    </row>
    <row r="7" spans="1:19" s="3" customFormat="1" ht="22.5" customHeight="1" x14ac:dyDescent="0.25">
      <c r="B7" s="18">
        <f t="shared" ref="B7:B19" si="3">B6+1</f>
        <v>2</v>
      </c>
      <c r="C7" s="57" t="s">
        <v>78</v>
      </c>
      <c r="D7" s="58">
        <v>42125</v>
      </c>
      <c r="E7" s="59" t="s">
        <v>9</v>
      </c>
      <c r="F7" s="60" t="s">
        <v>29</v>
      </c>
      <c r="G7" s="61">
        <v>13</v>
      </c>
      <c r="H7" s="19">
        <v>10</v>
      </c>
      <c r="I7" s="20">
        <v>2</v>
      </c>
      <c r="J7" s="21">
        <v>13334.5</v>
      </c>
      <c r="K7" s="22">
        <v>938</v>
      </c>
      <c r="L7" s="23">
        <f t="shared" si="0"/>
        <v>93.8</v>
      </c>
      <c r="M7" s="24">
        <f t="shared" si="1"/>
        <v>14.215884861407249</v>
      </c>
      <c r="N7" s="25">
        <f>70884.8+13334.5</f>
        <v>84219.3</v>
      </c>
      <c r="O7" s="26">
        <f>5480+938</f>
        <v>6418</v>
      </c>
      <c r="P7" s="27">
        <f t="shared" si="2"/>
        <v>13.12235899033967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75</v>
      </c>
      <c r="D8" s="58">
        <v>42118</v>
      </c>
      <c r="E8" s="59" t="s">
        <v>9</v>
      </c>
      <c r="F8" s="60" t="s">
        <v>9</v>
      </c>
      <c r="G8" s="61">
        <v>13</v>
      </c>
      <c r="H8" s="19">
        <v>5</v>
      </c>
      <c r="I8" s="20">
        <v>3</v>
      </c>
      <c r="J8" s="21">
        <v>5173.5</v>
      </c>
      <c r="K8" s="22">
        <v>328</v>
      </c>
      <c r="L8" s="23">
        <f t="shared" si="0"/>
        <v>65.599999999999994</v>
      </c>
      <c r="M8" s="24">
        <f t="shared" si="1"/>
        <v>15.772865853658537</v>
      </c>
      <c r="N8" s="25">
        <f>119411.9+50675.11+5173.5</f>
        <v>175260.51</v>
      </c>
      <c r="O8" s="26">
        <f>9544+3585+328</f>
        <v>13457</v>
      </c>
      <c r="P8" s="27">
        <f t="shared" si="2"/>
        <v>13.023743033365536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5</v>
      </c>
      <c r="I9" s="20">
        <v>4</v>
      </c>
      <c r="J9" s="21">
        <v>2342</v>
      </c>
      <c r="K9" s="22">
        <v>283</v>
      </c>
      <c r="L9" s="23">
        <f t="shared" si="0"/>
        <v>56.6</v>
      </c>
      <c r="M9" s="24">
        <f t="shared" si="1"/>
        <v>8.2756183745583041</v>
      </c>
      <c r="N9" s="25">
        <f>84987.77+10982.5+2017.5+2342</f>
        <v>100329.77</v>
      </c>
      <c r="O9" s="26">
        <f>7931+982+226+283</f>
        <v>9422</v>
      </c>
      <c r="P9" s="27">
        <f t="shared" si="2"/>
        <v>10.648457864572277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25</v>
      </c>
      <c r="J10" s="21">
        <v>1237</v>
      </c>
      <c r="K10" s="22">
        <v>155</v>
      </c>
      <c r="L10" s="23">
        <f t="shared" si="0"/>
        <v>51.666666666666664</v>
      </c>
      <c r="M10" s="24">
        <f t="shared" si="1"/>
        <v>7.9806451612903224</v>
      </c>
      <c r="N10" s="25">
        <f>1099708.11+593370.74+224185+52839.5+17039.5+9578+7414+5098+4983.5+10660.5+14194.5+2400+3550+2380.5+7656.5+4091.5+1713+2737+828+128+4019.35+696+742+3681+1237</f>
        <v>2074931.2000000002</v>
      </c>
      <c r="O10" s="26">
        <f>102148+56106+22339+5539+1692+934+809+597+525+1619+1502+226+582+302+1163+486+470+558+154+16+730+93+96+595+155</f>
        <v>199436</v>
      </c>
      <c r="P10" s="27">
        <f t="shared" si="2"/>
        <v>10.403995266651959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58</v>
      </c>
      <c r="D11" s="58">
        <v>42076</v>
      </c>
      <c r="E11" s="59" t="s">
        <v>9</v>
      </c>
      <c r="F11" s="60" t="s">
        <v>9</v>
      </c>
      <c r="G11" s="61">
        <v>66</v>
      </c>
      <c r="H11" s="19">
        <v>2</v>
      </c>
      <c r="I11" s="20">
        <v>9</v>
      </c>
      <c r="J11" s="21">
        <v>668</v>
      </c>
      <c r="K11" s="22">
        <v>165</v>
      </c>
      <c r="L11" s="23">
        <f t="shared" si="0"/>
        <v>82.5</v>
      </c>
      <c r="M11" s="24">
        <f t="shared" si="1"/>
        <v>4.0484848484848488</v>
      </c>
      <c r="N11" s="25">
        <f>371891.95+241999.75+69894+20187.87+18724.1+22951.5+4635.5+1896+668</f>
        <v>752848.66999999993</v>
      </c>
      <c r="O11" s="26">
        <f>33703+24038+8305+2721+2351+2413+517+210+165</f>
        <v>74423</v>
      </c>
      <c r="P11" s="27">
        <f t="shared" si="2"/>
        <v>10.11580653830133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33</v>
      </c>
      <c r="D12" s="58">
        <v>41873</v>
      </c>
      <c r="E12" s="59" t="s">
        <v>9</v>
      </c>
      <c r="F12" s="60" t="s">
        <v>34</v>
      </c>
      <c r="G12" s="61">
        <v>27</v>
      </c>
      <c r="H12" s="19">
        <v>1</v>
      </c>
      <c r="I12" s="20">
        <v>16</v>
      </c>
      <c r="J12" s="21">
        <v>653</v>
      </c>
      <c r="K12" s="22">
        <v>213</v>
      </c>
      <c r="L12" s="23">
        <f t="shared" si="0"/>
        <v>213</v>
      </c>
      <c r="M12" s="24">
        <f t="shared" si="1"/>
        <v>3.0657276995305165</v>
      </c>
      <c r="N12" s="25">
        <f>86853.81+54964.43+34022.66+23560.33+8123.41+7604.5+3529.5+2609+1898+2251.6+1218+977.5+1040+1455+1095+653</f>
        <v>231855.74</v>
      </c>
      <c r="O12" s="26">
        <f>7232+4293+2509+1779+817+649+331+264+501+432+243+78+73+113+86+213</f>
        <v>19613</v>
      </c>
      <c r="P12" s="27">
        <f t="shared" si="2"/>
        <v>11.821533676643043</v>
      </c>
      <c r="Q12" s="29"/>
      <c r="R12" s="29"/>
    </row>
    <row r="13" spans="1:19" s="3" customFormat="1" ht="22.5" customHeight="1" x14ac:dyDescent="0.25">
      <c r="B13" s="18">
        <f t="shared" si="3"/>
        <v>8</v>
      </c>
      <c r="C13" s="57" t="s">
        <v>46</v>
      </c>
      <c r="D13" s="58">
        <v>42048</v>
      </c>
      <c r="E13" s="59" t="s">
        <v>9</v>
      </c>
      <c r="F13" s="60" t="s">
        <v>47</v>
      </c>
      <c r="G13" s="61">
        <v>41</v>
      </c>
      <c r="H13" s="19">
        <v>2</v>
      </c>
      <c r="I13" s="20">
        <v>10</v>
      </c>
      <c r="J13" s="21">
        <v>412</v>
      </c>
      <c r="K13" s="22">
        <v>52</v>
      </c>
      <c r="L13" s="23">
        <f t="shared" si="0"/>
        <v>26</v>
      </c>
      <c r="M13" s="24">
        <f t="shared" si="1"/>
        <v>7.9230769230769234</v>
      </c>
      <c r="N13" s="25">
        <f>129506.8+46365.5+5111+2960.5+1288.5+1086.5+622+418+996+412</f>
        <v>188766.8</v>
      </c>
      <c r="O13" s="26">
        <f>12756+4851+538+406+161+135+76+54+109+52</f>
        <v>19138</v>
      </c>
      <c r="P13" s="27">
        <f t="shared" si="2"/>
        <v>9.8634549064688049</v>
      </c>
      <c r="Q13" s="29"/>
      <c r="R13" s="5"/>
    </row>
    <row r="14" spans="1:19" s="3" customFormat="1" ht="22.5" customHeight="1" x14ac:dyDescent="0.25">
      <c r="B14" s="18">
        <f t="shared" si="3"/>
        <v>9</v>
      </c>
      <c r="C14" s="57" t="s">
        <v>67</v>
      </c>
      <c r="D14" s="58">
        <v>42097</v>
      </c>
      <c r="E14" s="59" t="s">
        <v>9</v>
      </c>
      <c r="F14" s="60" t="s">
        <v>9</v>
      </c>
      <c r="G14" s="61">
        <v>23</v>
      </c>
      <c r="H14" s="19">
        <v>1</v>
      </c>
      <c r="I14" s="20">
        <v>6</v>
      </c>
      <c r="J14" s="21">
        <v>384.5</v>
      </c>
      <c r="K14" s="22">
        <v>42</v>
      </c>
      <c r="L14" s="23">
        <f t="shared" si="0"/>
        <v>42</v>
      </c>
      <c r="M14" s="24">
        <f t="shared" si="1"/>
        <v>9.1547619047619051</v>
      </c>
      <c r="N14" s="25">
        <f>153138.55+92932.5+24506.5+5070+473.5+384.5</f>
        <v>276505.55</v>
      </c>
      <c r="O14" s="26">
        <f>11493+6804+2097+245+61+42</f>
        <v>20742</v>
      </c>
      <c r="P14" s="27">
        <f t="shared" si="2"/>
        <v>13.330708224857776</v>
      </c>
      <c r="Q14" s="29"/>
      <c r="R14" s="29"/>
    </row>
    <row r="15" spans="1:19" s="3" customFormat="1" ht="22.5" customHeight="1" x14ac:dyDescent="0.25">
      <c r="B15" s="18">
        <f t="shared" si="3"/>
        <v>10</v>
      </c>
      <c r="C15" s="57" t="s">
        <v>55</v>
      </c>
      <c r="D15" s="58">
        <v>41845</v>
      </c>
      <c r="E15" s="59" t="s">
        <v>9</v>
      </c>
      <c r="F15" s="60" t="s">
        <v>9</v>
      </c>
      <c r="G15" s="61">
        <v>23</v>
      </c>
      <c r="H15" s="19">
        <v>1</v>
      </c>
      <c r="I15" s="20">
        <v>21</v>
      </c>
      <c r="J15" s="21">
        <v>288</v>
      </c>
      <c r="K15" s="22">
        <v>36</v>
      </c>
      <c r="L15" s="23">
        <f t="shared" si="0"/>
        <v>36</v>
      </c>
      <c r="M15" s="24">
        <f t="shared" si="1"/>
        <v>8</v>
      </c>
      <c r="N15" s="25">
        <f>73428.48+65677.81+40435.99+20437+22258.56+12040.44+17815.52+6634+2166+2694+5184+2502+3981+1205+69+696+782+2067.5+665+2013.6+288</f>
        <v>283040.89999999991</v>
      </c>
      <c r="O15" s="26">
        <f>7463+6959+4805+2294+2518+1280+2169+965+358+347+662+324+455+143+13+136+154+177+51+403+36</f>
        <v>31712</v>
      </c>
      <c r="P15" s="27">
        <f t="shared" si="2"/>
        <v>8.9253563319878886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28</v>
      </c>
      <c r="J16" s="21">
        <v>285</v>
      </c>
      <c r="K16" s="22">
        <v>36</v>
      </c>
      <c r="L16" s="23">
        <f t="shared" si="0"/>
        <v>36</v>
      </c>
      <c r="M16" s="24">
        <f t="shared" si="1"/>
        <v>7.916666666666667</v>
      </c>
      <c r="N16" s="25">
        <f>166393.25+120953.88+26778.83+15413.16+8141+9655+7141+22668+12148+7305+4200+124+102+212+223+1619+804+2201+992+1988+3344+6211+2046.8+2141.5+1165.4+242+120+285</f>
        <v>424617.82</v>
      </c>
      <c r="O16" s="26">
        <f>16398+11920+2425+1471+815+935+859+2615+1401+831+549+16+14+27+29+174+87+240+98+249+365+643+408+205+207+35+17+36</f>
        <v>43069</v>
      </c>
      <c r="P16" s="27">
        <f t="shared" si="2"/>
        <v>9.8590127469873927</v>
      </c>
      <c r="Q16" s="29"/>
      <c r="R16" s="29"/>
    </row>
    <row r="17" spans="2:19" s="3" customFormat="1" ht="22.5" customHeight="1" x14ac:dyDescent="0.25">
      <c r="B17" s="18">
        <f t="shared" si="3"/>
        <v>12</v>
      </c>
      <c r="C17" s="57" t="s">
        <v>50</v>
      </c>
      <c r="D17" s="58">
        <v>41796</v>
      </c>
      <c r="E17" s="59" t="s">
        <v>9</v>
      </c>
      <c r="F17" s="60" t="s">
        <v>9</v>
      </c>
      <c r="G17" s="61">
        <v>22</v>
      </c>
      <c r="H17" s="19">
        <v>1</v>
      </c>
      <c r="I17" s="20">
        <v>30</v>
      </c>
      <c r="J17" s="21">
        <v>272</v>
      </c>
      <c r="K17" s="22">
        <v>34</v>
      </c>
      <c r="L17" s="23">
        <f t="shared" si="0"/>
        <v>34</v>
      </c>
      <c r="M17" s="24">
        <f t="shared" si="1"/>
        <v>8</v>
      </c>
      <c r="N17" s="25">
        <f>166025.28+97326.52+57686.96+13701.5+11079.5+6936+18694.5+12272.5+7080.5+9304+8779+4785.44+5102.63+3908.66+4837+3724+3492+9632.5+4839+5360.5+615.5+83+1425.6+1525+121+1722.5+1737.5+1635+2287.5+272</f>
        <v>465992.58999999997</v>
      </c>
      <c r="O17" s="26">
        <f>15114+9515+5786+1430+1181+648+1199+1400+830+999+900+603+561+474+557+436+370+1189+567+607+105+10+285+117+12+138+141+137+196+34</f>
        <v>45541</v>
      </c>
      <c r="P17" s="27">
        <f t="shared" si="2"/>
        <v>10.232375002744778</v>
      </c>
      <c r="Q17" s="29"/>
      <c r="R17" s="29"/>
      <c r="S17" s="29"/>
    </row>
    <row r="18" spans="2:19" s="3" customFormat="1" ht="22.5" customHeight="1" x14ac:dyDescent="0.25">
      <c r="B18" s="18">
        <f t="shared" si="3"/>
        <v>13</v>
      </c>
      <c r="C18" s="57" t="s">
        <v>60</v>
      </c>
      <c r="D18" s="58">
        <v>41992</v>
      </c>
      <c r="E18" s="59" t="s">
        <v>9</v>
      </c>
      <c r="F18" s="60" t="s">
        <v>9</v>
      </c>
      <c r="G18" s="61">
        <v>6</v>
      </c>
      <c r="H18" s="19">
        <v>1</v>
      </c>
      <c r="I18" s="20">
        <v>4</v>
      </c>
      <c r="J18" s="21">
        <v>156</v>
      </c>
      <c r="K18" s="22">
        <v>24</v>
      </c>
      <c r="L18" s="23">
        <f t="shared" si="0"/>
        <v>24</v>
      </c>
      <c r="M18" s="24">
        <f t="shared" si="1"/>
        <v>6.5</v>
      </c>
      <c r="N18" s="25">
        <f>45564.5+23933.1+2013.6+156</f>
        <v>71667.200000000012</v>
      </c>
      <c r="O18" s="26">
        <f>2950+1385+403+24</f>
        <v>4762</v>
      </c>
      <c r="P18" s="27">
        <f t="shared" si="2"/>
        <v>15.049811003779928</v>
      </c>
      <c r="Q18" s="29"/>
      <c r="R18" s="29"/>
      <c r="S18" s="29"/>
    </row>
    <row r="19" spans="2:19" s="3" customFormat="1" ht="22.5" customHeight="1" thickBot="1" x14ac:dyDescent="0.3">
      <c r="B19" s="80">
        <f t="shared" si="3"/>
        <v>14</v>
      </c>
      <c r="C19" s="36" t="s">
        <v>37</v>
      </c>
      <c r="D19" s="37">
        <v>42027</v>
      </c>
      <c r="E19" s="38" t="s">
        <v>9</v>
      </c>
      <c r="F19" s="39" t="s">
        <v>9</v>
      </c>
      <c r="G19" s="40">
        <v>64</v>
      </c>
      <c r="H19" s="30">
        <v>1</v>
      </c>
      <c r="I19" s="31">
        <v>16</v>
      </c>
      <c r="J19" s="32">
        <v>72</v>
      </c>
      <c r="K19" s="33">
        <v>10</v>
      </c>
      <c r="L19" s="41">
        <f t="shared" si="0"/>
        <v>10</v>
      </c>
      <c r="M19" s="42">
        <f t="shared" si="1"/>
        <v>7.2</v>
      </c>
      <c r="N19" s="34">
        <f>4241+362258.96+222136.17+49398.98+7963+5272.5+3175+2140+739+469+91+2372+2393+1550+1155+2464+72</f>
        <v>667890.61</v>
      </c>
      <c r="O19" s="35">
        <f>748+36807+24128+5499+982+687+504+269+97+64+13+438+360+285+253+487+10</f>
        <v>71631</v>
      </c>
      <c r="P19" s="43">
        <f t="shared" si="2"/>
        <v>9.3240441987407685</v>
      </c>
      <c r="Q19" s="29"/>
      <c r="R19" s="29"/>
      <c r="S19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78</v>
      </c>
      <c r="D6" s="45">
        <v>42125</v>
      </c>
      <c r="E6" s="46" t="s">
        <v>9</v>
      </c>
      <c r="F6" s="47" t="s">
        <v>29</v>
      </c>
      <c r="G6" s="48">
        <v>13</v>
      </c>
      <c r="H6" s="49">
        <v>35</v>
      </c>
      <c r="I6" s="50">
        <v>1</v>
      </c>
      <c r="J6" s="53">
        <v>70884.800000000003</v>
      </c>
      <c r="K6" s="16">
        <v>5480</v>
      </c>
      <c r="L6" s="51">
        <f t="shared" ref="L6" si="0">K6/H6</f>
        <v>156.57142857142858</v>
      </c>
      <c r="M6" s="52">
        <f t="shared" ref="M6" si="1">+J6/K6</f>
        <v>12.935182481751825</v>
      </c>
      <c r="N6" s="54">
        <f>70884.8</f>
        <v>70884.800000000003</v>
      </c>
      <c r="O6" s="55">
        <f>5480</f>
        <v>5480</v>
      </c>
      <c r="P6" s="56">
        <f t="shared" ref="P6" si="2">N6/O6</f>
        <v>12.935182481751825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75</v>
      </c>
      <c r="D7" s="58">
        <v>42118</v>
      </c>
      <c r="E7" s="59" t="s">
        <v>9</v>
      </c>
      <c r="F7" s="60" t="s">
        <v>9</v>
      </c>
      <c r="G7" s="61">
        <v>13</v>
      </c>
      <c r="H7" s="19">
        <v>24</v>
      </c>
      <c r="I7" s="20">
        <v>2</v>
      </c>
      <c r="J7" s="21">
        <v>50675.11</v>
      </c>
      <c r="K7" s="22">
        <v>3585</v>
      </c>
      <c r="L7" s="23">
        <f t="shared" ref="L7:L13" si="4">K7/H7</f>
        <v>149.375</v>
      </c>
      <c r="M7" s="24">
        <f t="shared" ref="M7:M13" si="5">+J7/K7</f>
        <v>14.135316596931659</v>
      </c>
      <c r="N7" s="25">
        <f>119411.9+50675.11</f>
        <v>170087.01</v>
      </c>
      <c r="O7" s="26">
        <f>9544+3585</f>
        <v>13129</v>
      </c>
      <c r="P7" s="27">
        <f t="shared" ref="P7:P13" si="6">N7/O7</f>
        <v>12.955062076319599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4</v>
      </c>
      <c r="I8" s="20">
        <v>24</v>
      </c>
      <c r="J8" s="21">
        <v>3681</v>
      </c>
      <c r="K8" s="22">
        <v>595</v>
      </c>
      <c r="L8" s="23">
        <f>K8/H8</f>
        <v>148.75</v>
      </c>
      <c r="M8" s="24">
        <f>+J8/K8</f>
        <v>6.1865546218487397</v>
      </c>
      <c r="N8" s="25">
        <f>1099708.11+593370.74+224185+52839.5+17039.5+9578+7414+5098+4983.5+10660.5+14194.5+2400+3550+2380.5+7656.5+4091.5+1713+2737+828+128+4019.35+696+742+3681</f>
        <v>2073694.2000000002</v>
      </c>
      <c r="O8" s="26">
        <f>102148+56106+22339+5539+1692+934+809+597+525+1619+1502+226+582+302+1163+486+470+558+154+16+730+93+96+595</f>
        <v>199281</v>
      </c>
      <c r="P8" s="27">
        <f>N8/O8</f>
        <v>10.405880139100066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2</v>
      </c>
      <c r="I9" s="20">
        <v>15</v>
      </c>
      <c r="J9" s="21">
        <v>2464</v>
      </c>
      <c r="K9" s="22">
        <v>487</v>
      </c>
      <c r="L9" s="23">
        <f>K9/H9</f>
        <v>243.5</v>
      </c>
      <c r="M9" s="24">
        <f>+J9/K9</f>
        <v>5.0595482546201236</v>
      </c>
      <c r="N9" s="25">
        <f>4241+362258.96+222136.17+49398.98+7963+5272.5+3175+2140+739+469+91+2372+2393+1550+1155+2464</f>
        <v>667818.61</v>
      </c>
      <c r="O9" s="26">
        <f>748+36807+24128+5499+982+687+504+269+97+64+13+438+360+285+253+487</f>
        <v>71621</v>
      </c>
      <c r="P9" s="27">
        <f>N9/O9</f>
        <v>9.3243407659764586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79">
        <v>3</v>
      </c>
      <c r="I10" s="20">
        <v>8</v>
      </c>
      <c r="J10" s="71">
        <v>1896</v>
      </c>
      <c r="K10" s="72">
        <v>210</v>
      </c>
      <c r="L10" s="23">
        <f>K10/H10</f>
        <v>70</v>
      </c>
      <c r="M10" s="24">
        <f>+J10/K10</f>
        <v>9.0285714285714285</v>
      </c>
      <c r="N10" s="73">
        <f>371891.95+241999.75+69894+20187.87+18724.1+22951.5+4635.5+1896</f>
        <v>752180.66999999993</v>
      </c>
      <c r="O10" s="74">
        <f>33703+24038+8305+2721+2351+2413+517+210</f>
        <v>74258</v>
      </c>
      <c r="P10" s="27">
        <f>N10/O10</f>
        <v>10.129288022839289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21</v>
      </c>
      <c r="D11" s="58">
        <v>41915</v>
      </c>
      <c r="E11" s="59" t="s">
        <v>9</v>
      </c>
      <c r="F11" s="60" t="s">
        <v>20</v>
      </c>
      <c r="G11" s="61">
        <v>52</v>
      </c>
      <c r="H11" s="19">
        <v>1</v>
      </c>
      <c r="I11" s="20">
        <v>16</v>
      </c>
      <c r="J11" s="21">
        <v>950.4</v>
      </c>
      <c r="K11" s="22">
        <v>190</v>
      </c>
      <c r="L11" s="23">
        <f>K11/H11</f>
        <v>190</v>
      </c>
      <c r="M11" s="24">
        <f>+J11/K11</f>
        <v>5.0021052631578948</v>
      </c>
      <c r="N11" s="25">
        <f>917082.76+408148.93+229733.98+293566.8+49586.5+3383+1551.5+689+116+162+2648+22.5+69+592+2376+950.4</f>
        <v>1910678.3699999999</v>
      </c>
      <c r="O11" s="26">
        <f>78453+36692+20370+24581+3906+438+199+89+14+20+350+3+10+75+475+190</f>
        <v>165865</v>
      </c>
      <c r="P11" s="27">
        <f>N11/O11</f>
        <v>11.519478913574291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67</v>
      </c>
      <c r="D12" s="58">
        <v>42097</v>
      </c>
      <c r="E12" s="59" t="s">
        <v>9</v>
      </c>
      <c r="F12" s="60" t="s">
        <v>9</v>
      </c>
      <c r="G12" s="61">
        <v>23</v>
      </c>
      <c r="H12" s="19">
        <v>1</v>
      </c>
      <c r="I12" s="20">
        <v>5</v>
      </c>
      <c r="J12" s="21">
        <v>473.5</v>
      </c>
      <c r="K12" s="22">
        <v>61</v>
      </c>
      <c r="L12" s="23">
        <f t="shared" si="4"/>
        <v>61</v>
      </c>
      <c r="M12" s="24">
        <f t="shared" si="5"/>
        <v>7.7622950819672134</v>
      </c>
      <c r="N12" s="25">
        <f>153138.55+92932.5+24506.5+5070+473.5</f>
        <v>276121.05</v>
      </c>
      <c r="O12" s="26">
        <f>11493+6804+2097+245+61</f>
        <v>20700</v>
      </c>
      <c r="P12" s="27">
        <f t="shared" si="6"/>
        <v>13.339181159420288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30</v>
      </c>
      <c r="D13" s="58">
        <v>41782</v>
      </c>
      <c r="E13" s="59" t="s">
        <v>9</v>
      </c>
      <c r="F13" s="60" t="s">
        <v>9</v>
      </c>
      <c r="G13" s="61">
        <v>30</v>
      </c>
      <c r="H13" s="19">
        <v>1</v>
      </c>
      <c r="I13" s="20">
        <v>26</v>
      </c>
      <c r="J13" s="21">
        <v>449</v>
      </c>
      <c r="K13" s="22">
        <v>74</v>
      </c>
      <c r="L13" s="23">
        <f t="shared" si="4"/>
        <v>74</v>
      </c>
      <c r="M13" s="24">
        <f t="shared" si="5"/>
        <v>6.0675675675675675</v>
      </c>
      <c r="N13" s="25">
        <f>95967.35+76227.39+34644.5+27256+29590.5+12797.63+9801.17+8948.5+7152.5+16352.94+12150.29+7448.1+8486.06+7400.64+5579.56+3486.52+760+1010+454+162+694+385+790+774+950.4+449</f>
        <v>369718.05</v>
      </c>
      <c r="O13" s="26">
        <f>9552+7384+3615+3071+3349+1439+1120+971+812+1886+1381+880+989+926+692+485+91+116+49+24+62+55+154+96+190+74</f>
        <v>39463</v>
      </c>
      <c r="P13" s="27">
        <f t="shared" si="6"/>
        <v>9.3687264019461267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27</v>
      </c>
      <c r="J14" s="64">
        <v>120</v>
      </c>
      <c r="K14" s="65">
        <v>17</v>
      </c>
      <c r="L14" s="66">
        <f>K14/H14</f>
        <v>17</v>
      </c>
      <c r="M14" s="67">
        <f>+J14/K14</f>
        <v>7.0588235294117645</v>
      </c>
      <c r="N14" s="68">
        <f>166393.25+120953.88+26778.83+15413.16+8141+9655+7141+22668+12148+7305+4200+124+102+212+223+1619+804+2201+992+1988+3344+6211+2046.8+2141.5+1165.4+242+120</f>
        <v>424332.82</v>
      </c>
      <c r="O14" s="69">
        <f>16398+11920+2425+1471+815+935+859+2615+1401+831+549+16+14+27+29+174+87+240+98+249+365+643+408+205+207+35+17</f>
        <v>43033</v>
      </c>
      <c r="P14" s="70">
        <f>N14/O14</f>
        <v>9.8606376501754465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73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74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75</v>
      </c>
      <c r="D6" s="45">
        <v>42118</v>
      </c>
      <c r="E6" s="46" t="s">
        <v>9</v>
      </c>
      <c r="F6" s="47" t="s">
        <v>9</v>
      </c>
      <c r="G6" s="48">
        <v>13</v>
      </c>
      <c r="H6" s="49">
        <v>40</v>
      </c>
      <c r="I6" s="50">
        <v>1</v>
      </c>
      <c r="J6" s="53">
        <v>119411.90000000001</v>
      </c>
      <c r="K6" s="16">
        <v>9544</v>
      </c>
      <c r="L6" s="51">
        <f t="shared" ref="L6" si="0">K6/H6</f>
        <v>238.6</v>
      </c>
      <c r="M6" s="52">
        <f t="shared" ref="M6" si="1">+J6/K6</f>
        <v>12.51172464375524</v>
      </c>
      <c r="N6" s="54">
        <f>119411.9</f>
        <v>119411.9</v>
      </c>
      <c r="O6" s="55">
        <f>9544</f>
        <v>9544</v>
      </c>
      <c r="P6" s="56">
        <f t="shared" ref="P6" si="2">N6/O6</f>
        <v>12.511724643755239</v>
      </c>
      <c r="Q6" s="29"/>
      <c r="R6" s="29"/>
      <c r="S6" s="29"/>
    </row>
    <row r="7" spans="1:19" s="3" customFormat="1" ht="22.5" customHeight="1" x14ac:dyDescent="0.25">
      <c r="B7" s="18">
        <f t="shared" ref="B7:B14" si="3">B6+1</f>
        <v>2</v>
      </c>
      <c r="C7" s="57" t="s">
        <v>67</v>
      </c>
      <c r="D7" s="58">
        <v>42097</v>
      </c>
      <c r="E7" s="59" t="s">
        <v>9</v>
      </c>
      <c r="F7" s="60" t="s">
        <v>9</v>
      </c>
      <c r="G7" s="61">
        <v>23</v>
      </c>
      <c r="H7" s="19">
        <v>3</v>
      </c>
      <c r="I7" s="20">
        <v>4</v>
      </c>
      <c r="J7" s="21">
        <v>5070</v>
      </c>
      <c r="K7" s="22">
        <v>245</v>
      </c>
      <c r="L7" s="23">
        <f t="shared" ref="L7:L9" si="4">K7/H7</f>
        <v>81.666666666666671</v>
      </c>
      <c r="M7" s="24">
        <f t="shared" ref="M7:M9" si="5">+J7/K7</f>
        <v>20.693877551020407</v>
      </c>
      <c r="N7" s="25">
        <f>153138.55+92932.5+24506.5+5070</f>
        <v>275647.55</v>
      </c>
      <c r="O7" s="26">
        <f>11493+6804+2097+245</f>
        <v>20639</v>
      </c>
      <c r="P7" s="27">
        <f t="shared" ref="P7:P9" si="6">N7/O7</f>
        <v>13.355664034110179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9</v>
      </c>
      <c r="I8" s="20">
        <v>7</v>
      </c>
      <c r="J8" s="21">
        <v>4635.5</v>
      </c>
      <c r="K8" s="22">
        <v>517</v>
      </c>
      <c r="L8" s="23">
        <f>K8/H8</f>
        <v>57.444444444444443</v>
      </c>
      <c r="M8" s="24">
        <f>+J8/K8</f>
        <v>8.9661508704061887</v>
      </c>
      <c r="N8" s="25">
        <f>371891.95+241999.75+69894+20187.87+18724.1+22951.5+4635.5</f>
        <v>750284.66999999993</v>
      </c>
      <c r="O8" s="26">
        <f>33703+24038+8305+2721+2351+2413+517</f>
        <v>74048</v>
      </c>
      <c r="P8" s="27">
        <f>N8/O8</f>
        <v>10.132409653197925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4</v>
      </c>
      <c r="I9" s="20">
        <v>3</v>
      </c>
      <c r="J9" s="21">
        <v>2017.5</v>
      </c>
      <c r="K9" s="22">
        <v>226</v>
      </c>
      <c r="L9" s="23">
        <f t="shared" si="4"/>
        <v>56.5</v>
      </c>
      <c r="M9" s="24">
        <f t="shared" si="5"/>
        <v>8.9269911504424773</v>
      </c>
      <c r="N9" s="25">
        <f>84987.77+10982.5+2017.5</f>
        <v>97987.77</v>
      </c>
      <c r="O9" s="26">
        <f>7931+982+226</f>
        <v>9139</v>
      </c>
      <c r="P9" s="27">
        <f t="shared" si="6"/>
        <v>10.721935660356714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45</v>
      </c>
      <c r="D10" s="58">
        <v>42048</v>
      </c>
      <c r="E10" s="59" t="s">
        <v>9</v>
      </c>
      <c r="F10" s="60" t="s">
        <v>9</v>
      </c>
      <c r="G10" s="61">
        <v>13</v>
      </c>
      <c r="H10" s="19">
        <v>1</v>
      </c>
      <c r="I10" s="20">
        <v>6</v>
      </c>
      <c r="J10" s="21">
        <v>2013.56</v>
      </c>
      <c r="K10" s="22">
        <v>403</v>
      </c>
      <c r="L10" s="23">
        <f t="shared" ref="L10" si="7">K10/H10</f>
        <v>403</v>
      </c>
      <c r="M10" s="24">
        <f t="shared" ref="M10" si="8">+J10/K10</f>
        <v>4.9964267990074438</v>
      </c>
      <c r="N10" s="25">
        <f>217416+133447+36039+7196+5028+2013.56</f>
        <v>401139.56</v>
      </c>
      <c r="O10" s="26">
        <f>15610+9137+2226+1626+1055+403</f>
        <v>30057</v>
      </c>
      <c r="P10" s="27">
        <f t="shared" ref="P10" si="9">N10/O10</f>
        <v>13.345961340120438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37</v>
      </c>
      <c r="D11" s="58">
        <v>42027</v>
      </c>
      <c r="E11" s="59" t="s">
        <v>9</v>
      </c>
      <c r="F11" s="60" t="s">
        <v>9</v>
      </c>
      <c r="G11" s="61">
        <v>64</v>
      </c>
      <c r="H11" s="19">
        <v>3</v>
      </c>
      <c r="I11" s="20">
        <v>14</v>
      </c>
      <c r="J11" s="21">
        <v>1155</v>
      </c>
      <c r="K11" s="22">
        <v>253</v>
      </c>
      <c r="L11" s="23">
        <f>K11/H11</f>
        <v>84.333333333333329</v>
      </c>
      <c r="M11" s="24">
        <f>+J11/K11</f>
        <v>4.5652173913043477</v>
      </c>
      <c r="N11" s="25">
        <f>4241+362258.96+222136.17+49398.98+7963+5272.5+3175+2140+739+469+91+2372+2393+1550+1155</f>
        <v>665354.61</v>
      </c>
      <c r="O11" s="26">
        <f>748+36807+24128+5499+982+687+504+269+97+64+13+438+360+285+253</f>
        <v>71134</v>
      </c>
      <c r="P11" s="27">
        <f>N11/O11</f>
        <v>9.3535385329097203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1</v>
      </c>
      <c r="I12" s="20">
        <v>9</v>
      </c>
      <c r="J12" s="21">
        <v>996</v>
      </c>
      <c r="K12" s="22">
        <v>109</v>
      </c>
      <c r="L12" s="23">
        <f>K12/H12</f>
        <v>109</v>
      </c>
      <c r="M12" s="24">
        <f>+J12/K12</f>
        <v>9.137614678899082</v>
      </c>
      <c r="N12" s="25">
        <f>129506.8+46365.5+5111+2960.5+1288.5+1086.5+622+418+996</f>
        <v>188354.8</v>
      </c>
      <c r="O12" s="26">
        <f>12756+4851+538+406+161+135+76+54+109</f>
        <v>19086</v>
      </c>
      <c r="P12" s="27">
        <f>N12/O12</f>
        <v>9.8687414859058986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22</v>
      </c>
      <c r="D13" s="58">
        <v>41964</v>
      </c>
      <c r="E13" s="59" t="s">
        <v>9</v>
      </c>
      <c r="F13" s="60" t="s">
        <v>9</v>
      </c>
      <c r="G13" s="61">
        <v>58</v>
      </c>
      <c r="H13" s="19">
        <v>2</v>
      </c>
      <c r="I13" s="20">
        <v>23</v>
      </c>
      <c r="J13" s="21">
        <v>742</v>
      </c>
      <c r="K13" s="22">
        <v>96</v>
      </c>
      <c r="L13" s="23">
        <f>K13/H13</f>
        <v>48</v>
      </c>
      <c r="M13" s="24">
        <f>+J13/K13</f>
        <v>7.729166666666667</v>
      </c>
      <c r="N13" s="25">
        <f>1099708.11+593370.74+224185+52839.5+17039.5+9578+7414+5098+4983.5+10660.5+14194.5+2400+3550+2380.5+7656.5+4091.5+1713+2737+828+128+4019.35+696+742</f>
        <v>2070013.2000000002</v>
      </c>
      <c r="O13" s="26">
        <f>102148+56106+22339+5539+1692+934+809+597+525+1619+1502+226+582+302+1163+486+470+558+154+16+730+93+96</f>
        <v>198686</v>
      </c>
      <c r="P13" s="27">
        <f>N13/O13</f>
        <v>10.418515647806087</v>
      </c>
      <c r="Q13" s="29"/>
      <c r="R13" s="29"/>
      <c r="S13" s="29"/>
    </row>
    <row r="14" spans="1:19" s="3" customFormat="1" ht="22.5" customHeight="1" thickBot="1" x14ac:dyDescent="0.3">
      <c r="B14" s="4">
        <f t="shared" si="3"/>
        <v>9</v>
      </c>
      <c r="C14" s="36" t="s">
        <v>28</v>
      </c>
      <c r="D14" s="37">
        <v>41866</v>
      </c>
      <c r="E14" s="38" t="s">
        <v>9</v>
      </c>
      <c r="F14" s="39" t="s">
        <v>29</v>
      </c>
      <c r="G14" s="40">
        <v>31</v>
      </c>
      <c r="H14" s="62">
        <v>1</v>
      </c>
      <c r="I14" s="63">
        <v>26</v>
      </c>
      <c r="J14" s="64">
        <v>242</v>
      </c>
      <c r="K14" s="65">
        <v>35</v>
      </c>
      <c r="L14" s="66">
        <f>K14/H14</f>
        <v>35</v>
      </c>
      <c r="M14" s="67">
        <f>+J14/K14</f>
        <v>6.9142857142857146</v>
      </c>
      <c r="N14" s="68">
        <f>166393.25+120953.88+26778.83+15413.16+8141+9655+7141+22668+12148+7305+4200+124+102+212+223+1619+804+2201+992+1988+3344+6211+2046.8+2141.5+1165.4+242</f>
        <v>424212.82</v>
      </c>
      <c r="O14" s="69">
        <f>16398+11920+2425+1471+815+935+859+2615+1401+831+549+16+14+27+29+174+87+240+98+249+365+643+408+205+207+35</f>
        <v>43016</v>
      </c>
      <c r="P14" s="70">
        <f>N14/O14</f>
        <v>9.8617449321182811</v>
      </c>
      <c r="Q14" s="29"/>
      <c r="R14" s="29"/>
      <c r="S14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71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72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12</v>
      </c>
      <c r="I6" s="50">
        <v>3</v>
      </c>
      <c r="J6" s="75">
        <v>24506.5</v>
      </c>
      <c r="K6" s="16">
        <v>2097</v>
      </c>
      <c r="L6" s="51">
        <f t="shared" ref="L6:L8" si="1">K6/H6</f>
        <v>174.75</v>
      </c>
      <c r="M6" s="52">
        <f t="shared" ref="M6:M8" si="2">+J6/K6</f>
        <v>11.686456843109204</v>
      </c>
      <c r="N6" s="77">
        <f>153138.55+92932.5+24506.5</f>
        <v>270577.55</v>
      </c>
      <c r="O6" s="55">
        <f>11493+6804+2097</f>
        <v>20394</v>
      </c>
      <c r="P6" s="56">
        <f t="shared" ref="P6:P8" si="3">N6/O6</f>
        <v>13.267507600274589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23</v>
      </c>
      <c r="I7" s="20">
        <v>6</v>
      </c>
      <c r="J7" s="71">
        <v>22951.5</v>
      </c>
      <c r="K7" s="22">
        <v>2413</v>
      </c>
      <c r="L7" s="23">
        <f>K7/H7</f>
        <v>104.91304347826087</v>
      </c>
      <c r="M7" s="24">
        <f>+J7/K7</f>
        <v>9.5116038126813098</v>
      </c>
      <c r="N7" s="73">
        <f>371891.95+241999.75+69894+20187.87+18724.1+22951.5</f>
        <v>745649.16999999993</v>
      </c>
      <c r="O7" s="26">
        <f>33703+24038+8305+2721+2351+2413</f>
        <v>73531</v>
      </c>
      <c r="P7" s="27">
        <f>N7/O7</f>
        <v>10.140609674831023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70</v>
      </c>
      <c r="D8" s="58">
        <v>42104</v>
      </c>
      <c r="E8" s="59" t="s">
        <v>9</v>
      </c>
      <c r="F8" s="60" t="s">
        <v>9</v>
      </c>
      <c r="G8" s="61">
        <v>24</v>
      </c>
      <c r="H8" s="19">
        <v>12</v>
      </c>
      <c r="I8" s="20">
        <v>2</v>
      </c>
      <c r="J8" s="71">
        <v>10982.5</v>
      </c>
      <c r="K8" s="72">
        <v>982</v>
      </c>
      <c r="L8" s="23">
        <f t="shared" si="1"/>
        <v>81.833333333333329</v>
      </c>
      <c r="M8" s="24">
        <f t="shared" si="2"/>
        <v>11.183808553971486</v>
      </c>
      <c r="N8" s="73">
        <f>84987.77+10982.5</f>
        <v>95970.27</v>
      </c>
      <c r="O8" s="74">
        <f>7931+982</f>
        <v>8913</v>
      </c>
      <c r="P8" s="27">
        <f t="shared" si="3"/>
        <v>10.76744867048132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3</v>
      </c>
      <c r="I9" s="20">
        <v>13</v>
      </c>
      <c r="J9" s="21">
        <v>1550</v>
      </c>
      <c r="K9" s="22">
        <v>285</v>
      </c>
      <c r="L9" s="23">
        <f>K9/H9</f>
        <v>95</v>
      </c>
      <c r="M9" s="24">
        <f>+J9/K9</f>
        <v>5.4385964912280702</v>
      </c>
      <c r="N9" s="25">
        <f>4241+362258.96+222136.17+49398.98+7963+5272.5+3175+2140+739+469+91+2372+2393+1550</f>
        <v>664199.61</v>
      </c>
      <c r="O9" s="26">
        <f>748+36807+24128+5499+982+687+504+269+97+64+13+438+360+285</f>
        <v>70881</v>
      </c>
      <c r="P9" s="27">
        <f>N9/O9</f>
        <v>9.3706297879544582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22</v>
      </c>
      <c r="J10" s="64">
        <v>696</v>
      </c>
      <c r="K10" s="65">
        <v>93</v>
      </c>
      <c r="L10" s="66">
        <f>K10/H10</f>
        <v>93</v>
      </c>
      <c r="M10" s="67">
        <f>+J10/K10</f>
        <v>7.4838709677419351</v>
      </c>
      <c r="N10" s="68">
        <f>1099708.11+593370.74+224185+52839.5+17039.5+9578+7414+5098+4983.5+10660.5+14194.5+2400+3550+2380.5+7656.5+4091.5+1713+2737+828+128+4019.35+696</f>
        <v>2069271.2000000002</v>
      </c>
      <c r="O10" s="69">
        <f>102148+56106+22339+5539+1692+934+809+597+525+1619+1502+226+582+302+1163+486+470+558+154+16+730+93</f>
        <v>198590</v>
      </c>
      <c r="P10" s="70">
        <f>N10/O10</f>
        <v>10.419815700689865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 t="shared" ref="B6:B10" si="0"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37</v>
      </c>
      <c r="I6" s="50">
        <v>2</v>
      </c>
      <c r="J6" s="53">
        <v>92932.5</v>
      </c>
      <c r="K6" s="16">
        <v>6804</v>
      </c>
      <c r="L6" s="51">
        <f t="shared" ref="L6" si="1">K6/H6</f>
        <v>183.8918918918919</v>
      </c>
      <c r="M6" s="52">
        <f t="shared" ref="M6" si="2">+J6/K6</f>
        <v>13.658509700176367</v>
      </c>
      <c r="N6" s="54">
        <f>153138.55+92932.5</f>
        <v>246071.05</v>
      </c>
      <c r="O6" s="55">
        <f>11493+6804</f>
        <v>18297</v>
      </c>
      <c r="P6" s="56">
        <f t="shared" ref="P6" si="3">N6/O6</f>
        <v>13.448710171066294</v>
      </c>
      <c r="Q6" s="29"/>
      <c r="R6" s="29"/>
    </row>
    <row r="7" spans="1:18" s="3" customFormat="1" ht="22.5" customHeight="1" x14ac:dyDescent="0.25">
      <c r="B7" s="18">
        <f t="shared" si="0"/>
        <v>2</v>
      </c>
      <c r="C7" s="57" t="s">
        <v>70</v>
      </c>
      <c r="D7" s="58">
        <v>42104</v>
      </c>
      <c r="E7" s="59" t="s">
        <v>9</v>
      </c>
      <c r="F7" s="60" t="s">
        <v>9</v>
      </c>
      <c r="G7" s="61">
        <v>24</v>
      </c>
      <c r="H7" s="19">
        <v>47</v>
      </c>
      <c r="I7" s="20">
        <v>1</v>
      </c>
      <c r="J7" s="21">
        <v>84987.77</v>
      </c>
      <c r="K7" s="22">
        <v>7931</v>
      </c>
      <c r="L7" s="23">
        <f t="shared" ref="L7:L8" si="4">K7/H7</f>
        <v>168.74468085106383</v>
      </c>
      <c r="M7" s="24">
        <f t="shared" ref="M7:M8" si="5">+J7/K7</f>
        <v>10.715895851721095</v>
      </c>
      <c r="N7" s="25">
        <f>84987.77</f>
        <v>84987.77</v>
      </c>
      <c r="O7" s="26">
        <f>7931</f>
        <v>7931</v>
      </c>
      <c r="P7" s="27">
        <f t="shared" ref="P7:P8" si="6">N7/O7</f>
        <v>10.715895851721095</v>
      </c>
      <c r="Q7" s="29"/>
      <c r="R7" s="29"/>
    </row>
    <row r="8" spans="1:18" s="3" customFormat="1" ht="22.5" customHeight="1" x14ac:dyDescent="0.25">
      <c r="B8" s="18">
        <f t="shared" si="0"/>
        <v>3</v>
      </c>
      <c r="C8" s="57" t="s">
        <v>58</v>
      </c>
      <c r="D8" s="58">
        <v>42076</v>
      </c>
      <c r="E8" s="59" t="s">
        <v>9</v>
      </c>
      <c r="F8" s="60" t="s">
        <v>9</v>
      </c>
      <c r="G8" s="61">
        <v>66</v>
      </c>
      <c r="H8" s="19">
        <v>31</v>
      </c>
      <c r="I8" s="20">
        <v>5</v>
      </c>
      <c r="J8" s="21">
        <v>18724.099999999999</v>
      </c>
      <c r="K8" s="22">
        <v>2351</v>
      </c>
      <c r="L8" s="23">
        <f t="shared" si="4"/>
        <v>75.838709677419359</v>
      </c>
      <c r="M8" s="24">
        <f t="shared" si="5"/>
        <v>7.964313058273075</v>
      </c>
      <c r="N8" s="25">
        <f>371891.95+241999.75+69894+20187.87+18724.1</f>
        <v>722697.66999999993</v>
      </c>
      <c r="O8" s="26">
        <f>33703+24038+8305+2721+2351</f>
        <v>71118</v>
      </c>
      <c r="P8" s="27">
        <f t="shared" si="6"/>
        <v>10.161951545319047</v>
      </c>
      <c r="Q8" s="29"/>
      <c r="R8" s="29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21</v>
      </c>
      <c r="J9" s="21">
        <v>4019.35</v>
      </c>
      <c r="K9" s="22">
        <v>730</v>
      </c>
      <c r="L9" s="23">
        <f>K9/H9</f>
        <v>365</v>
      </c>
      <c r="M9" s="24">
        <f>+J9/K9</f>
        <v>5.5059589041095887</v>
      </c>
      <c r="N9" s="25">
        <f>1099708.11+593370.74+224185+52839.5+17039.5+9578+7414+5098+4983.5+10660.5+14194.5+2400+3550+2380.5+7656.5+4091.5+1713+2737+828+128+4019.35</f>
        <v>2068575.2000000002</v>
      </c>
      <c r="O9" s="26">
        <f>102148+56106+22339+5539+1692+934+809+597+525+1619+1502+226+582+302+1163+486+470+558+154+16+730</f>
        <v>198497</v>
      </c>
      <c r="P9" s="27">
        <f>N9/O9</f>
        <v>10.421191252260741</v>
      </c>
      <c r="Q9" s="29"/>
      <c r="R9" s="29"/>
    </row>
    <row r="10" spans="1:18" s="3" customFormat="1" ht="22.5" customHeight="1" thickBot="1" x14ac:dyDescent="0.3">
      <c r="B10" s="4">
        <f t="shared" si="0"/>
        <v>5</v>
      </c>
      <c r="C10" s="36" t="s">
        <v>37</v>
      </c>
      <c r="D10" s="37">
        <v>42027</v>
      </c>
      <c r="E10" s="38" t="s">
        <v>9</v>
      </c>
      <c r="F10" s="39" t="s">
        <v>9</v>
      </c>
      <c r="G10" s="40">
        <v>64</v>
      </c>
      <c r="H10" s="62">
        <v>3</v>
      </c>
      <c r="I10" s="63">
        <v>12</v>
      </c>
      <c r="J10" s="64">
        <v>2393</v>
      </c>
      <c r="K10" s="65">
        <v>360</v>
      </c>
      <c r="L10" s="66">
        <f>K10/H10</f>
        <v>120</v>
      </c>
      <c r="M10" s="67">
        <f>+J10/K10</f>
        <v>6.6472222222222221</v>
      </c>
      <c r="N10" s="68">
        <f>4241+362258.96+222136.17+49398.98+7963+5272.5+3175+2140+739+469+91+2372+2393</f>
        <v>662649.61</v>
      </c>
      <c r="O10" s="69">
        <f>748+36807+24128+5499+982+687+504+269+97+64+13+438+360</f>
        <v>70596</v>
      </c>
      <c r="P10" s="70">
        <f>N10/O10</f>
        <v>9.3865036262677766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67</v>
      </c>
      <c r="D6" s="45">
        <v>42097</v>
      </c>
      <c r="E6" s="46" t="s">
        <v>9</v>
      </c>
      <c r="F6" s="47" t="s">
        <v>9</v>
      </c>
      <c r="G6" s="48">
        <v>23</v>
      </c>
      <c r="H6" s="49">
        <v>54</v>
      </c>
      <c r="I6" s="50">
        <v>1</v>
      </c>
      <c r="J6" s="53">
        <v>153138.54999999999</v>
      </c>
      <c r="K6" s="16">
        <v>11493</v>
      </c>
      <c r="L6" s="51">
        <f t="shared" ref="L6" si="0">K6/H6</f>
        <v>212.83333333333334</v>
      </c>
      <c r="M6" s="52">
        <f t="shared" ref="M6" si="1">+J6/K6</f>
        <v>13.324506221178108</v>
      </c>
      <c r="N6" s="54">
        <f>153138.55</f>
        <v>153138.54999999999</v>
      </c>
      <c r="O6" s="55">
        <f>11493</f>
        <v>11493</v>
      </c>
      <c r="P6" s="56">
        <f t="shared" ref="P6" si="2">N6/O6</f>
        <v>13.324506221178108</v>
      </c>
      <c r="Q6" s="29"/>
      <c r="R6" s="29"/>
    </row>
    <row r="7" spans="1:18" s="3" customFormat="1" ht="22.5" customHeight="1" x14ac:dyDescent="0.25">
      <c r="B7" s="18">
        <f t="shared" ref="B7:B10" si="3">B6+1</f>
        <v>2</v>
      </c>
      <c r="C7" s="57" t="s">
        <v>58</v>
      </c>
      <c r="D7" s="58">
        <v>42076</v>
      </c>
      <c r="E7" s="59" t="s">
        <v>9</v>
      </c>
      <c r="F7" s="60" t="s">
        <v>9</v>
      </c>
      <c r="G7" s="61">
        <v>66</v>
      </c>
      <c r="H7" s="19">
        <v>41</v>
      </c>
      <c r="I7" s="20">
        <v>4</v>
      </c>
      <c r="J7" s="21">
        <v>20187.87</v>
      </c>
      <c r="K7" s="22">
        <v>2721</v>
      </c>
      <c r="L7" s="23">
        <f t="shared" ref="L7" si="4">K7/H7</f>
        <v>66.365853658536579</v>
      </c>
      <c r="M7" s="24">
        <f t="shared" ref="M7" si="5">+J7/K7</f>
        <v>7.4192833517089305</v>
      </c>
      <c r="N7" s="25">
        <f>371891.95+241999.75+69894+20187.87</f>
        <v>703973.57</v>
      </c>
      <c r="O7" s="26">
        <f>33703+24038+8305+2721</f>
        <v>68767</v>
      </c>
      <c r="P7" s="27">
        <f t="shared" ref="P7" si="6">N7/O7</f>
        <v>10.237084211903964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3</v>
      </c>
      <c r="I8" s="20">
        <v>11</v>
      </c>
      <c r="J8" s="21">
        <v>2372</v>
      </c>
      <c r="K8" s="22">
        <v>438</v>
      </c>
      <c r="L8" s="23">
        <f>K8/H8</f>
        <v>146</v>
      </c>
      <c r="M8" s="24">
        <f>+J8/K8</f>
        <v>5.4155251141552512</v>
      </c>
      <c r="N8" s="25">
        <f>4241+362258.96+222136.17+49398.98+7963+5272.5+3175+2140+739+469+91+2372</f>
        <v>660256.61</v>
      </c>
      <c r="O8" s="26">
        <f>748+36807+24128+5499+982+687+504+269+97+64+13+438</f>
        <v>70236</v>
      </c>
      <c r="P8" s="27">
        <f>N8/O8</f>
        <v>9.400544023008143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46</v>
      </c>
      <c r="D9" s="58">
        <v>42048</v>
      </c>
      <c r="E9" s="59" t="s">
        <v>9</v>
      </c>
      <c r="F9" s="60" t="s">
        <v>47</v>
      </c>
      <c r="G9" s="61">
        <v>41</v>
      </c>
      <c r="H9" s="19">
        <v>1</v>
      </c>
      <c r="I9" s="20">
        <v>8</v>
      </c>
      <c r="J9" s="21">
        <v>418</v>
      </c>
      <c r="K9" s="22">
        <v>54</v>
      </c>
      <c r="L9" s="23">
        <f>K9/H9</f>
        <v>54</v>
      </c>
      <c r="M9" s="24">
        <f>+J9/K9</f>
        <v>7.7407407407407405</v>
      </c>
      <c r="N9" s="25">
        <f>129506.8+46365.5+5111+2960.5+1288.5+1086.5+622+418</f>
        <v>187358.8</v>
      </c>
      <c r="O9" s="26">
        <f>12756+4851+538+406+161+135+76+54</f>
        <v>18977</v>
      </c>
      <c r="P9" s="27">
        <f>N9/O9</f>
        <v>9.872940928492385</v>
      </c>
      <c r="Q9" s="29"/>
      <c r="R9" s="29"/>
    </row>
    <row r="10" spans="1:18" s="3" customFormat="1" ht="22.5" customHeight="1" thickBot="1" x14ac:dyDescent="0.3">
      <c r="B10" s="4">
        <f t="shared" si="3"/>
        <v>5</v>
      </c>
      <c r="C10" s="36" t="s">
        <v>22</v>
      </c>
      <c r="D10" s="37">
        <v>41964</v>
      </c>
      <c r="E10" s="38" t="s">
        <v>9</v>
      </c>
      <c r="F10" s="39" t="s">
        <v>9</v>
      </c>
      <c r="G10" s="40">
        <v>58</v>
      </c>
      <c r="H10" s="62">
        <v>1</v>
      </c>
      <c r="I10" s="63">
        <v>20</v>
      </c>
      <c r="J10" s="64">
        <v>128</v>
      </c>
      <c r="K10" s="65">
        <v>16</v>
      </c>
      <c r="L10" s="66">
        <f>K10/H10</f>
        <v>16</v>
      </c>
      <c r="M10" s="67">
        <f>+J10/K10</f>
        <v>8</v>
      </c>
      <c r="N10" s="68">
        <f>1099708.11+593370.74+224185+52839.5+17039.5+9578+7414+5098+4983.5+10660.5+14194.5+2400+3550+2380.5+7656.5+4091.5+1713+2737+828+128</f>
        <v>2064555.85</v>
      </c>
      <c r="O10" s="69">
        <f>102148+56106+22339+5539+1692+934+809+597+525+1619+1502+226+582+302+1163+486+470+558+154+16</f>
        <v>197767</v>
      </c>
      <c r="P10" s="70">
        <f>N10/O10</f>
        <v>10.439334418785743</v>
      </c>
      <c r="Q10" s="29"/>
      <c r="R10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0" unlockedFormula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85</v>
      </c>
      <c r="I6" s="50">
        <v>3</v>
      </c>
      <c r="J6" s="53">
        <v>69894</v>
      </c>
      <c r="K6" s="16">
        <v>8305</v>
      </c>
      <c r="L6" s="51">
        <f t="shared" ref="L6" si="0">K6/H6</f>
        <v>97.705882352941174</v>
      </c>
      <c r="M6" s="52">
        <f t="shared" ref="M6" si="1">+J6/K6</f>
        <v>8.4158940397350985</v>
      </c>
      <c r="N6" s="54">
        <f>371891.95+241999.75+69894</f>
        <v>683785.7</v>
      </c>
      <c r="O6" s="55">
        <f>33703+24038+8305</f>
        <v>66046</v>
      </c>
      <c r="P6" s="56">
        <f t="shared" ref="P6" si="2">N6/O6</f>
        <v>10.353173545710565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55</v>
      </c>
      <c r="D7" s="58">
        <v>41845</v>
      </c>
      <c r="E7" s="59" t="s">
        <v>9</v>
      </c>
      <c r="F7" s="60" t="s">
        <v>9</v>
      </c>
      <c r="G7" s="61">
        <v>23</v>
      </c>
      <c r="H7" s="19">
        <v>1</v>
      </c>
      <c r="I7" s="20">
        <v>20</v>
      </c>
      <c r="J7" s="21">
        <v>2013.6</v>
      </c>
      <c r="K7" s="22">
        <v>403</v>
      </c>
      <c r="L7" s="23">
        <f>K7/H7</f>
        <v>403</v>
      </c>
      <c r="M7" s="24">
        <f>+J7/K7</f>
        <v>4.9965260545905705</v>
      </c>
      <c r="N7" s="25">
        <f>73428.48+65677.81+40435.99+20437+22258.56+12040.44+17815.52+6634+2166+2694+5184+2502+3981+1205+69+696+782+2067.5+665+2013.6</f>
        <v>282752.89999999991</v>
      </c>
      <c r="O7" s="26">
        <f>7463+6959+4805+2294+2518+1280+2169+965+358+347+662+324+455+143+13+136+154+177+51+403</f>
        <v>31676</v>
      </c>
      <c r="P7" s="27">
        <f>N7/O7</f>
        <v>8.9264080060613686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25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95967.35+76227.39+34644.5+27256+29590.5+12797.63+9801.17+8948.5+7152.5+16352.94+12150.29+7448.1+8486.06+7400.64+5579.56+3486.52+760+1010+454+162+694+385+790+774+950.4</f>
        <v>369269.05</v>
      </c>
      <c r="O8" s="26">
        <f>9552+7384+3615+3071+3349+1439+1120+971+812+1886+1381+880+989+926+692+485+91+116+49+24+62+55+154+96+190</f>
        <v>39389</v>
      </c>
      <c r="P8" s="27">
        <f t="shared" ref="P8" si="6">N8/O8</f>
        <v>9.3749282794688877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2</v>
      </c>
      <c r="I9" s="20">
        <v>19</v>
      </c>
      <c r="J9" s="21">
        <v>828</v>
      </c>
      <c r="K9" s="22">
        <v>154</v>
      </c>
      <c r="L9" s="23">
        <f>K9/H9</f>
        <v>77</v>
      </c>
      <c r="M9" s="24">
        <f>+J9/K9</f>
        <v>5.3766233766233764</v>
      </c>
      <c r="N9" s="25">
        <f>1099708.11+593370.74+224185+52839.5+17039.5+9578+7414+5098+4983.5+10660.5+14194.5+2400+3550+2380.5+7656.5+4091.5+1713+2737+828</f>
        <v>2064427.85</v>
      </c>
      <c r="O9" s="26">
        <f>102148+56106+22339+5539+1692+934+809+597+525+1619+1502+226+582+302+1163+486+470+558+154</f>
        <v>197751</v>
      </c>
      <c r="P9" s="27">
        <f>N9/O9</f>
        <v>10.439531784921442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7</v>
      </c>
      <c r="J10" s="21">
        <v>622</v>
      </c>
      <c r="K10" s="22">
        <v>76</v>
      </c>
      <c r="L10" s="23">
        <f>K10/H10</f>
        <v>38</v>
      </c>
      <c r="M10" s="24">
        <f>+J10/K10</f>
        <v>8.1842105263157894</v>
      </c>
      <c r="N10" s="25">
        <f>129506.8+46365.5+5111+2960.5+1288.5+1086.5+622</f>
        <v>186940.79999999999</v>
      </c>
      <c r="O10" s="26">
        <f>12756+4851+538+406+161+135+76</f>
        <v>18923</v>
      </c>
      <c r="P10" s="27">
        <f>N10/O10</f>
        <v>9.8790255244940006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1</v>
      </c>
      <c r="I11" s="63">
        <v>10</v>
      </c>
      <c r="J11" s="64">
        <v>91</v>
      </c>
      <c r="K11" s="65">
        <v>13</v>
      </c>
      <c r="L11" s="66">
        <f>K11/H11</f>
        <v>13</v>
      </c>
      <c r="M11" s="67">
        <f>+J11/K11</f>
        <v>7</v>
      </c>
      <c r="N11" s="68">
        <f>4241+362258.96+222136.17+49398.98+7963+5272.5+3175+2140+739+469+91</f>
        <v>657884.61</v>
      </c>
      <c r="O11" s="69">
        <f>748+36807+24128+5499+982+687+504+269+97+64+13</f>
        <v>69798</v>
      </c>
      <c r="P11" s="70">
        <f>N11/O11</f>
        <v>9.4255510186538292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61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62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140</v>
      </c>
      <c r="I6" s="50">
        <v>2</v>
      </c>
      <c r="J6" s="75">
        <v>241999.75</v>
      </c>
      <c r="K6" s="76">
        <v>24038</v>
      </c>
      <c r="L6" s="51">
        <f t="shared" ref="L6" si="0">K6/H6</f>
        <v>171.7</v>
      </c>
      <c r="M6" s="52">
        <f t="shared" ref="M6" si="1">+J6/K6</f>
        <v>10.06738289375156</v>
      </c>
      <c r="N6" s="77">
        <f>371891.95+241999.75</f>
        <v>613891.69999999995</v>
      </c>
      <c r="O6" s="78">
        <f>33703+24038</f>
        <v>57741</v>
      </c>
      <c r="P6" s="56">
        <f t="shared" ref="P6" si="2">N6/O6</f>
        <v>10.631816213782233</v>
      </c>
      <c r="Q6" s="29"/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3</v>
      </c>
      <c r="I7" s="20">
        <v>18</v>
      </c>
      <c r="J7" s="21">
        <v>2737</v>
      </c>
      <c r="K7" s="22">
        <v>558</v>
      </c>
      <c r="L7" s="23">
        <f>K7/H7</f>
        <v>186</v>
      </c>
      <c r="M7" s="24">
        <f>+J7/K7</f>
        <v>4.9050179211469533</v>
      </c>
      <c r="N7" s="25">
        <f>1099708.11+593370.74+224185+52839.5+17039.5+9578+7414+5098+4983.5+10660.5+14194.5+2400+3550+2380.5+7656.5+4091.5+1713+2737</f>
        <v>2063599.85</v>
      </c>
      <c r="O7" s="26">
        <f>102148+56106+22339+5539+1692+934+809+597+525+1619+1502+226+582+302+1163+486+470+558</f>
        <v>197597</v>
      </c>
      <c r="P7" s="27">
        <f>N7/O7</f>
        <v>10.443477633769744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60</v>
      </c>
      <c r="D8" s="58">
        <v>41992</v>
      </c>
      <c r="E8" s="59" t="s">
        <v>9</v>
      </c>
      <c r="F8" s="60" t="s">
        <v>9</v>
      </c>
      <c r="G8" s="61">
        <v>6</v>
      </c>
      <c r="H8" s="19">
        <v>1</v>
      </c>
      <c r="I8" s="20">
        <v>3</v>
      </c>
      <c r="J8" s="21">
        <v>2013.6</v>
      </c>
      <c r="K8" s="22">
        <v>403</v>
      </c>
      <c r="L8" s="23">
        <f>K8/H8</f>
        <v>403</v>
      </c>
      <c r="M8" s="24">
        <f>+J8/K8</f>
        <v>4.9965260545905705</v>
      </c>
      <c r="N8" s="25">
        <f>45564.5+23933.1+2013.6</f>
        <v>71511.200000000012</v>
      </c>
      <c r="O8" s="26">
        <f>2950+1385+403</f>
        <v>4738</v>
      </c>
      <c r="P8" s="27">
        <f>N8/O8</f>
        <v>15.093119459687635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25</v>
      </c>
      <c r="J9" s="21">
        <v>1165.4000000000001</v>
      </c>
      <c r="K9" s="22">
        <v>207</v>
      </c>
      <c r="L9" s="23">
        <f>K9/H9</f>
        <v>103.5</v>
      </c>
      <c r="M9" s="24">
        <f>+J9/K9</f>
        <v>5.6299516908212563</v>
      </c>
      <c r="N9" s="25">
        <f>166393.25+120953.88+26778.83+15413.16+8141+9655+7141+22668+12148+7305+4200+124+102+212+223+1619+804+2201+992+1988+3344+6211+2046.8+2141.5+1165.4</f>
        <v>423970.82</v>
      </c>
      <c r="O9" s="26">
        <f>16398+11920+2425+1471+815+935+859+2615+1401+831+549+16+14+27+29+174+87+240+98+249+365+643+408+205+207</f>
        <v>42981</v>
      </c>
      <c r="P9" s="27">
        <f>N9/O9</f>
        <v>9.8641450873641841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46</v>
      </c>
      <c r="D10" s="58">
        <v>42048</v>
      </c>
      <c r="E10" s="59" t="s">
        <v>9</v>
      </c>
      <c r="F10" s="60" t="s">
        <v>47</v>
      </c>
      <c r="G10" s="61">
        <v>41</v>
      </c>
      <c r="H10" s="19">
        <v>2</v>
      </c>
      <c r="I10" s="20">
        <v>6</v>
      </c>
      <c r="J10" s="21">
        <v>1086.5</v>
      </c>
      <c r="K10" s="22">
        <v>135</v>
      </c>
      <c r="L10" s="23">
        <f>K10/H10</f>
        <v>67.5</v>
      </c>
      <c r="M10" s="24">
        <f>+J10/K10</f>
        <v>8.0481481481481474</v>
      </c>
      <c r="N10" s="25">
        <f>129506.8+46365.5+5111+2960.5+1288.5+1086.5</f>
        <v>186318.8</v>
      </c>
      <c r="O10" s="26">
        <f>12756+4851+538+406+161+135</f>
        <v>18847</v>
      </c>
      <c r="P10" s="27">
        <f>N10/O10</f>
        <v>9.8858598185387585</v>
      </c>
      <c r="Q10" s="29"/>
      <c r="R10" s="29"/>
    </row>
    <row r="11" spans="1:18" s="3" customFormat="1" ht="22.5" customHeight="1" thickBot="1" x14ac:dyDescent="0.3">
      <c r="B11" s="4">
        <f t="shared" si="3"/>
        <v>6</v>
      </c>
      <c r="C11" s="36" t="s">
        <v>37</v>
      </c>
      <c r="D11" s="37">
        <v>42027</v>
      </c>
      <c r="E11" s="38" t="s">
        <v>9</v>
      </c>
      <c r="F11" s="39" t="s">
        <v>9</v>
      </c>
      <c r="G11" s="40">
        <v>64</v>
      </c>
      <c r="H11" s="62">
        <v>2</v>
      </c>
      <c r="I11" s="63">
        <v>9</v>
      </c>
      <c r="J11" s="64">
        <v>469</v>
      </c>
      <c r="K11" s="65">
        <v>64</v>
      </c>
      <c r="L11" s="66">
        <f>K11/H11</f>
        <v>32</v>
      </c>
      <c r="M11" s="67">
        <f>+J11/K11</f>
        <v>7.328125</v>
      </c>
      <c r="N11" s="68">
        <f>4241+362258.96+222136.17+49398.98+7963+5272.5+3175+2140+739+469</f>
        <v>657793.61</v>
      </c>
      <c r="O11" s="69">
        <f>748+36807+24128+5499+982+687+504+269+97+64</f>
        <v>69785</v>
      </c>
      <c r="P11" s="70">
        <f>N11/O11</f>
        <v>9.4260028659454029</v>
      </c>
      <c r="Q11" s="29"/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58</v>
      </c>
      <c r="D6" s="45">
        <v>42076</v>
      </c>
      <c r="E6" s="46" t="s">
        <v>9</v>
      </c>
      <c r="F6" s="47" t="s">
        <v>9</v>
      </c>
      <c r="G6" s="48">
        <v>66</v>
      </c>
      <c r="H6" s="49">
        <v>149</v>
      </c>
      <c r="I6" s="50">
        <v>1</v>
      </c>
      <c r="J6" s="53">
        <v>371891.95</v>
      </c>
      <c r="K6" s="16">
        <v>33703</v>
      </c>
      <c r="L6" s="51">
        <f t="shared" ref="L6:L15" si="0">K6/H6</f>
        <v>226.19463087248323</v>
      </c>
      <c r="M6" s="52">
        <f t="shared" ref="M6:M15" si="1">+J6/K6</f>
        <v>11.034387146544818</v>
      </c>
      <c r="N6" s="54">
        <f>371891.95</f>
        <v>371891.95</v>
      </c>
      <c r="O6" s="55">
        <f>33703</f>
        <v>33703</v>
      </c>
      <c r="P6" s="56">
        <f t="shared" ref="P6:P15" si="2">N6/O6</f>
        <v>11.034387146544818</v>
      </c>
      <c r="Q6" s="29"/>
      <c r="R6" s="29"/>
    </row>
    <row r="7" spans="1:18" s="3" customFormat="1" ht="22.5" customHeight="1" x14ac:dyDescent="0.25">
      <c r="B7" s="18">
        <f t="shared" ref="B7:B15" si="3">B6+1</f>
        <v>2</v>
      </c>
      <c r="C7" s="57" t="s">
        <v>45</v>
      </c>
      <c r="D7" s="58">
        <v>42048</v>
      </c>
      <c r="E7" s="59" t="s">
        <v>9</v>
      </c>
      <c r="F7" s="60" t="s">
        <v>9</v>
      </c>
      <c r="G7" s="61">
        <v>13</v>
      </c>
      <c r="H7" s="19">
        <v>9</v>
      </c>
      <c r="I7" s="20">
        <v>5</v>
      </c>
      <c r="J7" s="21">
        <v>5028</v>
      </c>
      <c r="K7" s="22">
        <v>1055</v>
      </c>
      <c r="L7" s="23">
        <f t="shared" si="0"/>
        <v>117.22222222222223</v>
      </c>
      <c r="M7" s="24">
        <f t="shared" si="1"/>
        <v>4.7658767772511847</v>
      </c>
      <c r="N7" s="25">
        <f>217416+133447+36039+7196+5028</f>
        <v>399126</v>
      </c>
      <c r="O7" s="26">
        <f>15610+9137+2226+1626+1055</f>
        <v>29654</v>
      </c>
      <c r="P7" s="27">
        <f t="shared" si="2"/>
        <v>13.459432117083699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50</v>
      </c>
      <c r="D8" s="58">
        <v>41796</v>
      </c>
      <c r="E8" s="59" t="s">
        <v>9</v>
      </c>
      <c r="F8" s="60" t="s">
        <v>9</v>
      </c>
      <c r="G8" s="61">
        <v>22</v>
      </c>
      <c r="H8" s="19">
        <v>1</v>
      </c>
      <c r="I8" s="20">
        <v>29</v>
      </c>
      <c r="J8" s="21">
        <v>2287.5</v>
      </c>
      <c r="K8" s="22">
        <v>196</v>
      </c>
      <c r="L8" s="23">
        <f t="shared" si="0"/>
        <v>196</v>
      </c>
      <c r="M8" s="24">
        <f t="shared" si="1"/>
        <v>11.670918367346939</v>
      </c>
      <c r="N8" s="25">
        <f>166025.28+97326.52+57686.96+13701.5+11079.5+6936+18694.5+12272.5+7080.5+9304+8779+4785.44+5102.63+3908.66+4837+3724+3492+9632.5+4839+5360.5+615.5+83+1425.6+1525+121+1722.5+1737.5+1635+2287.5</f>
        <v>465720.58999999997</v>
      </c>
      <c r="O8" s="26">
        <f>15114+9515+5786+1430+1181+648+1199+1400+830+999+900+603+561+474+557+436+370+1189+567+607+105+10+285+117+12+138+141+137+196</f>
        <v>45507</v>
      </c>
      <c r="P8" s="27">
        <f t="shared" si="2"/>
        <v>10.234042894499746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28</v>
      </c>
      <c r="D9" s="58">
        <v>41866</v>
      </c>
      <c r="E9" s="59" t="s">
        <v>9</v>
      </c>
      <c r="F9" s="60" t="s">
        <v>29</v>
      </c>
      <c r="G9" s="61">
        <v>31</v>
      </c>
      <c r="H9" s="19">
        <v>2</v>
      </c>
      <c r="I9" s="20">
        <v>24</v>
      </c>
      <c r="J9" s="21">
        <v>2141.5</v>
      </c>
      <c r="K9" s="22">
        <v>205</v>
      </c>
      <c r="L9" s="23">
        <f t="shared" si="0"/>
        <v>102.5</v>
      </c>
      <c r="M9" s="24">
        <f t="shared" si="1"/>
        <v>10.446341463414635</v>
      </c>
      <c r="N9" s="25">
        <f>166393.25+120953.88+26778.83+15413.16+8141+9655+7141+22668+12148+7305+4200+124+102+212+223+1619+804+2201+992+1988+3344+6211+2046.8+2141.5</f>
        <v>422805.42</v>
      </c>
      <c r="O9" s="26">
        <f>16398+11920+2425+1471+815+935+859+2615+1401+831+549+16+14+27+29+174+87+240+98+249+365+643+408+205</f>
        <v>42774</v>
      </c>
      <c r="P9" s="27">
        <f t="shared" si="2"/>
        <v>9.8846359938280255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59</v>
      </c>
      <c r="D10" s="58">
        <v>41754</v>
      </c>
      <c r="E10" s="59" t="s">
        <v>9</v>
      </c>
      <c r="F10" s="60" t="s">
        <v>9</v>
      </c>
      <c r="G10" s="61">
        <v>7</v>
      </c>
      <c r="H10" s="19">
        <v>1</v>
      </c>
      <c r="I10" s="20">
        <v>17</v>
      </c>
      <c r="J10" s="21">
        <v>2013.6</v>
      </c>
      <c r="K10" s="22">
        <v>403</v>
      </c>
      <c r="L10" s="23">
        <f t="shared" si="0"/>
        <v>403</v>
      </c>
      <c r="M10" s="24">
        <f t="shared" si="1"/>
        <v>4.9965260545905705</v>
      </c>
      <c r="N10" s="25">
        <f>60197.59+17202+321+844+1811.5+1331+5171+1531.5+1560.1+357+1636+1954.5+118+1887+384+357+2013.6</f>
        <v>98676.790000000008</v>
      </c>
      <c r="O10" s="26">
        <f>5024+1383+28+122+244+160+605+196+299+39+212+255+13+208+48+44+403</f>
        <v>9283</v>
      </c>
      <c r="P10" s="27">
        <f t="shared" si="2"/>
        <v>10.629838414305722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22</v>
      </c>
      <c r="D11" s="58">
        <v>41964</v>
      </c>
      <c r="E11" s="59" t="s">
        <v>9</v>
      </c>
      <c r="F11" s="60" t="s">
        <v>9</v>
      </c>
      <c r="G11" s="61">
        <v>58</v>
      </c>
      <c r="H11" s="19">
        <v>2</v>
      </c>
      <c r="I11" s="20">
        <v>17</v>
      </c>
      <c r="J11" s="21">
        <v>1713</v>
      </c>
      <c r="K11" s="22">
        <v>470</v>
      </c>
      <c r="L11" s="23">
        <f t="shared" si="0"/>
        <v>235</v>
      </c>
      <c r="M11" s="24">
        <f t="shared" si="1"/>
        <v>3.6446808510638298</v>
      </c>
      <c r="N11" s="25">
        <f>1099708.11+593370.74+224185+52839.5+17039.5+9578+7414+5098+4983.5+10660.5+14194.5+2400+3550+2380.5+7656.5+4091.5+1713</f>
        <v>2060862.85</v>
      </c>
      <c r="O11" s="26">
        <f>102148+56106+22339+5539+1692+934+809+597+525+1619+1502+226+582+302+1163+486+470</f>
        <v>197039</v>
      </c>
      <c r="P11" s="27">
        <f t="shared" si="2"/>
        <v>10.459162145565092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46</v>
      </c>
      <c r="D12" s="58">
        <v>42048</v>
      </c>
      <c r="E12" s="59" t="s">
        <v>9</v>
      </c>
      <c r="F12" s="60" t="s">
        <v>47</v>
      </c>
      <c r="G12" s="61">
        <v>41</v>
      </c>
      <c r="H12" s="19">
        <v>3</v>
      </c>
      <c r="I12" s="20">
        <v>5</v>
      </c>
      <c r="J12" s="21">
        <v>1288.5</v>
      </c>
      <c r="K12" s="22">
        <v>161</v>
      </c>
      <c r="L12" s="23">
        <f t="shared" si="0"/>
        <v>53.666666666666664</v>
      </c>
      <c r="M12" s="24">
        <f t="shared" si="1"/>
        <v>8.0031055900621126</v>
      </c>
      <c r="N12" s="25">
        <f>129506.8+46365.5+5111+2960.5+1288.5</f>
        <v>185232.3</v>
      </c>
      <c r="O12" s="26">
        <f>12756+4851+538+406+161</f>
        <v>18712</v>
      </c>
      <c r="P12" s="27">
        <f t="shared" si="2"/>
        <v>9.8991182129114996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37</v>
      </c>
      <c r="D13" s="58">
        <v>42027</v>
      </c>
      <c r="E13" s="59" t="s">
        <v>9</v>
      </c>
      <c r="F13" s="60" t="s">
        <v>9</v>
      </c>
      <c r="G13" s="61">
        <v>64</v>
      </c>
      <c r="H13" s="19">
        <v>1</v>
      </c>
      <c r="I13" s="20">
        <v>8</v>
      </c>
      <c r="J13" s="21">
        <v>739</v>
      </c>
      <c r="K13" s="22">
        <v>97</v>
      </c>
      <c r="L13" s="23">
        <f t="shared" si="0"/>
        <v>97</v>
      </c>
      <c r="M13" s="24">
        <f t="shared" si="1"/>
        <v>7.6185567010309274</v>
      </c>
      <c r="N13" s="25">
        <f>4241+362258.96+222136.17+49398.98+7963+5272.5+3175+2140+739</f>
        <v>657324.61</v>
      </c>
      <c r="O13" s="26">
        <f>748+36807+24128+5499+982+687+504+269+97</f>
        <v>69721</v>
      </c>
      <c r="P13" s="27">
        <f t="shared" si="2"/>
        <v>9.4279286011388237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55</v>
      </c>
      <c r="D14" s="58">
        <v>41845</v>
      </c>
      <c r="E14" s="59" t="s">
        <v>9</v>
      </c>
      <c r="F14" s="60" t="s">
        <v>9</v>
      </c>
      <c r="G14" s="61">
        <v>23</v>
      </c>
      <c r="H14" s="19">
        <v>1</v>
      </c>
      <c r="I14" s="20">
        <v>19</v>
      </c>
      <c r="J14" s="21">
        <v>665</v>
      </c>
      <c r="K14" s="22">
        <v>51</v>
      </c>
      <c r="L14" s="23">
        <f t="shared" si="0"/>
        <v>51</v>
      </c>
      <c r="M14" s="24">
        <f t="shared" si="1"/>
        <v>13.03921568627451</v>
      </c>
      <c r="N14" s="25">
        <f>73428.48+65677.81+40435.99+20437+22258.56+12040.44+17815.52+6634+2166+2694+5184+2502+3981+1205+69+696+782+2067.5+665</f>
        <v>280739.29999999993</v>
      </c>
      <c r="O14" s="26">
        <f>7463+6959+4805+2294+2518+1280+2169+965+358+347+662+324+455+143+13+136+154+177+51</f>
        <v>31273</v>
      </c>
      <c r="P14" s="27">
        <f t="shared" si="2"/>
        <v>8.9770504908387405</v>
      </c>
      <c r="Q14" s="29"/>
      <c r="R14" s="29"/>
    </row>
    <row r="15" spans="1:18" s="3" customFormat="1" ht="22.5" customHeight="1" thickBot="1" x14ac:dyDescent="0.3">
      <c r="B15" s="4">
        <f t="shared" si="3"/>
        <v>10</v>
      </c>
      <c r="C15" s="36" t="s">
        <v>19</v>
      </c>
      <c r="D15" s="37">
        <v>41831</v>
      </c>
      <c r="E15" s="38" t="s">
        <v>9</v>
      </c>
      <c r="F15" s="39" t="s">
        <v>20</v>
      </c>
      <c r="G15" s="40">
        <v>35</v>
      </c>
      <c r="H15" s="62">
        <v>1</v>
      </c>
      <c r="I15" s="63">
        <v>19</v>
      </c>
      <c r="J15" s="64">
        <v>600</v>
      </c>
      <c r="K15" s="65">
        <v>49</v>
      </c>
      <c r="L15" s="66">
        <f t="shared" si="0"/>
        <v>49</v>
      </c>
      <c r="M15" s="67">
        <f t="shared" si="1"/>
        <v>12.244897959183673</v>
      </c>
      <c r="N15" s="68">
        <f>204425.4+130339.21+47866.4+41040.53+24854.45+10673+4557.5+1594+1611.5+4273+260+202.5+1010+8553.6+1425.6+1425.6+600+712.8+600</f>
        <v>486025.08999999997</v>
      </c>
      <c r="O15" s="69">
        <f>19421+12650+4370+3566+2047+958+545+202+192+659+33+26+109+1176+285+285+49+143+49</f>
        <v>46765</v>
      </c>
      <c r="P15" s="70">
        <f t="shared" si="2"/>
        <v>10.392923981610178</v>
      </c>
      <c r="Q15" s="29"/>
      <c r="R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109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110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111</v>
      </c>
      <c r="D6" s="45">
        <v>42195</v>
      </c>
      <c r="E6" s="46" t="s">
        <v>9</v>
      </c>
      <c r="F6" s="47" t="s">
        <v>112</v>
      </c>
      <c r="G6" s="48">
        <v>27</v>
      </c>
      <c r="H6" s="49">
        <v>80</v>
      </c>
      <c r="I6" s="50">
        <v>1</v>
      </c>
      <c r="J6" s="53">
        <v>83392.39</v>
      </c>
      <c r="K6" s="16">
        <v>6873</v>
      </c>
      <c r="L6" s="51">
        <f t="shared" ref="L6" si="0">K6/H6</f>
        <v>85.912499999999994</v>
      </c>
      <c r="M6" s="52">
        <f t="shared" ref="M6" si="1">+J6/K6</f>
        <v>12.133331878364615</v>
      </c>
      <c r="N6" s="54">
        <f>83392.39</f>
        <v>83392.39</v>
      </c>
      <c r="O6" s="55">
        <f>6873</f>
        <v>6873</v>
      </c>
      <c r="P6" s="56">
        <f t="shared" ref="P6" si="2">N6/O6</f>
        <v>12.133331878364615</v>
      </c>
      <c r="Q6" s="29"/>
      <c r="R6" s="29"/>
      <c r="S6" s="29"/>
    </row>
    <row r="7" spans="1:19" s="3" customFormat="1" ht="22.5" customHeight="1" x14ac:dyDescent="0.25">
      <c r="B7" s="18">
        <f t="shared" ref="B7:B18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9</v>
      </c>
      <c r="I7" s="20">
        <v>3</v>
      </c>
      <c r="J7" s="71">
        <v>8961.6</v>
      </c>
      <c r="K7" s="22">
        <v>841</v>
      </c>
      <c r="L7" s="23">
        <f>K7/H7</f>
        <v>93.444444444444443</v>
      </c>
      <c r="M7" s="24">
        <f>+J7/K7</f>
        <v>10.655885850178359</v>
      </c>
      <c r="N7" s="73">
        <f>67551+29032.73+8961.6</f>
        <v>105545.33</v>
      </c>
      <c r="O7" s="26">
        <f>5607+2375+841</f>
        <v>8823</v>
      </c>
      <c r="P7" s="27">
        <f>N7/O7</f>
        <v>11.962521817975745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108</v>
      </c>
      <c r="D8" s="58">
        <v>42188</v>
      </c>
      <c r="E8" s="59" t="s">
        <v>9</v>
      </c>
      <c r="F8" s="60" t="s">
        <v>9</v>
      </c>
      <c r="G8" s="61">
        <v>12</v>
      </c>
      <c r="H8" s="19">
        <v>12</v>
      </c>
      <c r="I8" s="20">
        <v>2</v>
      </c>
      <c r="J8" s="21">
        <v>3829.04</v>
      </c>
      <c r="K8" s="22">
        <v>250</v>
      </c>
      <c r="L8" s="23">
        <f t="shared" ref="L8" si="4">K8/H8</f>
        <v>20.833333333333332</v>
      </c>
      <c r="M8" s="24">
        <f t="shared" ref="M8" si="5">+J8/K8</f>
        <v>15.31616</v>
      </c>
      <c r="N8" s="25">
        <f>33892.1+3829.04</f>
        <v>37721.14</v>
      </c>
      <c r="O8" s="26">
        <f>2557+250</f>
        <v>2807</v>
      </c>
      <c r="P8" s="27">
        <f t="shared" ref="P8" si="6">N8/O8</f>
        <v>13.438240114000712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84</v>
      </c>
      <c r="D9" s="58">
        <v>42139</v>
      </c>
      <c r="E9" s="59" t="s">
        <v>9</v>
      </c>
      <c r="F9" s="60" t="s">
        <v>29</v>
      </c>
      <c r="G9" s="61">
        <v>16</v>
      </c>
      <c r="H9" s="19">
        <v>3</v>
      </c>
      <c r="I9" s="20">
        <v>8</v>
      </c>
      <c r="J9" s="21">
        <v>2602</v>
      </c>
      <c r="K9" s="22">
        <v>298</v>
      </c>
      <c r="L9" s="23">
        <f>K9/H9</f>
        <v>99.333333333333329</v>
      </c>
      <c r="M9" s="24">
        <f>+J9/K9</f>
        <v>8.7315436241610733</v>
      </c>
      <c r="N9" s="25">
        <f>68974+25816.1+2524+476+340+477+512+2602</f>
        <v>101721.1</v>
      </c>
      <c r="O9" s="26">
        <f>5512+1865+151+62+39+59+63+298</f>
        <v>8049</v>
      </c>
      <c r="P9" s="27">
        <f>N9/O9</f>
        <v>12.637731395204375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3</v>
      </c>
      <c r="I10" s="20">
        <v>34</v>
      </c>
      <c r="J10" s="21">
        <v>1977</v>
      </c>
      <c r="K10" s="22">
        <v>381</v>
      </c>
      <c r="L10" s="23">
        <f>K10/H10</f>
        <v>127</v>
      </c>
      <c r="M10" s="24">
        <f>+J10/K10</f>
        <v>5.1889763779527556</v>
      </c>
      <c r="N10" s="25">
        <f>1099708.11+593370.74+224185+52839.5+17039.5+9578+7414+5098+4983.5+10660.5+14194.5+2400+3550+2380.5+7656.5+4091.5+1713+2737+828+128+4019.35+696+742+3681+1237+1911+1320+2988+1801+2002+865+891+666+1977</f>
        <v>2089352.2000000002</v>
      </c>
      <c r="O10" s="26">
        <f>102148+56106+22339+5539+1692+934+809+597+525+1619+1502+226+582+302+1163+486+470+558+154+16+730+93+96+595+155+233+216+393+237+257+118+138+96+381</f>
        <v>201505</v>
      </c>
      <c r="P10" s="27">
        <f>N10/O10</f>
        <v>10.368736259646164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67</v>
      </c>
      <c r="D11" s="58">
        <v>42097</v>
      </c>
      <c r="E11" s="59" t="s">
        <v>9</v>
      </c>
      <c r="F11" s="60" t="s">
        <v>9</v>
      </c>
      <c r="G11" s="61">
        <v>23</v>
      </c>
      <c r="H11" s="19">
        <v>1</v>
      </c>
      <c r="I11" s="20">
        <v>8</v>
      </c>
      <c r="J11" s="21">
        <v>1782</v>
      </c>
      <c r="K11" s="22">
        <v>356</v>
      </c>
      <c r="L11" s="23">
        <f t="shared" ref="L11" si="7">K11/H11</f>
        <v>356</v>
      </c>
      <c r="M11" s="24">
        <f t="shared" ref="M11" si="8">+J11/K11</f>
        <v>5.0056179775280896</v>
      </c>
      <c r="N11" s="25">
        <f>153138.55+92932.5+24506.5+5070+473.5+384.5+950.4+1782</f>
        <v>279237.95</v>
      </c>
      <c r="O11" s="26">
        <f>11493+6804+2097+245+61+42+190+356</f>
        <v>21288</v>
      </c>
      <c r="P11" s="27">
        <f t="shared" ref="P11" si="9">N11/O11</f>
        <v>13.117152856069147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14</v>
      </c>
      <c r="J12" s="21">
        <v>951</v>
      </c>
      <c r="K12" s="22">
        <v>129</v>
      </c>
      <c r="L12" s="23">
        <f>K12/H12</f>
        <v>64.5</v>
      </c>
      <c r="M12" s="24">
        <f>+J12/K12</f>
        <v>7.3720930232558137</v>
      </c>
      <c r="N12" s="25">
        <f>371891.95+241999.75+69894+20187.87+18724.1+22951.5+4635.5+1896+668+3460.6+242+394+1425.6+951</f>
        <v>759321.86999999988</v>
      </c>
      <c r="O12" s="26">
        <f>33703+24038+8305+2721+2351+2413+517+210+165+873+30+51+285+129</f>
        <v>75791</v>
      </c>
      <c r="P12" s="27">
        <f>N12/O12</f>
        <v>10.018628465121187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45</v>
      </c>
      <c r="D13" s="58">
        <v>42048</v>
      </c>
      <c r="E13" s="59" t="s">
        <v>9</v>
      </c>
      <c r="F13" s="60" t="s">
        <v>9</v>
      </c>
      <c r="G13" s="61">
        <v>13</v>
      </c>
      <c r="H13" s="19">
        <v>1</v>
      </c>
      <c r="I13" s="20">
        <v>8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217416+133447+36039+7196+5028+2013.56+1782+950.4</f>
        <v>403871.96</v>
      </c>
      <c r="O13" s="26">
        <f>15610+9137+2226+1626+1055+403+356+190</f>
        <v>30603</v>
      </c>
      <c r="P13" s="27">
        <f t="shared" ref="P13" si="12">N13/O13</f>
        <v>13.197136228474333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98</v>
      </c>
      <c r="D14" s="58">
        <v>42174</v>
      </c>
      <c r="E14" s="59" t="s">
        <v>9</v>
      </c>
      <c r="F14" s="60" t="s">
        <v>99</v>
      </c>
      <c r="G14" s="61">
        <v>46</v>
      </c>
      <c r="H14" s="19">
        <v>3</v>
      </c>
      <c r="I14" s="20">
        <v>4</v>
      </c>
      <c r="J14" s="21">
        <v>368</v>
      </c>
      <c r="K14" s="22">
        <v>42</v>
      </c>
      <c r="L14" s="23">
        <f>K14/H14</f>
        <v>14</v>
      </c>
      <c r="M14" s="24">
        <f>+J14/K14</f>
        <v>8.7619047619047628</v>
      </c>
      <c r="N14" s="25">
        <f>50986.55+6954.91+1217.5+368</f>
        <v>59526.960000000006</v>
      </c>
      <c r="O14" s="26">
        <f>5294+838+153+42</f>
        <v>6327</v>
      </c>
      <c r="P14" s="27">
        <f>N14/O14</f>
        <v>9.4084020862968245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81</v>
      </c>
      <c r="D15" s="58">
        <v>42132</v>
      </c>
      <c r="E15" s="59" t="s">
        <v>9</v>
      </c>
      <c r="F15" s="60" t="s">
        <v>9</v>
      </c>
      <c r="G15" s="61">
        <v>27</v>
      </c>
      <c r="H15" s="19">
        <v>1</v>
      </c>
      <c r="I15" s="20">
        <v>9</v>
      </c>
      <c r="J15" s="21">
        <v>153</v>
      </c>
      <c r="K15" s="22">
        <v>19</v>
      </c>
      <c r="L15" s="23">
        <f>K15/H15</f>
        <v>19</v>
      </c>
      <c r="M15" s="24">
        <f>+J15/K15</f>
        <v>8.0526315789473681</v>
      </c>
      <c r="N15" s="25">
        <f>150395.08+52946.08+3011.5+1726+142+1745+755+1765+153</f>
        <v>212638.65999999997</v>
      </c>
      <c r="O15" s="26">
        <f>14539+4867+346+172+14+208+97+169+19</f>
        <v>20431</v>
      </c>
      <c r="P15" s="27">
        <f>N15/O15</f>
        <v>10.407648181684694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32</v>
      </c>
      <c r="J16" s="21">
        <v>94</v>
      </c>
      <c r="K16" s="22">
        <v>12</v>
      </c>
      <c r="L16" s="23">
        <f t="shared" ref="L16" si="13">K16/H16</f>
        <v>12</v>
      </c>
      <c r="M16" s="24">
        <f t="shared" ref="M16" si="14">+J16/K16</f>
        <v>7.833333333333333</v>
      </c>
      <c r="N16" s="25">
        <f>166393.25+120953.88+26778.83+15413.16+8141+9655+7141+22668+12148+7305+4200+124+102+212+223+1619+804+2201+992+1988+3344+6211+2046.8+2141.5+1165.4+242+120+285+1190+40+81+94</f>
        <v>426022.82</v>
      </c>
      <c r="O16" s="26">
        <f>16398+11920+2425+1471+815+935+859+2615+1401+831+549+16+14+27+29+174+87+240+98+249+365+643+408+205+207+35+17+36+371+5+11+12</f>
        <v>43468</v>
      </c>
      <c r="P16" s="27">
        <f t="shared" ref="P16" si="15">N16/O16</f>
        <v>9.8008378577344253</v>
      </c>
      <c r="Q16" s="29"/>
      <c r="R16" s="29"/>
      <c r="S16" s="29"/>
    </row>
    <row r="17" spans="2:19" s="3" customFormat="1" ht="22.5" customHeight="1" x14ac:dyDescent="0.25">
      <c r="B17" s="18">
        <f t="shared" si="3"/>
        <v>12</v>
      </c>
      <c r="C17" s="57" t="s">
        <v>105</v>
      </c>
      <c r="D17" s="58">
        <v>41838</v>
      </c>
      <c r="E17" s="59" t="s">
        <v>9</v>
      </c>
      <c r="F17" s="60" t="s">
        <v>9</v>
      </c>
      <c r="G17" s="61">
        <v>20</v>
      </c>
      <c r="H17" s="19">
        <v>1</v>
      </c>
      <c r="I17" s="20">
        <v>22</v>
      </c>
      <c r="J17" s="71">
        <v>87</v>
      </c>
      <c r="K17" s="72">
        <v>13</v>
      </c>
      <c r="L17" s="23">
        <f>K17/H17</f>
        <v>13</v>
      </c>
      <c r="M17" s="24">
        <f>+J17/K17</f>
        <v>6.6923076923076925</v>
      </c>
      <c r="N17" s="73">
        <f>83413.21+31376.4+14831.5+9913.12+11734.5+8229.1+7018.55+10857.54+6847+2986+13217+3912+1965.5+2132+3849+3531.9+1567.5+1485+149+71+49+87</f>
        <v>219222.82</v>
      </c>
      <c r="O17" s="74">
        <f>6309+2343+1168+899+1487+769+760+1066+812+348+1631+365+188+195+314+530+107+121+17+11+8+13</f>
        <v>19461</v>
      </c>
      <c r="P17" s="27">
        <f>N17/O17</f>
        <v>11.264725348132162</v>
      </c>
      <c r="Q17" s="29"/>
      <c r="R17" s="29"/>
      <c r="S17" s="29"/>
    </row>
    <row r="18" spans="2:19" s="3" customFormat="1" ht="22.5" customHeight="1" thickBot="1" x14ac:dyDescent="0.3">
      <c r="B18" s="4">
        <f t="shared" si="3"/>
        <v>13</v>
      </c>
      <c r="C18" s="36" t="s">
        <v>55</v>
      </c>
      <c r="D18" s="37">
        <v>41845</v>
      </c>
      <c r="E18" s="38" t="s">
        <v>9</v>
      </c>
      <c r="F18" s="39" t="s">
        <v>9</v>
      </c>
      <c r="G18" s="40">
        <v>23</v>
      </c>
      <c r="H18" s="62">
        <v>1</v>
      </c>
      <c r="I18" s="63">
        <v>27</v>
      </c>
      <c r="J18" s="64">
        <v>30</v>
      </c>
      <c r="K18" s="65">
        <v>5</v>
      </c>
      <c r="L18" s="66">
        <f>K18/H18</f>
        <v>5</v>
      </c>
      <c r="M18" s="67">
        <f>+J18/K18</f>
        <v>6</v>
      </c>
      <c r="N18" s="68">
        <f>73428.48+65677.81+40435.99+20437+22258.56+12040.44+17815.52+6634+2166+2694+5184+2502+3981+1205+69+696+782+2067.5+665+2013.6+288+258+96+400+264+184+30</f>
        <v>284272.89999999991</v>
      </c>
      <c r="O18" s="69">
        <f>7463+6959+4805+2294+2518+1280+2169+965+358+347+662+324+455+143+13+136+154+177+51+403+36+32+12+50+33+23+5</f>
        <v>31867</v>
      </c>
      <c r="P18" s="70">
        <f>N18/O18</f>
        <v>8.9206043869833973</v>
      </c>
      <c r="Q18" s="29"/>
      <c r="R18" s="29"/>
      <c r="S18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4.5703125" style="7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10</v>
      </c>
      <c r="I6" s="50">
        <v>4</v>
      </c>
      <c r="J6" s="53">
        <v>7196</v>
      </c>
      <c r="K6" s="16">
        <v>1626</v>
      </c>
      <c r="L6" s="51">
        <f t="shared" ref="L6:L16" si="0">K6/H6</f>
        <v>162.6</v>
      </c>
      <c r="M6" s="52">
        <f t="shared" ref="M6:M16" si="1">+J6/K6</f>
        <v>4.4255842558425584</v>
      </c>
      <c r="N6" s="54">
        <f>217416+133447+36039+7196</f>
        <v>394098</v>
      </c>
      <c r="O6" s="55">
        <f>15610+9137+2226+1626</f>
        <v>28599</v>
      </c>
      <c r="P6" s="56">
        <f t="shared" ref="P6:P16" si="2">N6/O6</f>
        <v>13.780132172453582</v>
      </c>
      <c r="Q6" s="29"/>
      <c r="R6" s="29"/>
    </row>
    <row r="7" spans="1:18" s="3" customFormat="1" ht="22.5" customHeight="1" x14ac:dyDescent="0.25">
      <c r="B7" s="18">
        <f t="shared" ref="B7:B16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16</v>
      </c>
      <c r="J7" s="21">
        <v>4091.5</v>
      </c>
      <c r="K7" s="22">
        <v>486</v>
      </c>
      <c r="L7" s="23">
        <f t="shared" si="0"/>
        <v>97.2</v>
      </c>
      <c r="M7" s="24">
        <f t="shared" si="1"/>
        <v>8.4187242798353914</v>
      </c>
      <c r="N7" s="25">
        <f>1099708.11+593370.74+224185+52839.5+17039.5+9578+7414+5098+4983.5+10660.5+14194.5+2400+3550+2380.5+7656.5+4091.5</f>
        <v>2059149.85</v>
      </c>
      <c r="O7" s="26">
        <f>102148+56106+22339+5539+1692+934+809+597+525+1619+1502+226+582+302+1163+486</f>
        <v>196569</v>
      </c>
      <c r="P7" s="27">
        <f t="shared" si="2"/>
        <v>10.475455692403177</v>
      </c>
      <c r="Q7" s="29"/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7</v>
      </c>
      <c r="I8" s="20">
        <v>4</v>
      </c>
      <c r="J8" s="21">
        <v>2960.5</v>
      </c>
      <c r="K8" s="22">
        <v>406</v>
      </c>
      <c r="L8" s="23">
        <f t="shared" si="0"/>
        <v>58</v>
      </c>
      <c r="M8" s="24">
        <f t="shared" si="1"/>
        <v>7.291871921182266</v>
      </c>
      <c r="N8" s="25">
        <f>129506.8+46365.5+5111+2960.5</f>
        <v>183943.8</v>
      </c>
      <c r="O8" s="26">
        <f>12756+4851+538+406</f>
        <v>18551</v>
      </c>
      <c r="P8" s="27">
        <f t="shared" si="2"/>
        <v>9.9155732844590574</v>
      </c>
      <c r="Q8" s="29"/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4</v>
      </c>
      <c r="I9" s="20">
        <v>7</v>
      </c>
      <c r="J9" s="21">
        <v>2140</v>
      </c>
      <c r="K9" s="22">
        <v>269</v>
      </c>
      <c r="L9" s="23">
        <f t="shared" si="0"/>
        <v>67.25</v>
      </c>
      <c r="M9" s="24">
        <f t="shared" si="1"/>
        <v>7.955390334572491</v>
      </c>
      <c r="N9" s="25">
        <f>4241+362258.96+222136.17+49398.98+7963+5272.5+3175+2140</f>
        <v>656585.61</v>
      </c>
      <c r="O9" s="26">
        <f>748+36807+24128+5499+982+687+504+269</f>
        <v>69624</v>
      </c>
      <c r="P9" s="27">
        <f t="shared" si="2"/>
        <v>9.4304494139951736</v>
      </c>
      <c r="Q9" s="29"/>
      <c r="R9" s="29"/>
    </row>
    <row r="10" spans="1:18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18</v>
      </c>
      <c r="J10" s="21">
        <v>2067.5</v>
      </c>
      <c r="K10" s="22">
        <v>177</v>
      </c>
      <c r="L10" s="23">
        <f t="shared" si="0"/>
        <v>177</v>
      </c>
      <c r="M10" s="24">
        <f t="shared" si="1"/>
        <v>11.680790960451978</v>
      </c>
      <c r="N10" s="25">
        <f>73428.48+65677.81+40435.99+20437+22258.56+12040.44+17815.52+6634+2166+2694+5184+2502+3981+1205+69+696+782+2067.5</f>
        <v>280074.29999999993</v>
      </c>
      <c r="O10" s="26">
        <f>7463+6959+4805+2294+2518+1280+2169+965+358+347+662+324+455+143+13+136+154+177</f>
        <v>31222</v>
      </c>
      <c r="P10" s="27">
        <f t="shared" ref="P10:P15" si="4">N10/O10</f>
        <v>8.9704150919223604</v>
      </c>
      <c r="Q10" s="29"/>
      <c r="R10" s="29"/>
    </row>
    <row r="11" spans="1:18" s="3" customFormat="1" ht="22.5" customHeight="1" x14ac:dyDescent="0.25">
      <c r="B11" s="18">
        <f t="shared" si="3"/>
        <v>6</v>
      </c>
      <c r="C11" s="57" t="s">
        <v>28</v>
      </c>
      <c r="D11" s="58">
        <v>41866</v>
      </c>
      <c r="E11" s="59" t="s">
        <v>9</v>
      </c>
      <c r="F11" s="60" t="s">
        <v>29</v>
      </c>
      <c r="G11" s="61">
        <v>31</v>
      </c>
      <c r="H11" s="19">
        <v>2</v>
      </c>
      <c r="I11" s="20">
        <v>23</v>
      </c>
      <c r="J11" s="21">
        <v>2046.8</v>
      </c>
      <c r="K11" s="22">
        <v>408</v>
      </c>
      <c r="L11" s="23">
        <f t="shared" si="0"/>
        <v>204</v>
      </c>
      <c r="M11" s="24">
        <f t="shared" si="1"/>
        <v>5.0166666666666666</v>
      </c>
      <c r="N11" s="25">
        <f>166393.25+120953.88+26778.83+15413.16+8141+9655+7141+22668+12148+7305+4200+124+102+212+223+1619+804+2201+992+1988+3344+6211+2046.8</f>
        <v>420663.92</v>
      </c>
      <c r="O11" s="26">
        <f>16398+11920+2425+1471+815+935+859+2615+1401+831+549+16+14+27+29+174+87+240+98+249+365+643+408</f>
        <v>42569</v>
      </c>
      <c r="P11" s="27">
        <f t="shared" si="4"/>
        <v>9.8819309826399486</v>
      </c>
      <c r="Q11" s="29"/>
      <c r="R11" s="29"/>
    </row>
    <row r="12" spans="1:18" s="3" customFormat="1" ht="22.5" customHeight="1" x14ac:dyDescent="0.25">
      <c r="B12" s="18">
        <f t="shared" si="3"/>
        <v>7</v>
      </c>
      <c r="C12" s="57" t="s">
        <v>50</v>
      </c>
      <c r="D12" s="58">
        <v>41796</v>
      </c>
      <c r="E12" s="59" t="s">
        <v>9</v>
      </c>
      <c r="F12" s="60" t="s">
        <v>9</v>
      </c>
      <c r="G12" s="61">
        <v>22</v>
      </c>
      <c r="H12" s="19">
        <v>1</v>
      </c>
      <c r="I12" s="20">
        <v>28</v>
      </c>
      <c r="J12" s="21">
        <v>1635</v>
      </c>
      <c r="K12" s="22">
        <v>137</v>
      </c>
      <c r="L12" s="23">
        <f t="shared" si="0"/>
        <v>137</v>
      </c>
      <c r="M12" s="24">
        <f t="shared" si="1"/>
        <v>11.934306569343066</v>
      </c>
      <c r="N12" s="25">
        <f>166025.28+97326.52+57686.96+13701.5+11079.5+6936+18694.5+12272.5+7080.5+9304+8779+4785.44+5102.63+3908.66+4837+3724+3492+9632.5+4839+5360.5+615.5+83+1425.6+1525+121+1722.5+1737.5+1635</f>
        <v>463433.08999999997</v>
      </c>
      <c r="O12" s="26">
        <f>15114+9515+5786+1430+1181+648+1199+1400+830+999+900+603+561+474+557+436+370+1189+567+607+105+10+285+117+12+138+141+137</f>
        <v>45311</v>
      </c>
      <c r="P12" s="27">
        <f t="shared" si="4"/>
        <v>10.227827459115888</v>
      </c>
      <c r="Q12" s="29"/>
      <c r="R12" s="29"/>
    </row>
    <row r="13" spans="1:18" s="3" customFormat="1" ht="22.5" customHeight="1" x14ac:dyDescent="0.25">
      <c r="B13" s="18">
        <f t="shared" si="3"/>
        <v>8</v>
      </c>
      <c r="C13" s="57" t="s">
        <v>40</v>
      </c>
      <c r="D13" s="58">
        <v>41747</v>
      </c>
      <c r="E13" s="59" t="s">
        <v>9</v>
      </c>
      <c r="F13" s="60" t="s">
        <v>9</v>
      </c>
      <c r="G13" s="61">
        <v>27</v>
      </c>
      <c r="H13" s="19">
        <v>1</v>
      </c>
      <c r="I13" s="20">
        <v>29</v>
      </c>
      <c r="J13" s="21">
        <v>1425.6</v>
      </c>
      <c r="K13" s="22">
        <v>285</v>
      </c>
      <c r="L13" s="23">
        <f t="shared" si="0"/>
        <v>285</v>
      </c>
      <c r="M13" s="24">
        <f t="shared" si="1"/>
        <v>5.0021052631578948</v>
      </c>
      <c r="N13" s="25">
        <f>186153.66+73200.86+7974.97+3137.5+2235.5+2569.5+1951+3923.5+2028.5+2570+1951+851+280.5+1284+387.5+714.5+19.5+377+84.5+528+2376+200+244+2451+7128+1425.6+1782+1425.6+1425.6</f>
        <v>310680.28999999992</v>
      </c>
      <c r="O13" s="26">
        <f>17828+6634+897+384+272+355+277+539+259+316+258+106+40+183+51+100+3+58+13+44+475+38+48+490+1426+285+356+285+285</f>
        <v>32305</v>
      </c>
      <c r="P13" s="27">
        <f t="shared" si="4"/>
        <v>9.6170961151524512</v>
      </c>
      <c r="Q13" s="29"/>
      <c r="R13" s="29"/>
    </row>
    <row r="14" spans="1:18" s="3" customFormat="1" ht="22.5" customHeight="1" x14ac:dyDescent="0.25">
      <c r="B14" s="18">
        <f t="shared" si="3"/>
        <v>9</v>
      </c>
      <c r="C14" s="57" t="s">
        <v>23</v>
      </c>
      <c r="D14" s="58">
        <v>41985</v>
      </c>
      <c r="E14" s="59" t="s">
        <v>9</v>
      </c>
      <c r="F14" s="60" t="s">
        <v>9</v>
      </c>
      <c r="G14" s="61">
        <v>6</v>
      </c>
      <c r="H14" s="19">
        <v>1</v>
      </c>
      <c r="I14" s="20">
        <v>10</v>
      </c>
      <c r="J14" s="21">
        <v>1194</v>
      </c>
      <c r="K14" s="22">
        <v>372</v>
      </c>
      <c r="L14" s="23">
        <f t="shared" si="0"/>
        <v>372</v>
      </c>
      <c r="M14" s="24">
        <f t="shared" si="1"/>
        <v>3.2096774193548385</v>
      </c>
      <c r="N14" s="25">
        <f>8510.8+3886.5+2097.5+617+108+1288+1217+2387+1022+1194</f>
        <v>22327.8</v>
      </c>
      <c r="O14" s="26">
        <f>645+331+220+36+14+161+265+494+209+372</f>
        <v>2747</v>
      </c>
      <c r="P14" s="27">
        <f t="shared" si="4"/>
        <v>8.128066982162359</v>
      </c>
      <c r="Q14" s="29"/>
      <c r="R14" s="29"/>
    </row>
    <row r="15" spans="1:18" s="3" customFormat="1" ht="22.5" customHeight="1" x14ac:dyDescent="0.25">
      <c r="B15" s="18">
        <f t="shared" si="3"/>
        <v>10</v>
      </c>
      <c r="C15" s="57" t="s">
        <v>30</v>
      </c>
      <c r="D15" s="58">
        <v>41782</v>
      </c>
      <c r="E15" s="59" t="s">
        <v>9</v>
      </c>
      <c r="F15" s="60" t="s">
        <v>9</v>
      </c>
      <c r="G15" s="61">
        <v>30</v>
      </c>
      <c r="H15" s="19">
        <v>1</v>
      </c>
      <c r="I15" s="20">
        <v>24</v>
      </c>
      <c r="J15" s="21">
        <v>774</v>
      </c>
      <c r="K15" s="22">
        <v>96</v>
      </c>
      <c r="L15" s="23">
        <f t="shared" si="0"/>
        <v>96</v>
      </c>
      <c r="M15" s="24">
        <f t="shared" si="1"/>
        <v>8.0625</v>
      </c>
      <c r="N15" s="25">
        <f>95967.35+76227.39+34644.5+27256+29590.5+12797.63+9801.17+8948.5+7152.5+16352.94+12150.29+7448.1+8486.06+7400.64+5579.56+3486.52+760+1010+454+162+694+385+790+774</f>
        <v>368318.64999999997</v>
      </c>
      <c r="O15" s="26">
        <f>9552+7384+3615+3071+3349+1439+1120+971+812+1886+1381+880+989+926+692+485+91+116+49+24+62+55+154+96</f>
        <v>39199</v>
      </c>
      <c r="P15" s="27">
        <f t="shared" si="4"/>
        <v>9.3961236256026925</v>
      </c>
      <c r="Q15" s="29"/>
      <c r="R15" s="29"/>
    </row>
    <row r="16" spans="1:18" s="3" customFormat="1" ht="22.5" customHeight="1" thickBot="1" x14ac:dyDescent="0.3">
      <c r="B16" s="4">
        <f t="shared" si="3"/>
        <v>11</v>
      </c>
      <c r="C16" s="36" t="s">
        <v>19</v>
      </c>
      <c r="D16" s="37">
        <v>41831</v>
      </c>
      <c r="E16" s="38" t="s">
        <v>9</v>
      </c>
      <c r="F16" s="39" t="s">
        <v>20</v>
      </c>
      <c r="G16" s="40">
        <v>35</v>
      </c>
      <c r="H16" s="62">
        <v>1</v>
      </c>
      <c r="I16" s="63">
        <v>18</v>
      </c>
      <c r="J16" s="64">
        <v>712.8</v>
      </c>
      <c r="K16" s="65">
        <v>143</v>
      </c>
      <c r="L16" s="66">
        <f t="shared" si="0"/>
        <v>143</v>
      </c>
      <c r="M16" s="67">
        <f t="shared" si="1"/>
        <v>4.9846153846153847</v>
      </c>
      <c r="N16" s="68">
        <f>204425.4+130339.21+47866.4+41040.53+24854.45+10673+4557.5+1594+1611.5+4273+260+202.5+1010+8553.6+1425.6+1425.6+600+712.8</f>
        <v>485425.08999999997</v>
      </c>
      <c r="O16" s="69">
        <f>19421+12650+4370+3566+2047+958+545+202+192+659+33+26+109+1176+285+285+49+143</f>
        <v>46716</v>
      </c>
      <c r="P16" s="70">
        <f t="shared" si="2"/>
        <v>10.390981462453977</v>
      </c>
      <c r="Q16" s="29"/>
      <c r="R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workbookViewId="0">
      <selection activeCell="B5" sqref="B5"/>
    </sheetView>
  </sheetViews>
  <sheetFormatPr defaultRowHeight="15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8" max="18" width="3" style="7" customWidth="1"/>
    <col min="19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51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52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R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13</v>
      </c>
      <c r="I6" s="50">
        <v>3</v>
      </c>
      <c r="J6" s="53">
        <v>36039</v>
      </c>
      <c r="K6" s="16">
        <v>2226</v>
      </c>
      <c r="L6" s="51">
        <f t="shared" ref="L6:L11" si="0">K6/H6</f>
        <v>171.23076923076923</v>
      </c>
      <c r="M6" s="52">
        <f t="shared" ref="M6:M11" si="1">+J6/K6</f>
        <v>16.190026954177899</v>
      </c>
      <c r="N6" s="54">
        <f>217416+133447+36039</f>
        <v>386902</v>
      </c>
      <c r="O6" s="55">
        <f>15610+9137+2226</f>
        <v>26973</v>
      </c>
      <c r="P6" s="56">
        <f t="shared" ref="P6:P11" si="2">N6/O6</f>
        <v>14.344047751455159</v>
      </c>
      <c r="R6" s="29"/>
    </row>
    <row r="7" spans="1:18" s="3" customFormat="1" ht="22.5" customHeight="1" x14ac:dyDescent="0.25">
      <c r="B7" s="18">
        <f t="shared" ref="B7:B11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15</v>
      </c>
      <c r="J7" s="21">
        <v>7656.5</v>
      </c>
      <c r="K7" s="22">
        <v>1163</v>
      </c>
      <c r="L7" s="23">
        <f t="shared" si="0"/>
        <v>193.83333333333334</v>
      </c>
      <c r="M7" s="24">
        <f t="shared" si="1"/>
        <v>6.5834049871023215</v>
      </c>
      <c r="N7" s="25">
        <f>1099708.11+593370.74+224185+52839.5+17039.5+9578+7414+5098+4983.5+10660.5+14194.5+2400+3550+2380.5+7656.5</f>
        <v>2055058.35</v>
      </c>
      <c r="O7" s="26">
        <f>102148+56106+22339+5539+1692+934+809+597+525+1619+1502+226+582+302+1163</f>
        <v>196083</v>
      </c>
      <c r="P7" s="27">
        <f t="shared" si="2"/>
        <v>10.480553388106058</v>
      </c>
      <c r="R7" s="29"/>
    </row>
    <row r="8" spans="1:18" s="3" customFormat="1" ht="22.5" customHeight="1" x14ac:dyDescent="0.25">
      <c r="B8" s="18">
        <f t="shared" si="3"/>
        <v>3</v>
      </c>
      <c r="C8" s="57" t="s">
        <v>46</v>
      </c>
      <c r="D8" s="58">
        <v>42048</v>
      </c>
      <c r="E8" s="59" t="s">
        <v>9</v>
      </c>
      <c r="F8" s="60" t="s">
        <v>47</v>
      </c>
      <c r="G8" s="61">
        <v>41</v>
      </c>
      <c r="H8" s="19">
        <v>8</v>
      </c>
      <c r="I8" s="20">
        <v>3</v>
      </c>
      <c r="J8" s="71">
        <v>5111</v>
      </c>
      <c r="K8" s="72">
        <v>538</v>
      </c>
      <c r="L8" s="23">
        <f t="shared" si="0"/>
        <v>67.25</v>
      </c>
      <c r="M8" s="24">
        <f t="shared" si="1"/>
        <v>9.5</v>
      </c>
      <c r="N8" s="73">
        <f>129506.8+46365.5+5111</f>
        <v>180983.3</v>
      </c>
      <c r="O8" s="74">
        <f>12756+4851+538</f>
        <v>18145</v>
      </c>
      <c r="P8" s="27">
        <f t="shared" si="2"/>
        <v>9.974279415817028</v>
      </c>
      <c r="R8" s="29"/>
    </row>
    <row r="9" spans="1:18" s="3" customFormat="1" ht="22.5" customHeight="1" x14ac:dyDescent="0.25">
      <c r="B9" s="18">
        <f t="shared" si="3"/>
        <v>4</v>
      </c>
      <c r="C9" s="57" t="s">
        <v>37</v>
      </c>
      <c r="D9" s="58">
        <v>42027</v>
      </c>
      <c r="E9" s="59" t="s">
        <v>9</v>
      </c>
      <c r="F9" s="60" t="s">
        <v>9</v>
      </c>
      <c r="G9" s="61">
        <v>64</v>
      </c>
      <c r="H9" s="19">
        <v>9</v>
      </c>
      <c r="I9" s="20">
        <v>6</v>
      </c>
      <c r="J9" s="21">
        <v>3175</v>
      </c>
      <c r="K9" s="22">
        <v>504</v>
      </c>
      <c r="L9" s="23">
        <f t="shared" si="0"/>
        <v>56</v>
      </c>
      <c r="M9" s="24">
        <f t="shared" si="1"/>
        <v>6.2996031746031749</v>
      </c>
      <c r="N9" s="25">
        <f>4241+362258.96+222136.17+49398.98+7963+5272.5+3175</f>
        <v>654445.61</v>
      </c>
      <c r="O9" s="26">
        <f>748+36807+24128+5499+982+687+504</f>
        <v>69355</v>
      </c>
      <c r="P9" s="27">
        <f t="shared" si="2"/>
        <v>9.4361705716963442</v>
      </c>
      <c r="R9" s="29"/>
    </row>
    <row r="10" spans="1:18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27</v>
      </c>
      <c r="J10" s="21">
        <v>1737.5</v>
      </c>
      <c r="K10" s="22">
        <v>141</v>
      </c>
      <c r="L10" s="23">
        <f t="shared" si="0"/>
        <v>141</v>
      </c>
      <c r="M10" s="24">
        <f t="shared" si="1"/>
        <v>12.322695035460994</v>
      </c>
      <c r="N10" s="25">
        <f>166025.28+97326.52+57686.96+13701.5+11079.5+6936+18694.5+12272.5+7080.5+9304+8779+4785.44+5102.63+3908.66+4837+3724+3492+9632.5+4839+5360.5+615.5+83+1425.6+1525+121+1722.5+1737.5</f>
        <v>461798.08999999997</v>
      </c>
      <c r="O10" s="26">
        <f>15114+9515+5786+1430+1181+648+1199+1400+830+999+900+603+561+474+557+436+370+1189+567+607+105+10+285+117+12+138+141</f>
        <v>45174</v>
      </c>
      <c r="P10" s="27">
        <f t="shared" si="2"/>
        <v>10.222652189312436</v>
      </c>
      <c r="R10" s="29"/>
    </row>
    <row r="11" spans="1:18" s="3" customFormat="1" ht="22.5" customHeight="1" thickBot="1" x14ac:dyDescent="0.3">
      <c r="B11" s="4">
        <f t="shared" si="3"/>
        <v>6</v>
      </c>
      <c r="C11" s="36" t="s">
        <v>19</v>
      </c>
      <c r="D11" s="37">
        <v>41831</v>
      </c>
      <c r="E11" s="38" t="s">
        <v>9</v>
      </c>
      <c r="F11" s="39" t="s">
        <v>20</v>
      </c>
      <c r="G11" s="40">
        <v>35</v>
      </c>
      <c r="H11" s="62">
        <v>1</v>
      </c>
      <c r="I11" s="63">
        <v>17</v>
      </c>
      <c r="J11" s="64">
        <v>600</v>
      </c>
      <c r="K11" s="65">
        <v>49</v>
      </c>
      <c r="L11" s="66">
        <f t="shared" si="0"/>
        <v>49</v>
      </c>
      <c r="M11" s="67">
        <f t="shared" si="1"/>
        <v>12.244897959183673</v>
      </c>
      <c r="N11" s="68">
        <f>204425.4+130339.21+47866.4+41040.53+24854.45+10673+4557.5+1594+1611.5+4273+260+202.5+1010+8553.6+1425.6+1425.6+600</f>
        <v>484712.29</v>
      </c>
      <c r="O11" s="69">
        <f>19421+12650+4370+3566+2047+958+545+202+192+659+33+26+109+1176+285+285+49</f>
        <v>46573</v>
      </c>
      <c r="P11" s="70">
        <f t="shared" si="2"/>
        <v>10.407581431301397</v>
      </c>
      <c r="R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28</v>
      </c>
      <c r="I6" s="50">
        <v>2</v>
      </c>
      <c r="J6" s="53">
        <v>133447</v>
      </c>
      <c r="K6" s="16">
        <v>9137</v>
      </c>
      <c r="L6" s="51">
        <f>K6/H6</f>
        <v>326.32142857142856</v>
      </c>
      <c r="M6" s="52">
        <f>+J6/K6</f>
        <v>14.605122031301303</v>
      </c>
      <c r="N6" s="54">
        <f>217416+133447</f>
        <v>350863</v>
      </c>
      <c r="O6" s="55">
        <f>15610+9137</f>
        <v>24747</v>
      </c>
      <c r="P6" s="56">
        <f>N6/O6</f>
        <v>14.178001373903907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48</v>
      </c>
      <c r="I7" s="20">
        <v>2</v>
      </c>
      <c r="J7" s="21">
        <v>46365.5</v>
      </c>
      <c r="K7" s="22">
        <v>4851</v>
      </c>
      <c r="L7" s="23">
        <f>K7/H7</f>
        <v>101.0625</v>
      </c>
      <c r="M7" s="24">
        <f>+J7/K7</f>
        <v>9.5579262007833439</v>
      </c>
      <c r="N7" s="25">
        <f>129506.8+46365.5</f>
        <v>175872.3</v>
      </c>
      <c r="O7" s="26">
        <f>12756+4851</f>
        <v>17607</v>
      </c>
      <c r="P7" s="27">
        <f>N7/O7</f>
        <v>9.9887715113307198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15</v>
      </c>
      <c r="I8" s="20">
        <v>5</v>
      </c>
      <c r="J8" s="21">
        <v>5272.5</v>
      </c>
      <c r="K8" s="22">
        <v>687</v>
      </c>
      <c r="L8" s="23">
        <f>K8/H8</f>
        <v>45.8</v>
      </c>
      <c r="M8" s="24">
        <f>+J8/K8</f>
        <v>7.6746724890829698</v>
      </c>
      <c r="N8" s="25">
        <f>4241+362258.96+222136.17+49398.98+7963+5272.5</f>
        <v>651270.61</v>
      </c>
      <c r="O8" s="26">
        <f>748+36807+24128+5499+982+687</f>
        <v>68851</v>
      </c>
      <c r="P8" s="27">
        <f>N8/O8</f>
        <v>9.4591307315797888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22</v>
      </c>
      <c r="D9" s="58">
        <v>41964</v>
      </c>
      <c r="E9" s="59" t="s">
        <v>9</v>
      </c>
      <c r="F9" s="60" t="s">
        <v>9</v>
      </c>
      <c r="G9" s="61">
        <v>58</v>
      </c>
      <c r="H9" s="19">
        <v>3</v>
      </c>
      <c r="I9" s="20">
        <v>14</v>
      </c>
      <c r="J9" s="21">
        <v>2380.5</v>
      </c>
      <c r="K9" s="22">
        <v>302</v>
      </c>
      <c r="L9" s="23">
        <f>K9/H9</f>
        <v>100.66666666666667</v>
      </c>
      <c r="M9" s="24">
        <f>+J9/K9</f>
        <v>7.8824503311258276</v>
      </c>
      <c r="N9" s="25">
        <f>1099708.11+593370.74+224185+52839.5+17039.5+9578+7414+5098+4983.5+10660.5+14194.5+2400+3550+2380.5</f>
        <v>2047401.85</v>
      </c>
      <c r="O9" s="26">
        <f>102148+56106+22339+5539+1692+934+809+597+525+1619+1502+226+582+302</f>
        <v>194920</v>
      </c>
      <c r="P9" s="27">
        <f>N9/O9</f>
        <v>10.503805920377591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50</v>
      </c>
      <c r="D10" s="37">
        <v>41796</v>
      </c>
      <c r="E10" s="38" t="s">
        <v>9</v>
      </c>
      <c r="F10" s="39" t="s">
        <v>9</v>
      </c>
      <c r="G10" s="40">
        <v>22</v>
      </c>
      <c r="H10" s="62">
        <v>1</v>
      </c>
      <c r="I10" s="63">
        <v>26</v>
      </c>
      <c r="J10" s="64">
        <v>1722.5</v>
      </c>
      <c r="K10" s="65">
        <v>138</v>
      </c>
      <c r="L10" s="66">
        <f>K10/H10</f>
        <v>138</v>
      </c>
      <c r="M10" s="67">
        <f>+J10/K10</f>
        <v>12.481884057971014</v>
      </c>
      <c r="N10" s="68">
        <f>166025.28+97326.52+57686.96+13701.5+11079.5+6936+18694.5+12272.5+7080.5+9304+8779+4785.44+5102.63+3908.66+4837+3724+3492+9632.5+4839+5360.5+615.5+83+1425.6+1525+121+1722.5</f>
        <v>460060.58999999997</v>
      </c>
      <c r="O10" s="69">
        <f>15114+9515+5786+1430+1181+648+1199+1400+830+999+900+603+561+474+557+436+370+1189+567+607+105+10+285+117+12+138</f>
        <v>45033</v>
      </c>
      <c r="P10" s="70">
        <f>N10/O10</f>
        <v>10.216076876956897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43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44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45</v>
      </c>
      <c r="D6" s="45">
        <v>42048</v>
      </c>
      <c r="E6" s="46" t="s">
        <v>9</v>
      </c>
      <c r="F6" s="47" t="s">
        <v>9</v>
      </c>
      <c r="G6" s="48">
        <v>13</v>
      </c>
      <c r="H6" s="49">
        <v>33</v>
      </c>
      <c r="I6" s="50">
        <v>1</v>
      </c>
      <c r="J6" s="53">
        <v>217416</v>
      </c>
      <c r="K6" s="16">
        <v>15610</v>
      </c>
      <c r="L6" s="51">
        <f>K6/H6</f>
        <v>473.030303030303</v>
      </c>
      <c r="M6" s="52">
        <f>+J6/K6</f>
        <v>13.927994875080078</v>
      </c>
      <c r="N6" s="54">
        <f>217416</f>
        <v>217416</v>
      </c>
      <c r="O6" s="55">
        <f>15610</f>
        <v>15610</v>
      </c>
      <c r="P6" s="56">
        <f>N6/O6</f>
        <v>13.927994875080078</v>
      </c>
      <c r="Q6" s="29"/>
      <c r="R6" s="5"/>
    </row>
    <row r="7" spans="1:18" s="3" customFormat="1" ht="22.5" customHeight="1" x14ac:dyDescent="0.25">
      <c r="B7" s="18">
        <f t="shared" ref="B7:B9" si="0">B6+1</f>
        <v>2</v>
      </c>
      <c r="C7" s="57" t="s">
        <v>46</v>
      </c>
      <c r="D7" s="58">
        <v>42048</v>
      </c>
      <c r="E7" s="59" t="s">
        <v>9</v>
      </c>
      <c r="F7" s="60" t="s">
        <v>47</v>
      </c>
      <c r="G7" s="61">
        <v>41</v>
      </c>
      <c r="H7" s="19">
        <v>56</v>
      </c>
      <c r="I7" s="20">
        <v>1</v>
      </c>
      <c r="J7" s="21">
        <v>129506.8</v>
      </c>
      <c r="K7" s="22">
        <v>12756</v>
      </c>
      <c r="L7" s="23">
        <f>K7/H7</f>
        <v>227.78571428571428</v>
      </c>
      <c r="M7" s="24">
        <f>+J7/K7</f>
        <v>10.152618375666354</v>
      </c>
      <c r="N7" s="25">
        <f>129506.8</f>
        <v>129506.8</v>
      </c>
      <c r="O7" s="26">
        <f>12756</f>
        <v>12756</v>
      </c>
      <c r="P7" s="27">
        <f>N7/O7</f>
        <v>10.152618375666354</v>
      </c>
      <c r="Q7" s="29"/>
      <c r="R7" s="5"/>
    </row>
    <row r="8" spans="1:18" s="3" customFormat="1" ht="22.5" customHeight="1" x14ac:dyDescent="0.25">
      <c r="B8" s="18">
        <f>B7+1</f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27</v>
      </c>
      <c r="I8" s="20">
        <v>4</v>
      </c>
      <c r="J8" s="21">
        <v>7963</v>
      </c>
      <c r="K8" s="22">
        <v>982</v>
      </c>
      <c r="L8" s="23">
        <f>K8/H8</f>
        <v>36.370370370370374</v>
      </c>
      <c r="M8" s="24">
        <f>+J8/K8</f>
        <v>8.1089613034623209</v>
      </c>
      <c r="N8" s="25">
        <f>4241+362258.96+222136.17+49398.98+7963</f>
        <v>645998.11</v>
      </c>
      <c r="O8" s="26">
        <f>748+36807+24128+5499+982</f>
        <v>68164</v>
      </c>
      <c r="P8" s="27">
        <f>N8/O8</f>
        <v>9.4771156328853934</v>
      </c>
      <c r="Q8" s="29"/>
      <c r="R8" s="5"/>
    </row>
    <row r="9" spans="1:18" s="3" customFormat="1" ht="22.5" customHeight="1" thickBot="1" x14ac:dyDescent="0.3">
      <c r="B9" s="4">
        <f t="shared" si="0"/>
        <v>4</v>
      </c>
      <c r="C9" s="36" t="s">
        <v>22</v>
      </c>
      <c r="D9" s="37">
        <v>41964</v>
      </c>
      <c r="E9" s="38" t="s">
        <v>9</v>
      </c>
      <c r="F9" s="39" t="s">
        <v>9</v>
      </c>
      <c r="G9" s="40">
        <v>58</v>
      </c>
      <c r="H9" s="62">
        <v>4</v>
      </c>
      <c r="I9" s="63">
        <v>13</v>
      </c>
      <c r="J9" s="64">
        <v>3550</v>
      </c>
      <c r="K9" s="65">
        <v>582</v>
      </c>
      <c r="L9" s="66">
        <f>K9/H9</f>
        <v>145.5</v>
      </c>
      <c r="M9" s="67">
        <f>+J9/K9</f>
        <v>6.0996563573883158</v>
      </c>
      <c r="N9" s="68">
        <f>1099708.11+593370.74+224185+52839.5+17039.5+9578+7414+5098+4983.5+10660.5+14194.5+2400+3550</f>
        <v>2045021.35</v>
      </c>
      <c r="O9" s="69">
        <f>102148+56106+22339+5539+1692+934+809+597+525+1619+1502+226+582</f>
        <v>194618</v>
      </c>
      <c r="P9" s="70">
        <f>N9/O9</f>
        <v>10.507873629366246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41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42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66</v>
      </c>
      <c r="I6" s="50">
        <v>3</v>
      </c>
      <c r="J6" s="53">
        <v>49398.98</v>
      </c>
      <c r="K6" s="16">
        <v>5499</v>
      </c>
      <c r="L6" s="51">
        <f>K6/H6</f>
        <v>83.318181818181813</v>
      </c>
      <c r="M6" s="52">
        <f>+J6/K6</f>
        <v>8.9832660483724318</v>
      </c>
      <c r="N6" s="54">
        <f>4241+362258.96+222136.17+49398.98</f>
        <v>638035.11</v>
      </c>
      <c r="O6" s="55">
        <f>748+36807+24128+5499</f>
        <v>67182</v>
      </c>
      <c r="P6" s="56">
        <f>N6/O6</f>
        <v>9.4971139590961862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12</v>
      </c>
      <c r="J7" s="21">
        <v>2400</v>
      </c>
      <c r="K7" s="22">
        <v>226</v>
      </c>
      <c r="L7" s="23">
        <f>K7/H7</f>
        <v>56.5</v>
      </c>
      <c r="M7" s="24">
        <f>+J7/K7</f>
        <v>10.619469026548673</v>
      </c>
      <c r="N7" s="25">
        <f>1099708.11+593370.74+224185+52839.5+17039.5+9578+7414+5098+4983.5+10660.5+14194.5+2400</f>
        <v>2041471.35</v>
      </c>
      <c r="O7" s="26">
        <f>102148+56106+22339+5539+1692+934+809+597+525+1619+1502+226</f>
        <v>194036</v>
      </c>
      <c r="P7" s="27">
        <f>N7/O7</f>
        <v>10.521095827578389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40</v>
      </c>
      <c r="D8" s="58">
        <v>41747</v>
      </c>
      <c r="E8" s="59" t="s">
        <v>9</v>
      </c>
      <c r="F8" s="60" t="s">
        <v>9</v>
      </c>
      <c r="G8" s="61">
        <v>27</v>
      </c>
      <c r="H8" s="19">
        <v>1</v>
      </c>
      <c r="I8" s="20">
        <v>28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186153.66+73200.86+7974.97+3137.5+2235.5+2569.5+1951+3923.5+2028.5+2570+1951+851+280.5+1284+387.5+714.5+19.5+377+84.5+528+2376+200+244+2451+7128+1425.6+1782+1425.6</f>
        <v>309254.68999999994</v>
      </c>
      <c r="O8" s="26">
        <f>17828+6634+897+384+272+355+277+539+259+316+258+106+40+183+51+100+3+58+13+44+475+38+48+490+1426+285+356+285</f>
        <v>32020</v>
      </c>
      <c r="P8" s="27">
        <f>N8/O8</f>
        <v>9.6581727045596484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15</v>
      </c>
      <c r="J9" s="21">
        <v>1095</v>
      </c>
      <c r="K9" s="22">
        <v>86</v>
      </c>
      <c r="L9" s="23">
        <f>K9/H9</f>
        <v>86</v>
      </c>
      <c r="M9" s="24">
        <f>+J9/K9</f>
        <v>12.732558139534884</v>
      </c>
      <c r="N9" s="25">
        <f>86853.81+54964.43+34022.66+23560.33+8123.41+7604.5+3529.5+2609+1898+2251.6+1218+977.5+1040+1455+1095</f>
        <v>231202.74</v>
      </c>
      <c r="O9" s="26">
        <f>7232+4293+2509+1779+817+649+331+264+501+432+243+78+73+113+86</f>
        <v>19400</v>
      </c>
      <c r="P9" s="27">
        <f>N9/O9</f>
        <v>11.917667010309279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23</v>
      </c>
      <c r="D10" s="37">
        <v>41985</v>
      </c>
      <c r="E10" s="38" t="s">
        <v>9</v>
      </c>
      <c r="F10" s="39" t="s">
        <v>9</v>
      </c>
      <c r="G10" s="40">
        <v>6</v>
      </c>
      <c r="H10" s="62">
        <v>1</v>
      </c>
      <c r="I10" s="63">
        <v>9</v>
      </c>
      <c r="J10" s="64">
        <v>1022</v>
      </c>
      <c r="K10" s="65">
        <v>209</v>
      </c>
      <c r="L10" s="66">
        <f>K10/H10</f>
        <v>209</v>
      </c>
      <c r="M10" s="67">
        <f>+J10/K10</f>
        <v>4.8899521531100483</v>
      </c>
      <c r="N10" s="68">
        <f>8510.8+3886.5+2097.5+617+108+1288+1217+2387+1022</f>
        <v>21133.8</v>
      </c>
      <c r="O10" s="69">
        <f>645+331+220+36+14+161+265+494+209</f>
        <v>2375</v>
      </c>
      <c r="P10" s="70">
        <f>N10/O10</f>
        <v>8.8984421052631575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38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39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100</v>
      </c>
      <c r="I6" s="50">
        <v>2</v>
      </c>
      <c r="J6" s="53">
        <v>222136.17</v>
      </c>
      <c r="K6" s="16">
        <v>24128</v>
      </c>
      <c r="L6" s="51">
        <f>K6/H6</f>
        <v>241.28</v>
      </c>
      <c r="M6" s="52">
        <f>+J6/K6</f>
        <v>9.2065720324933693</v>
      </c>
      <c r="N6" s="54">
        <f>4241+362258.96+222136.17</f>
        <v>588636.13</v>
      </c>
      <c r="O6" s="55">
        <f>748+36807+24128</f>
        <v>61683</v>
      </c>
      <c r="P6" s="56">
        <f>N6/O6</f>
        <v>9.542923171700469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6</v>
      </c>
      <c r="I7" s="20">
        <v>11</v>
      </c>
      <c r="J7" s="21">
        <v>14194.5</v>
      </c>
      <c r="K7" s="22">
        <v>1502</v>
      </c>
      <c r="L7" s="23">
        <f>K7/H7</f>
        <v>250.33333333333334</v>
      </c>
      <c r="M7" s="24">
        <f>+J7/K7</f>
        <v>9.4503994673768315</v>
      </c>
      <c r="N7" s="25">
        <f>1099708.11+593370.74+224185+52839.5+17039.5+9578+7414+5098+4983.5+10660.5+14194.5</f>
        <v>2039071.35</v>
      </c>
      <c r="O7" s="26">
        <f>102148+56106+22339+5539+1692+934+809+597+525+1619+1502</f>
        <v>193810</v>
      </c>
      <c r="P7" s="27">
        <f>N7/O7</f>
        <v>10.520981115525515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23</v>
      </c>
      <c r="D8" s="58">
        <v>41985</v>
      </c>
      <c r="E8" s="59" t="s">
        <v>9</v>
      </c>
      <c r="F8" s="60" t="s">
        <v>9</v>
      </c>
      <c r="G8" s="61">
        <v>6</v>
      </c>
      <c r="H8" s="19">
        <v>2</v>
      </c>
      <c r="I8" s="20">
        <v>8</v>
      </c>
      <c r="J8" s="21">
        <v>2387</v>
      </c>
      <c r="K8" s="22">
        <v>494</v>
      </c>
      <c r="L8" s="23">
        <f>K8/H8</f>
        <v>247</v>
      </c>
      <c r="M8" s="24">
        <f>+J8/K8</f>
        <v>4.831983805668016</v>
      </c>
      <c r="N8" s="25">
        <f>8510.8+3886.5+2097.5+617+108+1288+1217+2387</f>
        <v>20111.8</v>
      </c>
      <c r="O8" s="26">
        <f>645+331+220+36+14+161+265+494</f>
        <v>2166</v>
      </c>
      <c r="P8" s="27">
        <f>N8/O8</f>
        <v>9.2852262234533693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40</v>
      </c>
      <c r="D9" s="58">
        <v>41747</v>
      </c>
      <c r="E9" s="59" t="s">
        <v>9</v>
      </c>
      <c r="F9" s="60" t="s">
        <v>9</v>
      </c>
      <c r="G9" s="61">
        <v>27</v>
      </c>
      <c r="H9" s="19">
        <v>1</v>
      </c>
      <c r="I9" s="20">
        <v>27</v>
      </c>
      <c r="J9" s="21">
        <v>1782</v>
      </c>
      <c r="K9" s="22">
        <v>356</v>
      </c>
      <c r="L9" s="23">
        <f t="shared" ref="L9" si="1">K9/H9</f>
        <v>356</v>
      </c>
      <c r="M9" s="24">
        <f t="shared" ref="M9" si="2">+J9/K9</f>
        <v>5.0056179775280896</v>
      </c>
      <c r="N9" s="25">
        <f>186153.66+73200.86+7974.97+3137.5+2235.5+2569.5+1951+3923.5+2028.5+2570+1951+851+280.5+1284+387.5+714.5+19.5+377+84.5+528+2376+200+244+2451+7128+1425.6+1782</f>
        <v>307829.08999999997</v>
      </c>
      <c r="O9" s="26">
        <f>17828+6634+897+384+272+355+277+539+259+316+258+106+40+183+51+100+3+58+13+44+475+38+48+490+1426+285+356</f>
        <v>31735</v>
      </c>
      <c r="P9" s="27">
        <f t="shared" ref="P9" si="3">N9/O9</f>
        <v>9.6999870805104766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14</v>
      </c>
      <c r="J10" s="64">
        <v>1455</v>
      </c>
      <c r="K10" s="65">
        <v>113</v>
      </c>
      <c r="L10" s="66">
        <f>K10/H10</f>
        <v>113</v>
      </c>
      <c r="M10" s="67">
        <f>+J10/K10</f>
        <v>12.876106194690266</v>
      </c>
      <c r="N10" s="68">
        <f>86853.81+54964.43+34022.66+23560.33+8123.41+7604.5+3529.5+2609+1898+2251.6+1218+977.5+1040+1455</f>
        <v>230107.74</v>
      </c>
      <c r="O10" s="69">
        <f>7232+4293+2509+1779+817+649+331+264+501+432+243+78+73+113</f>
        <v>19314</v>
      </c>
      <c r="P10" s="70">
        <f>N10/O10</f>
        <v>11.914038521279901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35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36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37</v>
      </c>
      <c r="D6" s="45">
        <v>42027</v>
      </c>
      <c r="E6" s="46" t="s">
        <v>9</v>
      </c>
      <c r="F6" s="47" t="s">
        <v>9</v>
      </c>
      <c r="G6" s="48">
        <v>64</v>
      </c>
      <c r="H6" s="49">
        <v>115</v>
      </c>
      <c r="I6" s="50">
        <v>1</v>
      </c>
      <c r="J6" s="53">
        <v>362258.96</v>
      </c>
      <c r="K6" s="16">
        <v>36807</v>
      </c>
      <c r="L6" s="51">
        <f>K6/H6</f>
        <v>320.06086956521739</v>
      </c>
      <c r="M6" s="52">
        <f>+J6/K6</f>
        <v>9.8421213356155093</v>
      </c>
      <c r="N6" s="54">
        <f>4241+362258.96</f>
        <v>366499.96</v>
      </c>
      <c r="O6" s="55">
        <f>748+36807</f>
        <v>37555</v>
      </c>
      <c r="P6" s="56">
        <f>N6/O6</f>
        <v>9.7590190387431779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10</v>
      </c>
      <c r="J7" s="21">
        <v>10660.5</v>
      </c>
      <c r="K7" s="22">
        <v>1619</v>
      </c>
      <c r="L7" s="23">
        <f>K7/H7</f>
        <v>323.8</v>
      </c>
      <c r="M7" s="24">
        <f>+J7/K7</f>
        <v>6.5846201358863494</v>
      </c>
      <c r="N7" s="25">
        <f>1099708.11+593370.74+224185+52839.5+17039.5+9578+7414+5098+4983.5+10660.5</f>
        <v>2024876.85</v>
      </c>
      <c r="O7" s="26">
        <f>102148+56106+22339+5539+1692+934+809+597+525+1619</f>
        <v>192308</v>
      </c>
      <c r="P7" s="27">
        <f>N7/O7</f>
        <v>10.529342773051564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19</v>
      </c>
      <c r="D8" s="58">
        <v>41831</v>
      </c>
      <c r="E8" s="59" t="s">
        <v>9</v>
      </c>
      <c r="F8" s="60" t="s">
        <v>20</v>
      </c>
      <c r="G8" s="61">
        <v>35</v>
      </c>
      <c r="H8" s="19">
        <v>1</v>
      </c>
      <c r="I8" s="20">
        <v>16</v>
      </c>
      <c r="J8" s="21">
        <v>1425.6</v>
      </c>
      <c r="K8" s="22">
        <v>285</v>
      </c>
      <c r="L8" s="23">
        <f>K8/H8</f>
        <v>285</v>
      </c>
      <c r="M8" s="24">
        <f>+J8/K8</f>
        <v>5.0021052631578948</v>
      </c>
      <c r="N8" s="25">
        <f>204425.4+130339.21+47866.4+41040.53+24854.45+10673+4557.5+1594+1611.5+4273+260+202.5+1010+8553.6+1425.6+1425.6</f>
        <v>484112.29</v>
      </c>
      <c r="O8" s="26">
        <f>19421+12650+4370+3566+2047+958+545+202+192+659+33+26+109+1176+285+285</f>
        <v>46524</v>
      </c>
      <c r="P8" s="27">
        <f>N8/O8</f>
        <v>10.405646333075401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7</v>
      </c>
      <c r="J9" s="21">
        <v>1217</v>
      </c>
      <c r="K9" s="22">
        <v>265</v>
      </c>
      <c r="L9" s="23">
        <f>K9/H9</f>
        <v>265</v>
      </c>
      <c r="M9" s="24">
        <f>+J9/K9</f>
        <v>4.5924528301886793</v>
      </c>
      <c r="N9" s="25">
        <f>8510.8+3886.5+2097.5+617+108+1288+1217</f>
        <v>17724.8</v>
      </c>
      <c r="O9" s="26">
        <f>645+331+220+36+14+161+265</f>
        <v>1672</v>
      </c>
      <c r="P9" s="27">
        <f>N9/O9</f>
        <v>10.600956937799042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13</v>
      </c>
      <c r="J10" s="64">
        <v>1040</v>
      </c>
      <c r="K10" s="65">
        <v>73</v>
      </c>
      <c r="L10" s="66">
        <f>K10/H10</f>
        <v>73</v>
      </c>
      <c r="M10" s="67">
        <f>+J10/K10</f>
        <v>14.246575342465754</v>
      </c>
      <c r="N10" s="68">
        <f>86853.81+54964.43+34022.66+23560.33+8123.41+7604.5+3529.5+2609+1898+2251.6+1218+977.5+1040</f>
        <v>228652.74</v>
      </c>
      <c r="O10" s="69">
        <f>7232+4293+2509+1779+817+649+331+264+501+432+243+78+73</f>
        <v>19201</v>
      </c>
      <c r="P10" s="70">
        <f>N10/O10</f>
        <v>11.908376647049632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31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32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28</v>
      </c>
      <c r="D6" s="45">
        <v>41866</v>
      </c>
      <c r="E6" s="46" t="s">
        <v>9</v>
      </c>
      <c r="F6" s="47" t="s">
        <v>29</v>
      </c>
      <c r="G6" s="48">
        <v>31</v>
      </c>
      <c r="H6" s="49">
        <v>2</v>
      </c>
      <c r="I6" s="50">
        <v>22</v>
      </c>
      <c r="J6" s="53">
        <v>6211</v>
      </c>
      <c r="K6" s="16">
        <v>643</v>
      </c>
      <c r="L6" s="51">
        <f>K6/H6</f>
        <v>321.5</v>
      </c>
      <c r="M6" s="52">
        <f>+J6/K6</f>
        <v>9.6594090202177298</v>
      </c>
      <c r="N6" s="54">
        <f>166393.25+120953.88+26778.83+15413.16+8141+9655+7141+22668+12148+7305+4200+124+102+212+223+1619+804+2201+992+1988+3344+6211</f>
        <v>418617.12</v>
      </c>
      <c r="O6" s="55">
        <f>16398+11920+2425+1471+815+935+859+2615+1401+831+549+16+14+27+29+174+87+240+98+249+365+643</f>
        <v>42161</v>
      </c>
      <c r="P6" s="56">
        <f>N6/O6</f>
        <v>9.9290130689499776</v>
      </c>
      <c r="Q6" s="29"/>
      <c r="R6" s="5"/>
    </row>
    <row r="7" spans="1:18" s="3" customFormat="1" ht="22.5" customHeight="1" x14ac:dyDescent="0.25">
      <c r="B7" s="18">
        <f t="shared" ref="B7:B10" si="0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9</v>
      </c>
      <c r="J7" s="21">
        <v>4983.5</v>
      </c>
      <c r="K7" s="22">
        <v>525</v>
      </c>
      <c r="L7" s="23">
        <f>K7/H7</f>
        <v>131.25</v>
      </c>
      <c r="M7" s="24">
        <f>+J7/K7</f>
        <v>9.4923809523809517</v>
      </c>
      <c r="N7" s="25">
        <f>1099708.11+593370.74+224185+52839.5+17039.5+9578+7414+5098+4983.5</f>
        <v>2014216.35</v>
      </c>
      <c r="O7" s="26">
        <f>102148+56106+22339+5539+1692+934+809+597+525</f>
        <v>190689</v>
      </c>
      <c r="P7" s="27">
        <f>N7/O7</f>
        <v>10.562834510642984</v>
      </c>
      <c r="Q7" s="29"/>
      <c r="R7" s="5"/>
    </row>
    <row r="8" spans="1:18" s="3" customFormat="1" ht="22.5" customHeight="1" x14ac:dyDescent="0.25">
      <c r="B8" s="18">
        <f t="shared" si="0"/>
        <v>3</v>
      </c>
      <c r="C8" s="57" t="s">
        <v>21</v>
      </c>
      <c r="D8" s="58">
        <v>41915</v>
      </c>
      <c r="E8" s="59" t="s">
        <v>9</v>
      </c>
      <c r="F8" s="60" t="s">
        <v>20</v>
      </c>
      <c r="G8" s="61">
        <v>52</v>
      </c>
      <c r="H8" s="19">
        <v>1</v>
      </c>
      <c r="I8" s="20">
        <v>15</v>
      </c>
      <c r="J8" s="21">
        <v>2376</v>
      </c>
      <c r="K8" s="22">
        <v>475</v>
      </c>
      <c r="L8" s="23">
        <f>K8/H8</f>
        <v>475</v>
      </c>
      <c r="M8" s="24">
        <f>+J8/K8</f>
        <v>5.0021052631578948</v>
      </c>
      <c r="N8" s="25">
        <f>917082.76+408148.93+229733.98+293566.8+49586.5+3383+1551.5+689+116+162+2648+22.5+69+592+2376</f>
        <v>1909727.97</v>
      </c>
      <c r="O8" s="26">
        <f>78453+36692+20370+24581+3906+438+199+89+14+20+350+3+10+75+475</f>
        <v>165675</v>
      </c>
      <c r="P8" s="27">
        <f>N8/O8</f>
        <v>11.526953191489362</v>
      </c>
      <c r="Q8" s="29"/>
      <c r="R8" s="5"/>
    </row>
    <row r="9" spans="1:18" s="3" customFormat="1" ht="22.5" customHeight="1" x14ac:dyDescent="0.25">
      <c r="B9" s="18">
        <f t="shared" si="0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6</v>
      </c>
      <c r="J9" s="21">
        <v>1288</v>
      </c>
      <c r="K9" s="22">
        <v>161</v>
      </c>
      <c r="L9" s="23">
        <f>K9/H9</f>
        <v>161</v>
      </c>
      <c r="M9" s="24">
        <f>+J9/K9</f>
        <v>8</v>
      </c>
      <c r="N9" s="25">
        <f>8510.8+3886.5+2097.5+617+108+1288</f>
        <v>16507.8</v>
      </c>
      <c r="O9" s="26">
        <f>645+331+220+36+14+161</f>
        <v>1407</v>
      </c>
      <c r="P9" s="27">
        <f>N9/O9</f>
        <v>11.732622601279317</v>
      </c>
      <c r="Q9" s="29"/>
      <c r="R9" s="5"/>
    </row>
    <row r="10" spans="1:18" s="3" customFormat="1" ht="22.5" customHeight="1" thickBot="1" x14ac:dyDescent="0.3">
      <c r="B10" s="4">
        <f t="shared" si="0"/>
        <v>5</v>
      </c>
      <c r="C10" s="36" t="s">
        <v>33</v>
      </c>
      <c r="D10" s="37">
        <v>41873</v>
      </c>
      <c r="E10" s="38" t="s">
        <v>9</v>
      </c>
      <c r="F10" s="39" t="s">
        <v>34</v>
      </c>
      <c r="G10" s="40">
        <v>27</v>
      </c>
      <c r="H10" s="62">
        <v>1</v>
      </c>
      <c r="I10" s="63">
        <v>12</v>
      </c>
      <c r="J10" s="64">
        <v>977.5</v>
      </c>
      <c r="K10" s="65">
        <v>78</v>
      </c>
      <c r="L10" s="66">
        <f>K10/H10</f>
        <v>78</v>
      </c>
      <c r="M10" s="67">
        <f>+J10/K10</f>
        <v>12.532051282051283</v>
      </c>
      <c r="N10" s="68">
        <f>86853.81+54964.43+34022.66+23560.33+8123.41+7604.5+3529.5+2609+1898+2251.6+1218+977.5</f>
        <v>227612.74</v>
      </c>
      <c r="O10" s="69">
        <f>7232+4293+2509+1779+817+649+331+264+501+432+243+78</f>
        <v>19128</v>
      </c>
      <c r="P10" s="70">
        <f>N10/O10</f>
        <v>11.899453157674612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26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27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8</v>
      </c>
      <c r="J6" s="53">
        <v>5098</v>
      </c>
      <c r="K6" s="16">
        <v>597</v>
      </c>
      <c r="L6" s="51">
        <f t="shared" ref="L6" si="0">K6/H6</f>
        <v>119.4</v>
      </c>
      <c r="M6" s="52">
        <f t="shared" ref="M6" si="1">+J6/K6</f>
        <v>8.5393634840871027</v>
      </c>
      <c r="N6" s="54">
        <f>1099708.11+593370.74+224185+52839.5+17039.5+9578+7414+5098</f>
        <v>2009232.85</v>
      </c>
      <c r="O6" s="55">
        <f>102148+56106+22339+5539+1692+934+809+597</f>
        <v>190164</v>
      </c>
      <c r="P6" s="56">
        <f t="shared" ref="P6" si="2">N6/O6</f>
        <v>10.565789791969038</v>
      </c>
      <c r="Q6" s="29"/>
      <c r="R6" s="5"/>
    </row>
    <row r="7" spans="1:18" s="3" customFormat="1" ht="22.5" customHeight="1" x14ac:dyDescent="0.25">
      <c r="B7" s="18">
        <f t="shared" ref="B7:B9" si="3">B6+1</f>
        <v>2</v>
      </c>
      <c r="C7" s="57" t="s">
        <v>28</v>
      </c>
      <c r="D7" s="58">
        <v>41866</v>
      </c>
      <c r="E7" s="59" t="s">
        <v>9</v>
      </c>
      <c r="F7" s="60" t="s">
        <v>29</v>
      </c>
      <c r="G7" s="61">
        <v>31</v>
      </c>
      <c r="H7" s="19">
        <v>3</v>
      </c>
      <c r="I7" s="20">
        <v>21</v>
      </c>
      <c r="J7" s="21">
        <v>3344</v>
      </c>
      <c r="K7" s="22">
        <v>365</v>
      </c>
      <c r="L7" s="23">
        <f>K7/H7</f>
        <v>121.66666666666667</v>
      </c>
      <c r="M7" s="24">
        <f>+J7/K7</f>
        <v>9.161643835616438</v>
      </c>
      <c r="N7" s="25">
        <f>166393.25+120953.88+26778.83+15413.16+8141+9655+7141+22668+12148+7305+4200+124+102+212+223+1619+804+2201+992+1988+3344</f>
        <v>412406.12</v>
      </c>
      <c r="O7" s="26">
        <f>16398+11920+2425+1471+815+935+859+2615+1401+831+549+16+14+27+29+174+87+240+98+249+365</f>
        <v>41518</v>
      </c>
      <c r="P7" s="27">
        <f>N7/O7</f>
        <v>9.9331884965557098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30</v>
      </c>
      <c r="D8" s="58">
        <v>41782</v>
      </c>
      <c r="E8" s="59" t="s">
        <v>9</v>
      </c>
      <c r="F8" s="60" t="s">
        <v>9</v>
      </c>
      <c r="G8" s="61">
        <v>30</v>
      </c>
      <c r="H8" s="19">
        <v>1</v>
      </c>
      <c r="I8" s="20">
        <v>23</v>
      </c>
      <c r="J8" s="21">
        <v>790</v>
      </c>
      <c r="K8" s="22">
        <v>154</v>
      </c>
      <c r="L8" s="23">
        <f>K8/H8</f>
        <v>154</v>
      </c>
      <c r="M8" s="24">
        <f>+J8/K8</f>
        <v>5.1298701298701301</v>
      </c>
      <c r="N8" s="25">
        <f>95967.35+76227.39+34644.5+27256+29590.5+12797.63+9801.17+8948.5+7152.5+16352.94+12150.29+7448.1+8486.06+7400.64+5579.56+3486.52+760+1010+454+162+694+385+790</f>
        <v>367544.64999999997</v>
      </c>
      <c r="O8" s="26">
        <f>9552+7384+3615+3071+3349+1439+1120+971+812+1886+1381+880+989+926+692+485+91+116+49+24+62+55+154</f>
        <v>39103</v>
      </c>
      <c r="P8" s="27">
        <f>N8/O8</f>
        <v>9.3993977444185859</v>
      </c>
      <c r="Q8" s="29"/>
      <c r="R8" s="5"/>
    </row>
    <row r="9" spans="1:18" s="3" customFormat="1" ht="22.5" customHeight="1" thickBot="1" x14ac:dyDescent="0.3">
      <c r="B9" s="4">
        <f t="shared" si="3"/>
        <v>4</v>
      </c>
      <c r="C9" s="36" t="s">
        <v>23</v>
      </c>
      <c r="D9" s="37">
        <v>41985</v>
      </c>
      <c r="E9" s="38" t="s">
        <v>9</v>
      </c>
      <c r="F9" s="39" t="s">
        <v>9</v>
      </c>
      <c r="G9" s="40">
        <v>6</v>
      </c>
      <c r="H9" s="62">
        <v>3</v>
      </c>
      <c r="I9" s="63">
        <v>5</v>
      </c>
      <c r="J9" s="64">
        <v>108</v>
      </c>
      <c r="K9" s="65">
        <v>14</v>
      </c>
      <c r="L9" s="66">
        <f>K9/H9</f>
        <v>4.666666666666667</v>
      </c>
      <c r="M9" s="67">
        <f>+J9/K9</f>
        <v>7.7142857142857144</v>
      </c>
      <c r="N9" s="68">
        <f>8510.8+3886.5+2097.5+617+108</f>
        <v>15219.8</v>
      </c>
      <c r="O9" s="69">
        <f>645+331+220+36+14</f>
        <v>1246</v>
      </c>
      <c r="P9" s="70">
        <f>N9/O9</f>
        <v>12.214927768860353</v>
      </c>
      <c r="Q9" s="29"/>
      <c r="R9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workbookViewId="0">
      <selection activeCell="B5" sqref="B5"/>
    </sheetView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12.7109375" style="6" customWidth="1"/>
    <col min="6" max="6" width="9.710937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3" style="7" customWidth="1"/>
    <col min="18" max="16384" width="9.140625" style="7"/>
  </cols>
  <sheetData>
    <row r="1" spans="1:18" ht="4.5" customHeight="1" thickBot="1" x14ac:dyDescent="0.3">
      <c r="A1" s="6">
        <v>3</v>
      </c>
    </row>
    <row r="2" spans="1:18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24</v>
      </c>
      <c r="P2" s="91"/>
    </row>
    <row r="3" spans="1:18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25</v>
      </c>
      <c r="P3" s="93"/>
    </row>
    <row r="4" spans="1:18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</row>
    <row r="5" spans="1:18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8"/>
    </row>
    <row r="6" spans="1:18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5</v>
      </c>
      <c r="I6" s="50">
        <v>7</v>
      </c>
      <c r="J6" s="53">
        <v>7414</v>
      </c>
      <c r="K6" s="16">
        <v>809</v>
      </c>
      <c r="L6" s="51">
        <f t="shared" ref="L6:L10" si="0">K6/H6</f>
        <v>161.80000000000001</v>
      </c>
      <c r="M6" s="52">
        <f t="shared" ref="M6:M10" si="1">+J6/K6</f>
        <v>9.1644004944375776</v>
      </c>
      <c r="N6" s="54">
        <f>1099708.11+593370.74+224185+52839.5+17039.5+9578+7414</f>
        <v>2004134.85</v>
      </c>
      <c r="O6" s="55">
        <f>102148+56106+22339+5539+1692+934+809</f>
        <v>189567</v>
      </c>
      <c r="P6" s="56">
        <f t="shared" ref="P6:P10" si="2">N6/O6</f>
        <v>10.572171580496606</v>
      </c>
      <c r="Q6" s="29"/>
      <c r="R6" s="5"/>
    </row>
    <row r="7" spans="1:18" s="3" customFormat="1" ht="22.5" customHeight="1" x14ac:dyDescent="0.25">
      <c r="B7" s="18">
        <f t="shared" ref="B7:B10" si="3">B6+1</f>
        <v>2</v>
      </c>
      <c r="C7" s="57" t="s">
        <v>19</v>
      </c>
      <c r="D7" s="58">
        <v>41831</v>
      </c>
      <c r="E7" s="59" t="s">
        <v>9</v>
      </c>
      <c r="F7" s="60" t="s">
        <v>20</v>
      </c>
      <c r="G7" s="61">
        <v>35</v>
      </c>
      <c r="H7" s="19">
        <v>1</v>
      </c>
      <c r="I7" s="20">
        <v>15</v>
      </c>
      <c r="J7" s="21">
        <v>1425.6</v>
      </c>
      <c r="K7" s="22">
        <v>285</v>
      </c>
      <c r="L7" s="23">
        <f>K7/H7</f>
        <v>285</v>
      </c>
      <c r="M7" s="24">
        <f>+J7/K7</f>
        <v>5.0021052631578948</v>
      </c>
      <c r="N7" s="25">
        <f>204425.4+130339.21+47866.4+41040.53+24854.45+10673+4557.5+1594+1611.5+4273+260+202.5+1010+8553.6+1425.6</f>
        <v>482686.69</v>
      </c>
      <c r="O7" s="26">
        <f>19421+12650+4370+3566+2047+958+545+202+192+659+33+26+109+1176+285</f>
        <v>46239</v>
      </c>
      <c r="P7" s="27">
        <f>N7/O7</f>
        <v>10.43895175068665</v>
      </c>
      <c r="Q7" s="29"/>
      <c r="R7" s="5"/>
    </row>
    <row r="8" spans="1:18" s="3" customFormat="1" ht="22.5" customHeight="1" x14ac:dyDescent="0.25">
      <c r="B8" s="18">
        <f t="shared" si="3"/>
        <v>3</v>
      </c>
      <c r="C8" s="57" t="s">
        <v>17</v>
      </c>
      <c r="D8" s="58">
        <v>41824</v>
      </c>
      <c r="E8" s="59" t="s">
        <v>9</v>
      </c>
      <c r="F8" s="60" t="s">
        <v>18</v>
      </c>
      <c r="G8" s="61">
        <v>32</v>
      </c>
      <c r="H8" s="19">
        <v>1</v>
      </c>
      <c r="I8" s="20">
        <v>17</v>
      </c>
      <c r="J8" s="21">
        <v>950.4</v>
      </c>
      <c r="K8" s="22">
        <v>190</v>
      </c>
      <c r="L8" s="23">
        <f t="shared" ref="L8" si="4">K8/H8</f>
        <v>190</v>
      </c>
      <c r="M8" s="24">
        <f t="shared" ref="M8" si="5">+J8/K8</f>
        <v>5.0021052631578948</v>
      </c>
      <c r="N8" s="25">
        <f>32706.88+12882.41+6333.12+6483.62+4511.26+5741+4355+3243+1066.5+593+509+337+113+162+78+76+950.4</f>
        <v>80141.19</v>
      </c>
      <c r="O8" s="26">
        <f>3102+1318+704+809+562+700+596+539+215+94+84+50+17+29+10+10+190</f>
        <v>9029</v>
      </c>
      <c r="P8" s="27">
        <f t="shared" ref="P8" si="6">N8/O8</f>
        <v>8.8759762985934216</v>
      </c>
      <c r="Q8" s="29"/>
      <c r="R8" s="5"/>
    </row>
    <row r="9" spans="1:18" s="3" customFormat="1" ht="22.5" customHeight="1" x14ac:dyDescent="0.25">
      <c r="B9" s="18">
        <f t="shared" si="3"/>
        <v>4</v>
      </c>
      <c r="C9" s="57" t="s">
        <v>23</v>
      </c>
      <c r="D9" s="58">
        <v>41985</v>
      </c>
      <c r="E9" s="59" t="s">
        <v>9</v>
      </c>
      <c r="F9" s="60" t="s">
        <v>9</v>
      </c>
      <c r="G9" s="61">
        <v>6</v>
      </c>
      <c r="H9" s="19">
        <v>1</v>
      </c>
      <c r="I9" s="20">
        <v>4</v>
      </c>
      <c r="J9" s="21">
        <v>617</v>
      </c>
      <c r="K9" s="22">
        <v>36</v>
      </c>
      <c r="L9" s="23">
        <f>K9/H9</f>
        <v>36</v>
      </c>
      <c r="M9" s="24">
        <f>+J9/K9</f>
        <v>17.138888888888889</v>
      </c>
      <c r="N9" s="25">
        <f>8510.8+3886.5+2097.5+617</f>
        <v>15111.8</v>
      </c>
      <c r="O9" s="26">
        <f>645+331+220+36</f>
        <v>1232</v>
      </c>
      <c r="P9" s="27">
        <f>N9/O9</f>
        <v>12.266071428571427</v>
      </c>
      <c r="Q9" s="29"/>
      <c r="R9" s="5"/>
    </row>
    <row r="10" spans="1:18" s="3" customFormat="1" ht="22.5" customHeight="1" thickBot="1" x14ac:dyDescent="0.3">
      <c r="B10" s="4">
        <f t="shared" si="3"/>
        <v>5</v>
      </c>
      <c r="C10" s="36" t="s">
        <v>21</v>
      </c>
      <c r="D10" s="37">
        <v>41915</v>
      </c>
      <c r="E10" s="38" t="s">
        <v>9</v>
      </c>
      <c r="F10" s="39" t="s">
        <v>20</v>
      </c>
      <c r="G10" s="40">
        <v>52</v>
      </c>
      <c r="H10" s="30">
        <v>2</v>
      </c>
      <c r="I10" s="31">
        <v>14</v>
      </c>
      <c r="J10" s="32">
        <v>592</v>
      </c>
      <c r="K10" s="33">
        <v>75</v>
      </c>
      <c r="L10" s="41">
        <f t="shared" si="0"/>
        <v>37.5</v>
      </c>
      <c r="M10" s="42">
        <f t="shared" si="1"/>
        <v>7.8933333333333335</v>
      </c>
      <c r="N10" s="34">
        <f>917082.76+408148.93+229733.98+293566.8+49586.5+3383+1551.5+689+116+162+2648+22.5+69+592</f>
        <v>1907351.97</v>
      </c>
      <c r="O10" s="35">
        <f>78453+36692+20370+24581+3906+438+199+89+14+20+350+3+10+75</f>
        <v>165200</v>
      </c>
      <c r="P10" s="43">
        <f t="shared" si="2"/>
        <v>11.545714104116223</v>
      </c>
      <c r="Q10" s="29"/>
      <c r="R10" s="5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4" orientation="landscape" horizontalDpi="0" verticalDpi="0" r:id="rId1"/>
  <ignoredErrors>
    <ignoredError sqref="O6:O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106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107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108</v>
      </c>
      <c r="D6" s="45">
        <v>42188</v>
      </c>
      <c r="E6" s="46" t="s">
        <v>9</v>
      </c>
      <c r="F6" s="47" t="s">
        <v>9</v>
      </c>
      <c r="G6" s="48">
        <v>12</v>
      </c>
      <c r="H6" s="49">
        <v>36</v>
      </c>
      <c r="I6" s="50">
        <v>1</v>
      </c>
      <c r="J6" s="53">
        <v>33892.1</v>
      </c>
      <c r="K6" s="16">
        <v>2557</v>
      </c>
      <c r="L6" s="51">
        <f t="shared" ref="L6" si="0">K6/H6</f>
        <v>71.027777777777771</v>
      </c>
      <c r="M6" s="52">
        <f t="shared" ref="M6" si="1">+J6/K6</f>
        <v>13.254634337113805</v>
      </c>
      <c r="N6" s="54">
        <f>33892.1</f>
        <v>33892.1</v>
      </c>
      <c r="O6" s="55">
        <f>2557</f>
        <v>2557</v>
      </c>
      <c r="P6" s="56">
        <f t="shared" ref="P6" si="2">N6/O6</f>
        <v>13.254634337113805</v>
      </c>
      <c r="Q6" s="29"/>
      <c r="R6" s="29"/>
      <c r="S6" s="29"/>
    </row>
    <row r="7" spans="1:19" s="3" customFormat="1" ht="22.5" customHeight="1" x14ac:dyDescent="0.25">
      <c r="B7" s="18">
        <f t="shared" ref="B7:B17" si="3">B6+1</f>
        <v>2</v>
      </c>
      <c r="C7" s="57" t="s">
        <v>103</v>
      </c>
      <c r="D7" s="58">
        <v>42181</v>
      </c>
      <c r="E7" s="59" t="s">
        <v>9</v>
      </c>
      <c r="F7" s="60" t="s">
        <v>104</v>
      </c>
      <c r="G7" s="61">
        <v>23</v>
      </c>
      <c r="H7" s="19">
        <v>32</v>
      </c>
      <c r="I7" s="20">
        <v>2</v>
      </c>
      <c r="J7" s="21">
        <v>29032.73</v>
      </c>
      <c r="K7" s="22">
        <v>2375</v>
      </c>
      <c r="L7" s="23">
        <f t="shared" ref="L7:L14" si="4">K7/H7</f>
        <v>74.21875</v>
      </c>
      <c r="M7" s="24">
        <f t="shared" ref="M7:M14" si="5">+J7/K7</f>
        <v>12.224307368421053</v>
      </c>
      <c r="N7" s="25">
        <f>67551+29032.73</f>
        <v>96583.73</v>
      </c>
      <c r="O7" s="26">
        <f>5607+2375</f>
        <v>7982</v>
      </c>
      <c r="P7" s="27">
        <f t="shared" ref="P7:P14" si="6">N7/O7</f>
        <v>12.100191681282887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37</v>
      </c>
      <c r="D8" s="58">
        <v>42027</v>
      </c>
      <c r="E8" s="59" t="s">
        <v>9</v>
      </c>
      <c r="F8" s="60" t="s">
        <v>9</v>
      </c>
      <c r="G8" s="61">
        <v>64</v>
      </c>
      <c r="H8" s="19">
        <v>1</v>
      </c>
      <c r="I8" s="20">
        <v>17</v>
      </c>
      <c r="J8" s="21">
        <v>1782</v>
      </c>
      <c r="K8" s="22">
        <v>356</v>
      </c>
      <c r="L8" s="23">
        <f t="shared" ref="L8" si="7">K8/H8</f>
        <v>356</v>
      </c>
      <c r="M8" s="24">
        <f t="shared" ref="M8" si="8">+J8/K8</f>
        <v>5.0056179775280896</v>
      </c>
      <c r="N8" s="25">
        <f>4241+362258.96+222136.17+49398.98+7963+5272.5+3175+2140+739+469+91+2372+2393+1550+1155+2464+72+1782</f>
        <v>669672.61</v>
      </c>
      <c r="O8" s="26">
        <f>748+36807+24128+5499+982+687+504+269+97+64+13+438+360+285+253+487+10+356</f>
        <v>71987</v>
      </c>
      <c r="P8" s="27">
        <f t="shared" ref="P8" si="9">N8/O8</f>
        <v>9.3026881242446553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2</v>
      </c>
      <c r="I9" s="20">
        <v>8</v>
      </c>
      <c r="J9" s="21">
        <v>1765</v>
      </c>
      <c r="K9" s="22">
        <v>169</v>
      </c>
      <c r="L9" s="23">
        <f>K9/H9</f>
        <v>84.5</v>
      </c>
      <c r="M9" s="24">
        <f>+J9/K9</f>
        <v>10.44378698224852</v>
      </c>
      <c r="N9" s="25">
        <f>150395.08+52946.08+3011.5+1726+142+1745+755+1765</f>
        <v>212485.65999999997</v>
      </c>
      <c r="O9" s="26">
        <f>14539+4867+346+172+14+208+97+169</f>
        <v>20412</v>
      </c>
      <c r="P9" s="27">
        <f>N9/O9</f>
        <v>10.409840290025475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58</v>
      </c>
      <c r="D10" s="58">
        <v>42076</v>
      </c>
      <c r="E10" s="59" t="s">
        <v>9</v>
      </c>
      <c r="F10" s="60" t="s">
        <v>9</v>
      </c>
      <c r="G10" s="61">
        <v>66</v>
      </c>
      <c r="H10" s="19">
        <v>1</v>
      </c>
      <c r="I10" s="20">
        <v>13</v>
      </c>
      <c r="J10" s="21">
        <v>1425.6</v>
      </c>
      <c r="K10" s="22">
        <v>285</v>
      </c>
      <c r="L10" s="23">
        <f>K10/H10</f>
        <v>285</v>
      </c>
      <c r="M10" s="24">
        <f>+J10/K10</f>
        <v>5.0021052631578948</v>
      </c>
      <c r="N10" s="25">
        <f>371891.95+241999.75+69894+20187.87+18724.1+22951.5+4635.5+1896+668+3460.6+242+394+1425.6</f>
        <v>758370.86999999988</v>
      </c>
      <c r="O10" s="26">
        <f>33703+24038+8305+2721+2351+2413+517+210+165+873+30+51+285</f>
        <v>75662</v>
      </c>
      <c r="P10" s="27">
        <f>N10/O10</f>
        <v>10.023140678279717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98</v>
      </c>
      <c r="D11" s="58">
        <v>42174</v>
      </c>
      <c r="E11" s="59" t="s">
        <v>9</v>
      </c>
      <c r="F11" s="60" t="s">
        <v>99</v>
      </c>
      <c r="G11" s="61">
        <v>46</v>
      </c>
      <c r="H11" s="19">
        <v>6</v>
      </c>
      <c r="I11" s="20">
        <v>3</v>
      </c>
      <c r="J11" s="21">
        <v>1217.5</v>
      </c>
      <c r="K11" s="22">
        <v>153</v>
      </c>
      <c r="L11" s="23">
        <f t="shared" si="4"/>
        <v>25.5</v>
      </c>
      <c r="M11" s="24">
        <f t="shared" si="5"/>
        <v>7.9575163398692812</v>
      </c>
      <c r="N11" s="25">
        <f>50986.55+6954.91+1217.5</f>
        <v>59158.960000000006</v>
      </c>
      <c r="O11" s="26">
        <f>5294+838+153</f>
        <v>6285</v>
      </c>
      <c r="P11" s="27">
        <f t="shared" si="6"/>
        <v>9.4127223548130488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21</v>
      </c>
      <c r="D12" s="58">
        <v>41915</v>
      </c>
      <c r="E12" s="59" t="s">
        <v>9</v>
      </c>
      <c r="F12" s="60" t="s">
        <v>20</v>
      </c>
      <c r="G12" s="61">
        <v>52</v>
      </c>
      <c r="H12" s="19">
        <v>1</v>
      </c>
      <c r="I12" s="20">
        <v>17</v>
      </c>
      <c r="J12" s="21">
        <v>950.4</v>
      </c>
      <c r="K12" s="22">
        <v>190</v>
      </c>
      <c r="L12" s="23">
        <f>K12/H12</f>
        <v>190</v>
      </c>
      <c r="M12" s="24">
        <f>+J12/K12</f>
        <v>5.0021052631578948</v>
      </c>
      <c r="N12" s="25">
        <f>917082.76+408148.93+229733.98+293566.8+49586.5+3383+1551.5+689+116+162+2648+22.5+69+592+2376+950.4+950.4</f>
        <v>1911628.7699999998</v>
      </c>
      <c r="O12" s="26">
        <f>78453+36692+20370+24581+3906+438+199+89+14+20+350+3+10+75+475+190+190</f>
        <v>166055</v>
      </c>
      <c r="P12" s="27">
        <f>N12/O12</f>
        <v>11.512021739785009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67</v>
      </c>
      <c r="D13" s="58">
        <v>42097</v>
      </c>
      <c r="E13" s="59" t="s">
        <v>9</v>
      </c>
      <c r="F13" s="60" t="s">
        <v>9</v>
      </c>
      <c r="G13" s="61">
        <v>23</v>
      </c>
      <c r="H13" s="19">
        <v>1</v>
      </c>
      <c r="I13" s="20">
        <v>7</v>
      </c>
      <c r="J13" s="21">
        <v>950.4</v>
      </c>
      <c r="K13" s="22">
        <v>190</v>
      </c>
      <c r="L13" s="23">
        <f t="shared" ref="L13" si="10">K13/H13</f>
        <v>190</v>
      </c>
      <c r="M13" s="24">
        <f t="shared" ref="M13" si="11">+J13/K13</f>
        <v>5.0021052631578948</v>
      </c>
      <c r="N13" s="25">
        <f>153138.55+92932.5+24506.5+5070+473.5+384.5+950.4</f>
        <v>277455.95</v>
      </c>
      <c r="O13" s="26">
        <f>11493+6804+2097+245+61+42+190</f>
        <v>20932</v>
      </c>
      <c r="P13" s="27">
        <f t="shared" ref="P13" si="12">N13/O13</f>
        <v>13.255109401872732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22</v>
      </c>
      <c r="D14" s="58">
        <v>41964</v>
      </c>
      <c r="E14" s="59" t="s">
        <v>9</v>
      </c>
      <c r="F14" s="60" t="s">
        <v>9</v>
      </c>
      <c r="G14" s="61">
        <v>58</v>
      </c>
      <c r="H14" s="19">
        <v>4</v>
      </c>
      <c r="I14" s="20">
        <v>33</v>
      </c>
      <c r="J14" s="21">
        <v>666</v>
      </c>
      <c r="K14" s="22">
        <v>96</v>
      </c>
      <c r="L14" s="23">
        <f t="shared" si="4"/>
        <v>24</v>
      </c>
      <c r="M14" s="24">
        <f t="shared" si="5"/>
        <v>6.9375</v>
      </c>
      <c r="N14" s="25">
        <f>1099708.11+593370.74+224185+52839.5+17039.5+9578+7414+5098+4983.5+10660.5+14194.5+2400+3550+2380.5+7656.5+4091.5+1713+2737+828+128+4019.35+696+742+3681+1237+1911+1320+2988+1801+2002+865+891+666</f>
        <v>2087375.2000000002</v>
      </c>
      <c r="O14" s="26">
        <f>102148+56106+22339+5539+1692+934+809+597+525+1619+1502+226+582+302+1163+486+470+558+154+16+730+93+96+595+155+233+216+393+237+257+118+138+96</f>
        <v>201124</v>
      </c>
      <c r="P14" s="27">
        <f t="shared" si="6"/>
        <v>10.378548557109047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84</v>
      </c>
      <c r="D15" s="58">
        <v>42139</v>
      </c>
      <c r="E15" s="59" t="s">
        <v>9</v>
      </c>
      <c r="F15" s="60" t="s">
        <v>29</v>
      </c>
      <c r="G15" s="61">
        <v>16</v>
      </c>
      <c r="H15" s="19">
        <v>2</v>
      </c>
      <c r="I15" s="20">
        <v>7</v>
      </c>
      <c r="J15" s="21">
        <v>512</v>
      </c>
      <c r="K15" s="22">
        <v>63</v>
      </c>
      <c r="L15" s="23">
        <f>K15/H15</f>
        <v>31.5</v>
      </c>
      <c r="M15" s="24">
        <f>+J15/K15</f>
        <v>8.1269841269841265</v>
      </c>
      <c r="N15" s="25">
        <f>68974+25816.1+2524+476+340+477+512</f>
        <v>99119.1</v>
      </c>
      <c r="O15" s="26">
        <f>5512+1865+151+62+39+59+63</f>
        <v>7751</v>
      </c>
      <c r="P15" s="27">
        <f>N15/O15</f>
        <v>12.78791123725971</v>
      </c>
      <c r="Q15" s="29"/>
      <c r="R15" s="29"/>
      <c r="S15" s="29"/>
    </row>
    <row r="16" spans="1:19" s="3" customFormat="1" ht="22.5" customHeight="1" x14ac:dyDescent="0.25">
      <c r="B16" s="18">
        <f t="shared" si="3"/>
        <v>11</v>
      </c>
      <c r="C16" s="57" t="s">
        <v>28</v>
      </c>
      <c r="D16" s="58">
        <v>41866</v>
      </c>
      <c r="E16" s="59" t="s">
        <v>9</v>
      </c>
      <c r="F16" s="60" t="s">
        <v>29</v>
      </c>
      <c r="G16" s="61">
        <v>31</v>
      </c>
      <c r="H16" s="19">
        <v>1</v>
      </c>
      <c r="I16" s="20">
        <v>31</v>
      </c>
      <c r="J16" s="21">
        <v>81</v>
      </c>
      <c r="K16" s="22">
        <v>11</v>
      </c>
      <c r="L16" s="23">
        <f t="shared" ref="L16" si="13">K16/H16</f>
        <v>11</v>
      </c>
      <c r="M16" s="24">
        <f t="shared" ref="M16" si="14">+J16/K16</f>
        <v>7.3636363636363633</v>
      </c>
      <c r="N16" s="25">
        <f>166393.25+120953.88+26778.83+15413.16+8141+9655+7141+22668+12148+7305+4200+124+102+212+223+1619+804+2201+992+1988+3344+6211+2046.8+2141.5+1165.4+242+120+285+1190+40+81</f>
        <v>425928.82</v>
      </c>
      <c r="O16" s="26">
        <f>16398+11920+2425+1471+815+935+859+2615+1401+831+549+16+14+27+29+174+87+240+98+249+365+643+408+205+207+35+17+36+371+5+11</f>
        <v>43456</v>
      </c>
      <c r="P16" s="27">
        <f t="shared" ref="P16" si="15">N16/O16</f>
        <v>9.8013811671575848</v>
      </c>
      <c r="Q16" s="29"/>
      <c r="R16" s="29"/>
      <c r="S16" s="29"/>
    </row>
    <row r="17" spans="2:19" s="3" customFormat="1" ht="22.5" customHeight="1" thickBot="1" x14ac:dyDescent="0.3">
      <c r="B17" s="4">
        <f t="shared" si="3"/>
        <v>12</v>
      </c>
      <c r="C17" s="36" t="s">
        <v>105</v>
      </c>
      <c r="D17" s="37">
        <v>41838</v>
      </c>
      <c r="E17" s="38" t="s">
        <v>9</v>
      </c>
      <c r="F17" s="39" t="s">
        <v>9</v>
      </c>
      <c r="G17" s="40">
        <v>20</v>
      </c>
      <c r="H17" s="62">
        <v>1</v>
      </c>
      <c r="I17" s="63">
        <v>21</v>
      </c>
      <c r="J17" s="64">
        <v>49</v>
      </c>
      <c r="K17" s="65">
        <v>8</v>
      </c>
      <c r="L17" s="66">
        <f>K17/H17</f>
        <v>8</v>
      </c>
      <c r="M17" s="67">
        <f>+J17/K17</f>
        <v>6.125</v>
      </c>
      <c r="N17" s="68">
        <f>83413.21+31376.4+14831.5+9913.12+11734.5+8229.1+7018.55+10857.54+6847+2986+13217+3912+1965.5+2132+3849+3531.9+1567.5+1485+149+71+49</f>
        <v>219135.82</v>
      </c>
      <c r="O17" s="69">
        <f>6309+2343+1168+899+1487+769+760+1066+812+348+1631+365+188+195+314+530+107+121+17+11+8</f>
        <v>19448</v>
      </c>
      <c r="P17" s="70">
        <f>N17/O17</f>
        <v>11.267781777046483</v>
      </c>
      <c r="Q17" s="29"/>
      <c r="R17" s="29"/>
      <c r="S17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9" width="2.8554687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101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102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103</v>
      </c>
      <c r="D6" s="45">
        <v>42181</v>
      </c>
      <c r="E6" s="46" t="s">
        <v>9</v>
      </c>
      <c r="F6" s="47" t="s">
        <v>104</v>
      </c>
      <c r="G6" s="48">
        <v>23</v>
      </c>
      <c r="H6" s="49">
        <v>49</v>
      </c>
      <c r="I6" s="50">
        <v>1</v>
      </c>
      <c r="J6" s="53">
        <v>67551</v>
      </c>
      <c r="K6" s="16">
        <v>5607</v>
      </c>
      <c r="L6" s="51">
        <f t="shared" ref="L6:L12" si="0">K6/H6</f>
        <v>114.42857142857143</v>
      </c>
      <c r="M6" s="52">
        <f t="shared" ref="M6:M12" si="1">+J6/K6</f>
        <v>12.047619047619047</v>
      </c>
      <c r="N6" s="54">
        <f>67551</f>
        <v>67551</v>
      </c>
      <c r="O6" s="55">
        <f>5607</f>
        <v>5607</v>
      </c>
      <c r="P6" s="56">
        <f t="shared" ref="P6:P12" si="2">N6/O6</f>
        <v>12.047619047619047</v>
      </c>
      <c r="Q6" s="29"/>
      <c r="R6" s="29"/>
      <c r="S6" s="29"/>
    </row>
    <row r="7" spans="1:19" s="3" customFormat="1" ht="22.5" customHeight="1" x14ac:dyDescent="0.25">
      <c r="B7" s="18">
        <f t="shared" ref="B7:B16" si="3">B6+1</f>
        <v>2</v>
      </c>
      <c r="C7" s="57" t="s">
        <v>98</v>
      </c>
      <c r="D7" s="58">
        <v>42174</v>
      </c>
      <c r="E7" s="59" t="s">
        <v>9</v>
      </c>
      <c r="F7" s="60" t="s">
        <v>99</v>
      </c>
      <c r="G7" s="61">
        <v>46</v>
      </c>
      <c r="H7" s="19">
        <v>20</v>
      </c>
      <c r="I7" s="20">
        <v>2</v>
      </c>
      <c r="J7" s="21">
        <v>6954.91</v>
      </c>
      <c r="K7" s="22">
        <v>838</v>
      </c>
      <c r="L7" s="23">
        <f t="shared" si="0"/>
        <v>41.9</v>
      </c>
      <c r="M7" s="24">
        <f t="shared" si="1"/>
        <v>8.2994152744630068</v>
      </c>
      <c r="N7" s="25">
        <f>50986.55+6954.91</f>
        <v>57941.460000000006</v>
      </c>
      <c r="O7" s="26">
        <f>5294+838</f>
        <v>6132</v>
      </c>
      <c r="P7" s="27">
        <f t="shared" si="2"/>
        <v>9.4490313111546005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45</v>
      </c>
      <c r="D8" s="58">
        <v>42048</v>
      </c>
      <c r="E8" s="59" t="s">
        <v>9</v>
      </c>
      <c r="F8" s="60" t="s">
        <v>9</v>
      </c>
      <c r="G8" s="61">
        <v>13</v>
      </c>
      <c r="H8" s="19">
        <v>1</v>
      </c>
      <c r="I8" s="20">
        <v>7</v>
      </c>
      <c r="J8" s="21">
        <v>1782</v>
      </c>
      <c r="K8" s="22">
        <v>356</v>
      </c>
      <c r="L8" s="23">
        <f t="shared" si="0"/>
        <v>356</v>
      </c>
      <c r="M8" s="24">
        <f t="shared" si="1"/>
        <v>5.0056179775280896</v>
      </c>
      <c r="N8" s="25">
        <f>217416+133447+36039+7196+5028+2013.56+1782</f>
        <v>402921.56</v>
      </c>
      <c r="O8" s="26">
        <f>15610+9137+2226+1626+1055+403+356</f>
        <v>30413</v>
      </c>
      <c r="P8" s="27">
        <f t="shared" si="2"/>
        <v>13.248333278532206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75</v>
      </c>
      <c r="D9" s="58">
        <v>42118</v>
      </c>
      <c r="E9" s="59" t="s">
        <v>9</v>
      </c>
      <c r="F9" s="60" t="s">
        <v>9</v>
      </c>
      <c r="G9" s="61">
        <v>13</v>
      </c>
      <c r="H9" s="19">
        <v>1</v>
      </c>
      <c r="I9" s="20">
        <v>4</v>
      </c>
      <c r="J9" s="21">
        <v>950.4</v>
      </c>
      <c r="K9" s="22">
        <v>190</v>
      </c>
      <c r="L9" s="23">
        <f t="shared" si="0"/>
        <v>190</v>
      </c>
      <c r="M9" s="24">
        <f t="shared" si="1"/>
        <v>5.0021052631578948</v>
      </c>
      <c r="N9" s="25">
        <f>119411.9+50675.11+5173.5+950.4</f>
        <v>176210.91</v>
      </c>
      <c r="O9" s="26">
        <f>9544+3585+328+190</f>
        <v>13647</v>
      </c>
      <c r="P9" s="27">
        <f t="shared" si="2"/>
        <v>12.912061991646516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32</v>
      </c>
      <c r="J10" s="21">
        <v>891</v>
      </c>
      <c r="K10" s="22">
        <v>138</v>
      </c>
      <c r="L10" s="23">
        <f t="shared" si="0"/>
        <v>27.6</v>
      </c>
      <c r="M10" s="24">
        <f t="shared" si="1"/>
        <v>6.4565217391304346</v>
      </c>
      <c r="N10" s="25">
        <f>1099708.11+593370.74+224185+52839.5+17039.5+9578+7414+5098+4983.5+10660.5+14194.5+2400+3550+2380.5+7656.5+4091.5+1713+2737+828+128+4019.35+696+742+3681+1237+1911+1320+2988+1801+2002+865+891</f>
        <v>2086709.2000000002</v>
      </c>
      <c r="O10" s="26">
        <f>102148+56106+22339+5539+1692+934+809+597+525+1619+1502+226+582+302+1163+486+470+558+154+16+730+93+96+595+155+233+216+393+237+257+118+138</f>
        <v>201028</v>
      </c>
      <c r="P10" s="27">
        <f t="shared" si="2"/>
        <v>10.380191814075651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4</v>
      </c>
      <c r="I11" s="20">
        <v>7</v>
      </c>
      <c r="J11" s="21">
        <v>755</v>
      </c>
      <c r="K11" s="22">
        <v>97</v>
      </c>
      <c r="L11" s="23">
        <f t="shared" si="0"/>
        <v>24.25</v>
      </c>
      <c r="M11" s="24">
        <f t="shared" si="1"/>
        <v>7.7835051546391751</v>
      </c>
      <c r="N11" s="25">
        <f>150395.08+52946.08+3011.5+1726+142+1745+755</f>
        <v>210720.65999999997</v>
      </c>
      <c r="O11" s="26">
        <f>14539+4867+346+172+14+208+97</f>
        <v>20243</v>
      </c>
      <c r="P11" s="27">
        <f t="shared" si="2"/>
        <v>10.409556883861086</v>
      </c>
      <c r="Q11" s="29"/>
      <c r="R11" s="29"/>
      <c r="S11" s="29"/>
    </row>
    <row r="12" spans="1:19" s="3" customFormat="1" ht="22.5" customHeight="1" x14ac:dyDescent="0.25">
      <c r="B12" s="18">
        <f t="shared" si="3"/>
        <v>7</v>
      </c>
      <c r="C12" s="57" t="s">
        <v>58</v>
      </c>
      <c r="D12" s="58">
        <v>42076</v>
      </c>
      <c r="E12" s="59" t="s">
        <v>9</v>
      </c>
      <c r="F12" s="60" t="s">
        <v>9</v>
      </c>
      <c r="G12" s="61">
        <v>66</v>
      </c>
      <c r="H12" s="19">
        <v>2</v>
      </c>
      <c r="I12" s="20">
        <v>12</v>
      </c>
      <c r="J12" s="21">
        <v>394</v>
      </c>
      <c r="K12" s="22">
        <v>51</v>
      </c>
      <c r="L12" s="23">
        <f t="shared" si="0"/>
        <v>25.5</v>
      </c>
      <c r="M12" s="24">
        <f t="shared" si="1"/>
        <v>7.7254901960784315</v>
      </c>
      <c r="N12" s="25">
        <f>371891.95+241999.75+69894+20187.87+18724.1+22951.5+4635.5+1896+668+3460.6+242+394</f>
        <v>756945.2699999999</v>
      </c>
      <c r="O12" s="26">
        <f>33703+24038+8305+2721+2351+2413+517+210+165+873+30+51</f>
        <v>75377</v>
      </c>
      <c r="P12" s="27">
        <f t="shared" si="2"/>
        <v>10.042125184074717</v>
      </c>
      <c r="Q12" s="29"/>
      <c r="R12" s="29"/>
      <c r="S12" s="29"/>
    </row>
    <row r="13" spans="1:19" s="3" customFormat="1" ht="22.5" customHeight="1" x14ac:dyDescent="0.25">
      <c r="B13" s="18">
        <f t="shared" si="3"/>
        <v>8</v>
      </c>
      <c r="C13" s="57" t="s">
        <v>90</v>
      </c>
      <c r="D13" s="58">
        <v>42153</v>
      </c>
      <c r="E13" s="59" t="s">
        <v>9</v>
      </c>
      <c r="F13" s="60" t="s">
        <v>9</v>
      </c>
      <c r="G13" s="61">
        <v>10</v>
      </c>
      <c r="H13" s="19">
        <v>4</v>
      </c>
      <c r="I13" s="20">
        <v>5</v>
      </c>
      <c r="J13" s="21">
        <v>264</v>
      </c>
      <c r="K13" s="22">
        <v>88</v>
      </c>
      <c r="L13" s="23">
        <f t="shared" ref="L13" si="4">K13/H13</f>
        <v>22</v>
      </c>
      <c r="M13" s="24">
        <f t="shared" ref="M13" si="5">+J13/K13</f>
        <v>3</v>
      </c>
      <c r="N13" s="25">
        <f>23426+5288+768+447+264</f>
        <v>30193</v>
      </c>
      <c r="O13" s="26">
        <f>1726+349+207+136+88</f>
        <v>2506</v>
      </c>
      <c r="P13" s="27">
        <f t="shared" ref="P13" si="6">N13/O13</f>
        <v>12.04828411811652</v>
      </c>
      <c r="Q13" s="29"/>
      <c r="R13" s="29"/>
      <c r="S13" s="29"/>
    </row>
    <row r="14" spans="1:19" s="3" customFormat="1" ht="22.5" customHeight="1" x14ac:dyDescent="0.25">
      <c r="B14" s="18">
        <f t="shared" si="3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34</v>
      </c>
      <c r="J14" s="21">
        <v>138</v>
      </c>
      <c r="K14" s="22">
        <v>17</v>
      </c>
      <c r="L14" s="23">
        <f>K14/H14</f>
        <v>17</v>
      </c>
      <c r="M14" s="24">
        <f>+J14/K14</f>
        <v>8.117647058823529</v>
      </c>
      <c r="N14" s="25">
        <f>457084.63+194296.68+44137.17+13030+7400.5+9372.51+21985.7+8798+6823.5+11928.5+9039+10315.86+4561.58+5322+1536+3683.5+5700.5+7282+6570+2758+312+298+393+745+505+2118+290+500+665+379.54+160+176+177+138</f>
        <v>838482.17</v>
      </c>
      <c r="O14" s="26">
        <f>48529+19857+4845+1742+907+1325+3002+1302+917+1510+1343+1395+656+665+188+409+660+841+730+277+37+74+79+51+41+317+21+36+45+46+20+22+22+17</f>
        <v>91928</v>
      </c>
      <c r="P14" s="27">
        <f>N14/O14</f>
        <v>9.1210748629362115</v>
      </c>
      <c r="Q14" s="29"/>
      <c r="R14" s="29"/>
      <c r="S14" s="29"/>
    </row>
    <row r="15" spans="1:19" s="3" customFormat="1" ht="22.5" customHeight="1" x14ac:dyDescent="0.25">
      <c r="B15" s="18">
        <f t="shared" si="3"/>
        <v>10</v>
      </c>
      <c r="C15" s="57" t="s">
        <v>105</v>
      </c>
      <c r="D15" s="58">
        <v>41838</v>
      </c>
      <c r="E15" s="59" t="s">
        <v>9</v>
      </c>
      <c r="F15" s="60" t="s">
        <v>9</v>
      </c>
      <c r="G15" s="61">
        <v>20</v>
      </c>
      <c r="H15" s="19">
        <v>1</v>
      </c>
      <c r="I15" s="20">
        <v>20</v>
      </c>
      <c r="J15" s="21">
        <v>71</v>
      </c>
      <c r="K15" s="22">
        <v>11</v>
      </c>
      <c r="L15" s="23">
        <f>K15/H15</f>
        <v>11</v>
      </c>
      <c r="M15" s="24">
        <f>+J15/K15</f>
        <v>6.4545454545454541</v>
      </c>
      <c r="N15" s="25">
        <f>83413.21+31376.4+14831.5+9913.12+11734.5+8229.1+7018.55+10857.54+6847+2986+13217+3912+1965.5+2132+3849+3531.9+1567.5+1485+149+71</f>
        <v>219086.82</v>
      </c>
      <c r="O15" s="26">
        <f>6309+2343+1168+899+1487+769+760+1066+812+348+1631+365+188+195+314+530+107+121+17+11</f>
        <v>19440</v>
      </c>
      <c r="P15" s="27">
        <f>N15/O15</f>
        <v>11.269898148148149</v>
      </c>
      <c r="Q15" s="29"/>
      <c r="R15" s="29"/>
      <c r="S15" s="29"/>
    </row>
    <row r="16" spans="1:19" s="3" customFormat="1" ht="22.5" customHeight="1" thickBot="1" x14ac:dyDescent="0.3">
      <c r="B16" s="4">
        <f t="shared" si="3"/>
        <v>11</v>
      </c>
      <c r="C16" s="36" t="s">
        <v>70</v>
      </c>
      <c r="D16" s="37">
        <v>42104</v>
      </c>
      <c r="E16" s="38" t="s">
        <v>9</v>
      </c>
      <c r="F16" s="39" t="s">
        <v>9</v>
      </c>
      <c r="G16" s="40">
        <v>24</v>
      </c>
      <c r="H16" s="62">
        <v>1</v>
      </c>
      <c r="I16" s="63">
        <v>8</v>
      </c>
      <c r="J16" s="64">
        <v>59</v>
      </c>
      <c r="K16" s="65">
        <v>6</v>
      </c>
      <c r="L16" s="66">
        <f t="shared" ref="L16" si="7">K16/H16</f>
        <v>6</v>
      </c>
      <c r="M16" s="67">
        <f t="shared" ref="M16" si="8">+J16/K16</f>
        <v>9.8333333333333339</v>
      </c>
      <c r="N16" s="68">
        <f>84987.77+10982.5+2017.5+2342+840+262+314+59</f>
        <v>101804.77</v>
      </c>
      <c r="O16" s="69">
        <f>7931+982+226+283+105+34+38+6</f>
        <v>9605</v>
      </c>
      <c r="P16" s="70">
        <f t="shared" ref="P16" si="9">N16/O16</f>
        <v>10.599143154606976</v>
      </c>
      <c r="Q16" s="29"/>
      <c r="R16" s="29"/>
      <c r="S16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96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97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98</v>
      </c>
      <c r="D6" s="45">
        <v>42174</v>
      </c>
      <c r="E6" s="46" t="s">
        <v>9</v>
      </c>
      <c r="F6" s="47" t="s">
        <v>99</v>
      </c>
      <c r="G6" s="48">
        <v>46</v>
      </c>
      <c r="H6" s="49">
        <v>79</v>
      </c>
      <c r="I6" s="50">
        <v>1</v>
      </c>
      <c r="J6" s="53">
        <v>50986.55</v>
      </c>
      <c r="K6" s="16">
        <v>5294</v>
      </c>
      <c r="L6" s="51">
        <f>K6/H6</f>
        <v>67.012658227848107</v>
      </c>
      <c r="M6" s="52">
        <f>+J6/K6</f>
        <v>9.6310068001511144</v>
      </c>
      <c r="N6" s="54">
        <f>50986.55</f>
        <v>50986.55</v>
      </c>
      <c r="O6" s="55">
        <f>5294</f>
        <v>5294</v>
      </c>
      <c r="P6" s="56">
        <f>N6/O6</f>
        <v>9.6310068001511144</v>
      </c>
      <c r="Q6" s="29"/>
      <c r="R6" s="29"/>
      <c r="S6" s="29"/>
    </row>
    <row r="7" spans="1:19" s="3" customFormat="1" ht="22.5" customHeight="1" x14ac:dyDescent="0.25">
      <c r="B7" s="18">
        <f t="shared" ref="B7:B15" si="0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4</v>
      </c>
      <c r="I7" s="20">
        <v>6</v>
      </c>
      <c r="J7" s="21">
        <v>1745</v>
      </c>
      <c r="K7" s="22">
        <v>208</v>
      </c>
      <c r="L7" s="23">
        <f>K7/H7</f>
        <v>52</v>
      </c>
      <c r="M7" s="24">
        <f>+J7/K7</f>
        <v>8.3894230769230766</v>
      </c>
      <c r="N7" s="25">
        <f>150395.08+52946.08+3011.5+1726+142+1745</f>
        <v>209965.65999999997</v>
      </c>
      <c r="O7" s="26">
        <f>14539+4867+346+172+14+208</f>
        <v>20146</v>
      </c>
      <c r="P7" s="27">
        <f>N7/O7</f>
        <v>10.422200933187728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100</v>
      </c>
      <c r="D8" s="58">
        <v>41768</v>
      </c>
      <c r="E8" s="59" t="s">
        <v>9</v>
      </c>
      <c r="F8" s="60" t="s">
        <v>9</v>
      </c>
      <c r="G8" s="61">
        <v>22</v>
      </c>
      <c r="H8" s="19">
        <v>1</v>
      </c>
      <c r="I8" s="20">
        <v>23</v>
      </c>
      <c r="J8" s="21">
        <v>950.4</v>
      </c>
      <c r="K8" s="22">
        <v>190</v>
      </c>
      <c r="L8" s="23">
        <f>K8/H8</f>
        <v>190</v>
      </c>
      <c r="M8" s="24">
        <f>+J8/K8</f>
        <v>5.0021052631578948</v>
      </c>
      <c r="N8" s="25">
        <f>96037.16+42293.76+11136.86+17605+22297.3+19062.27+11022+8010+7779.86+6062+4890+6980.36+5587.98+5298.38+4452.73+4982.59+2912+2334+934+384+168+1239+950.4</f>
        <v>282419.65000000002</v>
      </c>
      <c r="O8" s="26">
        <f>9852+4309+1246+1999+2461+2258+1374+975+960+792+668+1048+872+672+610+589+303+241+111+46+26+262+190</f>
        <v>31864</v>
      </c>
      <c r="P8" s="27">
        <f>N8/O8</f>
        <v>8.8632830153150906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59</v>
      </c>
      <c r="D9" s="58">
        <v>41754</v>
      </c>
      <c r="E9" s="59" t="s">
        <v>9</v>
      </c>
      <c r="F9" s="60" t="s">
        <v>9</v>
      </c>
      <c r="G9" s="61">
        <v>7</v>
      </c>
      <c r="H9" s="19">
        <v>1</v>
      </c>
      <c r="I9" s="20">
        <v>18</v>
      </c>
      <c r="J9" s="21">
        <v>950.4</v>
      </c>
      <c r="K9" s="22">
        <v>190</v>
      </c>
      <c r="L9" s="23">
        <f t="shared" ref="L9" si="1">K9/H9</f>
        <v>190</v>
      </c>
      <c r="M9" s="24">
        <f t="shared" ref="M9" si="2">+J9/K9</f>
        <v>5.0021052631578948</v>
      </c>
      <c r="N9" s="25">
        <f>60197.59+17202+321+844+1811.5+1331+5171+1531.5+1560.1+357+1636+1954.5+118+1887+384+357+2013.6+950.4</f>
        <v>99627.19</v>
      </c>
      <c r="O9" s="26">
        <f>5024+1383+28+122+244+160+605+196+299+39+212+255+13+208+48+44+403+190</f>
        <v>9473</v>
      </c>
      <c r="P9" s="27">
        <f t="shared" ref="P9" si="3">N9/O9</f>
        <v>10.516962947323973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22</v>
      </c>
      <c r="D10" s="58">
        <v>41964</v>
      </c>
      <c r="E10" s="59" t="s">
        <v>9</v>
      </c>
      <c r="F10" s="60" t="s">
        <v>9</v>
      </c>
      <c r="G10" s="61">
        <v>58</v>
      </c>
      <c r="H10" s="19">
        <v>5</v>
      </c>
      <c r="I10" s="20">
        <v>31</v>
      </c>
      <c r="J10" s="21">
        <v>865</v>
      </c>
      <c r="K10" s="22">
        <v>118</v>
      </c>
      <c r="L10" s="23">
        <f>K10/H10</f>
        <v>23.6</v>
      </c>
      <c r="M10" s="24">
        <f>+J10/K10</f>
        <v>7.3305084745762707</v>
      </c>
      <c r="N10" s="25">
        <f>1099708.11+593370.74+224185+52839.5+17039.5+9578+7414+5098+4983.5+10660.5+14194.5+2400+3550+2380.5+7656.5+4091.5+1713+2737+828+128+4019.35+696+742+3681+1237+1911+1320+2988+1801+2002+865</f>
        <v>2085818.2000000002</v>
      </c>
      <c r="O10" s="26">
        <f>102148+56106+22339+5539+1692+934+809+597+525+1619+1502+226+582+302+1163+486+470+558+154+16+730+93+96+595+155+233+216+393+237+257+118</f>
        <v>200890</v>
      </c>
      <c r="P10" s="27">
        <f>N10/O10</f>
        <v>10.382887152172831</v>
      </c>
      <c r="Q10" s="29"/>
      <c r="R10" s="29"/>
      <c r="S10" s="29"/>
    </row>
    <row r="11" spans="1:19" s="3" customFormat="1" ht="22.5" customHeight="1" x14ac:dyDescent="0.25">
      <c r="B11" s="18">
        <f t="shared" si="0"/>
        <v>6</v>
      </c>
      <c r="C11" s="57" t="s">
        <v>84</v>
      </c>
      <c r="D11" s="58">
        <v>42139</v>
      </c>
      <c r="E11" s="59" t="s">
        <v>9</v>
      </c>
      <c r="F11" s="60" t="s">
        <v>29</v>
      </c>
      <c r="G11" s="61">
        <v>16</v>
      </c>
      <c r="H11" s="19">
        <v>2</v>
      </c>
      <c r="I11" s="20">
        <v>6</v>
      </c>
      <c r="J11" s="21">
        <v>477</v>
      </c>
      <c r="K11" s="22">
        <v>59</v>
      </c>
      <c r="L11" s="23">
        <f>K11/H11</f>
        <v>29.5</v>
      </c>
      <c r="M11" s="24">
        <f>+J11/K11</f>
        <v>8.0847457627118651</v>
      </c>
      <c r="N11" s="25">
        <f>68974+25816.1+2524+476+340+477</f>
        <v>98607.1</v>
      </c>
      <c r="O11" s="26">
        <f>5512+1865+151+62+39+59</f>
        <v>7688</v>
      </c>
      <c r="P11" s="27">
        <f>N11/O11</f>
        <v>12.826105619146723</v>
      </c>
      <c r="Q11" s="29"/>
      <c r="R11" s="29"/>
      <c r="S11" s="29"/>
    </row>
    <row r="12" spans="1:19" s="3" customFormat="1" ht="22.5" customHeight="1" x14ac:dyDescent="0.25">
      <c r="B12" s="18">
        <f t="shared" si="0"/>
        <v>7</v>
      </c>
      <c r="C12" s="57" t="s">
        <v>90</v>
      </c>
      <c r="D12" s="58">
        <v>42153</v>
      </c>
      <c r="E12" s="59" t="s">
        <v>9</v>
      </c>
      <c r="F12" s="60" t="s">
        <v>9</v>
      </c>
      <c r="G12" s="61">
        <v>10</v>
      </c>
      <c r="H12" s="19">
        <v>5</v>
      </c>
      <c r="I12" s="20">
        <v>4</v>
      </c>
      <c r="J12" s="21">
        <v>447</v>
      </c>
      <c r="K12" s="22">
        <v>136</v>
      </c>
      <c r="L12" s="23">
        <f t="shared" ref="L12" si="4">K12/H12</f>
        <v>27.2</v>
      </c>
      <c r="M12" s="24">
        <f t="shared" ref="M12" si="5">+J12/K12</f>
        <v>3.2867647058823528</v>
      </c>
      <c r="N12" s="25">
        <f>23426+5288+768+447</f>
        <v>29929</v>
      </c>
      <c r="O12" s="26">
        <f>1726+349+207+136</f>
        <v>2418</v>
      </c>
      <c r="P12" s="27">
        <f t="shared" ref="P12" si="6">N12/O12</f>
        <v>12.377584780810587</v>
      </c>
      <c r="Q12" s="29"/>
      <c r="R12" s="29"/>
      <c r="S12" s="29"/>
    </row>
    <row r="13" spans="1:19" s="3" customFormat="1" ht="22.5" customHeight="1" x14ac:dyDescent="0.25">
      <c r="B13" s="18">
        <f t="shared" si="0"/>
        <v>8</v>
      </c>
      <c r="C13" s="57" t="s">
        <v>58</v>
      </c>
      <c r="D13" s="58">
        <v>42076</v>
      </c>
      <c r="E13" s="59" t="s">
        <v>9</v>
      </c>
      <c r="F13" s="60" t="s">
        <v>9</v>
      </c>
      <c r="G13" s="61">
        <v>66</v>
      </c>
      <c r="H13" s="19">
        <v>2</v>
      </c>
      <c r="I13" s="20">
        <v>11</v>
      </c>
      <c r="J13" s="21">
        <v>242</v>
      </c>
      <c r="K13" s="22">
        <v>30</v>
      </c>
      <c r="L13" s="23">
        <f>K13/H13</f>
        <v>15</v>
      </c>
      <c r="M13" s="24">
        <f>+J13/K13</f>
        <v>8.0666666666666664</v>
      </c>
      <c r="N13" s="25">
        <f>371891.95+241999.75+69894+20187.87+18724.1+22951.5+4635.5+1896+668+3460.6+242</f>
        <v>756551.2699999999</v>
      </c>
      <c r="O13" s="26">
        <f>33703+24038+8305+2721+2351+2413+517+210+165+873+30</f>
        <v>75326</v>
      </c>
      <c r="P13" s="27">
        <f>N13/O13</f>
        <v>10.043693678145658</v>
      </c>
      <c r="Q13" s="29"/>
      <c r="R13" s="29"/>
      <c r="S13" s="29"/>
    </row>
    <row r="14" spans="1:19" s="3" customFormat="1" ht="22.5" customHeight="1" x14ac:dyDescent="0.25">
      <c r="B14" s="18">
        <f t="shared" si="0"/>
        <v>9</v>
      </c>
      <c r="C14" s="57" t="s">
        <v>93</v>
      </c>
      <c r="D14" s="58">
        <v>41684</v>
      </c>
      <c r="E14" s="59" t="s">
        <v>9</v>
      </c>
      <c r="F14" s="60" t="s">
        <v>29</v>
      </c>
      <c r="G14" s="61">
        <v>76</v>
      </c>
      <c r="H14" s="19">
        <v>1</v>
      </c>
      <c r="I14" s="20">
        <v>33</v>
      </c>
      <c r="J14" s="21">
        <v>177</v>
      </c>
      <c r="K14" s="22">
        <v>22</v>
      </c>
      <c r="L14" s="23">
        <f>K14/H14</f>
        <v>22</v>
      </c>
      <c r="M14" s="24">
        <f>+J14/K14</f>
        <v>8.045454545454545</v>
      </c>
      <c r="N14" s="25">
        <f>457084.63+194296.68+44137.17+13030+7400.5+9372.51+21985.7+8798+6823.5+11928.5+9039+10315.86+4561.58+5322+1536+3683.5+5700.5+7282+6570+2758+312+298+393+745+505+2118+290+500+665+379.54+160+176+177</f>
        <v>838344.17</v>
      </c>
      <c r="O14" s="26">
        <f>48529+19857+4845+1742+907+1325+3002+1302+917+1510+1343+1395+656+665+188+409+660+841+730+277+37+74+79+51+41+317+21+36+45+46+20+22+22</f>
        <v>91911</v>
      </c>
      <c r="P14" s="27">
        <f>N14/O14</f>
        <v>9.1212604584870149</v>
      </c>
      <c r="Q14" s="29"/>
      <c r="R14" s="29"/>
      <c r="S14" s="29"/>
    </row>
    <row r="15" spans="1:19" s="3" customFormat="1" ht="22.5" customHeight="1" thickBot="1" x14ac:dyDescent="0.3">
      <c r="B15" s="4">
        <f t="shared" si="0"/>
        <v>10</v>
      </c>
      <c r="C15" s="36" t="s">
        <v>33</v>
      </c>
      <c r="D15" s="37">
        <v>41873</v>
      </c>
      <c r="E15" s="38" t="s">
        <v>9</v>
      </c>
      <c r="F15" s="39" t="s">
        <v>34</v>
      </c>
      <c r="G15" s="40">
        <v>27</v>
      </c>
      <c r="H15" s="62">
        <v>1</v>
      </c>
      <c r="I15" s="63">
        <v>19</v>
      </c>
      <c r="J15" s="64">
        <v>45</v>
      </c>
      <c r="K15" s="65">
        <v>7</v>
      </c>
      <c r="L15" s="66">
        <f>K15/H15</f>
        <v>7</v>
      </c>
      <c r="M15" s="67">
        <f>+J15/K15</f>
        <v>6.4285714285714288</v>
      </c>
      <c r="N15" s="68">
        <f>86853.81+54964.43+34022.66+23560.33+8123.41+7604.5+3529.5+2609+1898+2251.6+1218+977.5+1040+1455+1095+653+115+195+45</f>
        <v>232210.74</v>
      </c>
      <c r="O15" s="69">
        <f>7232+4293+2509+1779+817+649+331+264+501+432+243+78+73+113+86+213+19+30+7</f>
        <v>19669</v>
      </c>
      <c r="P15" s="70">
        <f>N15/O15</f>
        <v>11.805925059738675</v>
      </c>
      <c r="Q15" s="29"/>
      <c r="R15" s="29"/>
      <c r="S15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94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95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22</v>
      </c>
      <c r="D6" s="45">
        <v>41964</v>
      </c>
      <c r="E6" s="46" t="s">
        <v>9</v>
      </c>
      <c r="F6" s="47" t="s">
        <v>9</v>
      </c>
      <c r="G6" s="48">
        <v>58</v>
      </c>
      <c r="H6" s="49">
        <v>4</v>
      </c>
      <c r="I6" s="50">
        <v>30</v>
      </c>
      <c r="J6" s="53">
        <v>2002</v>
      </c>
      <c r="K6" s="16">
        <v>257</v>
      </c>
      <c r="L6" s="51">
        <f>K6/H6</f>
        <v>64.25</v>
      </c>
      <c r="M6" s="52">
        <f>+J6/K6</f>
        <v>7.7898832684824901</v>
      </c>
      <c r="N6" s="54">
        <f>1099708.11+593370.74+224185+52839.5+17039.5+9578+7414+5098+4983.5+10660.5+14194.5+2400+3550+2380.5+7656.5+4091.5+1713+2737+828+128+4019.35+696+742+3681+1237+1911+1320+2988+1801+2002</f>
        <v>2084953.2000000002</v>
      </c>
      <c r="O6" s="55">
        <f>102148+56106+22339+5539+1692+934+809+597+525+1619+1502+226+582+302+1163+486+470+558+154+16+730+93+96+595+155+233+216+393+237+257</f>
        <v>200772</v>
      </c>
      <c r="P6" s="56">
        <f>N6/O6</f>
        <v>10.384681130834977</v>
      </c>
      <c r="Q6" s="29"/>
      <c r="R6" s="29"/>
      <c r="S6" s="29"/>
    </row>
    <row r="7" spans="1:19" s="3" customFormat="1" ht="22.5" customHeight="1" x14ac:dyDescent="0.25">
      <c r="B7" s="18">
        <f t="shared" ref="B7:B11" si="0">B6+1</f>
        <v>2</v>
      </c>
      <c r="C7" s="57" t="s">
        <v>90</v>
      </c>
      <c r="D7" s="58">
        <v>42153</v>
      </c>
      <c r="E7" s="59" t="s">
        <v>9</v>
      </c>
      <c r="F7" s="60" t="s">
        <v>9</v>
      </c>
      <c r="G7" s="61">
        <v>10</v>
      </c>
      <c r="H7" s="19">
        <v>5</v>
      </c>
      <c r="I7" s="20">
        <v>3</v>
      </c>
      <c r="J7" s="21">
        <v>768</v>
      </c>
      <c r="K7" s="22">
        <v>200</v>
      </c>
      <c r="L7" s="23">
        <f t="shared" ref="L7" si="1">K7/H7</f>
        <v>40</v>
      </c>
      <c r="M7" s="24">
        <f t="shared" ref="M7" si="2">+J7/K7</f>
        <v>3.84</v>
      </c>
      <c r="N7" s="25">
        <f>23426+5288+768</f>
        <v>29482</v>
      </c>
      <c r="O7" s="26">
        <f>1726+349+207</f>
        <v>2282</v>
      </c>
      <c r="P7" s="27">
        <f t="shared" ref="P7" si="3">N7/O7</f>
        <v>12.919368974583698</v>
      </c>
      <c r="Q7" s="29"/>
      <c r="R7" s="29"/>
      <c r="S7" s="29"/>
    </row>
    <row r="8" spans="1:19" s="3" customFormat="1" ht="22.5" customHeight="1" x14ac:dyDescent="0.25">
      <c r="B8" s="18">
        <f t="shared" si="0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1</v>
      </c>
      <c r="I8" s="20">
        <v>5</v>
      </c>
      <c r="J8" s="21">
        <v>340</v>
      </c>
      <c r="K8" s="22">
        <v>39</v>
      </c>
      <c r="L8" s="23">
        <f t="shared" ref="L8" si="4">K8/H8</f>
        <v>39</v>
      </c>
      <c r="M8" s="24">
        <f t="shared" ref="M8" si="5">+J8/K8</f>
        <v>8.7179487179487172</v>
      </c>
      <c r="N8" s="25">
        <f>68974+25816.1+2524+476+340</f>
        <v>98130.1</v>
      </c>
      <c r="O8" s="26">
        <f>5512+1865+151+62+39</f>
        <v>7629</v>
      </c>
      <c r="P8" s="27">
        <f t="shared" ref="P8" si="6">N8/O8</f>
        <v>12.862773626949798</v>
      </c>
      <c r="Q8" s="29"/>
      <c r="R8" s="29"/>
      <c r="S8" s="29"/>
    </row>
    <row r="9" spans="1:19" s="3" customFormat="1" ht="22.5" customHeight="1" x14ac:dyDescent="0.25">
      <c r="B9" s="18">
        <f t="shared" si="0"/>
        <v>4</v>
      </c>
      <c r="C9" s="57" t="s">
        <v>33</v>
      </c>
      <c r="D9" s="58">
        <v>41873</v>
      </c>
      <c r="E9" s="59" t="s">
        <v>9</v>
      </c>
      <c r="F9" s="60" t="s">
        <v>34</v>
      </c>
      <c r="G9" s="61">
        <v>27</v>
      </c>
      <c r="H9" s="19">
        <v>1</v>
      </c>
      <c r="I9" s="20">
        <v>18</v>
      </c>
      <c r="J9" s="21">
        <v>195</v>
      </c>
      <c r="K9" s="22">
        <v>30</v>
      </c>
      <c r="L9" s="23">
        <f>K9/H9</f>
        <v>30</v>
      </c>
      <c r="M9" s="24">
        <f>+J9/K9</f>
        <v>6.5</v>
      </c>
      <c r="N9" s="25">
        <f>86853.81+54964.43+34022.66+23560.33+8123.41+7604.5+3529.5+2609+1898+2251.6+1218+977.5+1040+1455+1095+653+115+195</f>
        <v>232165.74</v>
      </c>
      <c r="O9" s="26">
        <f>7232+4293+2509+1779+817+649+331+264+501+432+243+78+73+113+86+213+19+30</f>
        <v>19662</v>
      </c>
      <c r="P9" s="27">
        <f>N9/O9</f>
        <v>11.807839487335977</v>
      </c>
      <c r="Q9" s="29"/>
      <c r="R9" s="29"/>
      <c r="S9" s="29"/>
    </row>
    <row r="10" spans="1:19" s="3" customFormat="1" ht="22.5" customHeight="1" x14ac:dyDescent="0.25">
      <c r="B10" s="18">
        <f t="shared" si="0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26</v>
      </c>
      <c r="J10" s="21">
        <v>184</v>
      </c>
      <c r="K10" s="22">
        <v>23</v>
      </c>
      <c r="L10" s="23">
        <f>K10/H10</f>
        <v>23</v>
      </c>
      <c r="M10" s="24">
        <f>+J10/K10</f>
        <v>8</v>
      </c>
      <c r="N10" s="25">
        <f>73428.48+65677.81+40435.99+20437+22258.56+12040.44+17815.52+6634+2166+2694+5184+2502+3981+1205+69+696+782+2067.5+665+2013.6+288+258+96+400+264+184</f>
        <v>284242.89999999991</v>
      </c>
      <c r="O10" s="26">
        <f>7463+6959+4805+2294+2518+1280+2169+965+358+347+662+324+455+143+13+136+154+177+51+403+36+32+12+50+33+23</f>
        <v>31862</v>
      </c>
      <c r="P10" s="27">
        <f>N10/O10</f>
        <v>8.9210627079279359</v>
      </c>
      <c r="Q10" s="29"/>
      <c r="R10" s="29"/>
      <c r="S10" s="29"/>
    </row>
    <row r="11" spans="1:19" s="3" customFormat="1" ht="22.5" customHeight="1" thickBot="1" x14ac:dyDescent="0.3">
      <c r="B11" s="4">
        <f t="shared" si="0"/>
        <v>6</v>
      </c>
      <c r="C11" s="36" t="s">
        <v>93</v>
      </c>
      <c r="D11" s="37">
        <v>41684</v>
      </c>
      <c r="E11" s="38" t="s">
        <v>9</v>
      </c>
      <c r="F11" s="39" t="s">
        <v>29</v>
      </c>
      <c r="G11" s="40">
        <v>76</v>
      </c>
      <c r="H11" s="62">
        <v>1</v>
      </c>
      <c r="I11" s="63">
        <v>32</v>
      </c>
      <c r="J11" s="64">
        <v>176</v>
      </c>
      <c r="K11" s="65">
        <v>22</v>
      </c>
      <c r="L11" s="66">
        <f>K11/H11</f>
        <v>22</v>
      </c>
      <c r="M11" s="67">
        <f>+J11/K11</f>
        <v>8</v>
      </c>
      <c r="N11" s="68">
        <f>457084.63+194296.68+44137.17+13030+7400.5+9372.51+21985.7+8798+6823.5+11928.5+9039+10315.86+4561.58+5322+1536+3683.5+5700.5+7282+6570+2758+312+298+393+745+505+2118+290+500+665+379.54+160+176</f>
        <v>838167.17</v>
      </c>
      <c r="O11" s="69">
        <f>48529+19857+4845+1742+907+1325+3002+1302+917+1510+1343+1395+656+665+188+409+660+841+730+277+37+74+79+51+41+317+21+36+45+46+20+22</f>
        <v>91889</v>
      </c>
      <c r="P11" s="70">
        <f>N11/O11</f>
        <v>9.1215180271849743</v>
      </c>
      <c r="Q11" s="29"/>
      <c r="R11" s="29"/>
      <c r="S11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91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92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8</v>
      </c>
      <c r="I6" s="50">
        <v>2</v>
      </c>
      <c r="J6" s="53">
        <v>5288</v>
      </c>
      <c r="K6" s="16">
        <v>349</v>
      </c>
      <c r="L6" s="51">
        <f t="shared" ref="L6" si="0">K6/H6</f>
        <v>43.625</v>
      </c>
      <c r="M6" s="52">
        <f t="shared" ref="M6" si="1">+J6/K6</f>
        <v>15.151862464183381</v>
      </c>
      <c r="N6" s="54">
        <f>23426+5288</f>
        <v>28714</v>
      </c>
      <c r="O6" s="55">
        <f>1726+349</f>
        <v>2075</v>
      </c>
      <c r="P6" s="56">
        <f t="shared" ref="P6" si="2">N6/O6</f>
        <v>13.838072289156626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4</v>
      </c>
      <c r="I7" s="20">
        <v>29</v>
      </c>
      <c r="J7" s="21">
        <v>1801</v>
      </c>
      <c r="K7" s="22">
        <v>237</v>
      </c>
      <c r="L7" s="23">
        <f>K7/H7</f>
        <v>59.25</v>
      </c>
      <c r="M7" s="24">
        <f>+J7/K7</f>
        <v>7.5991561181434601</v>
      </c>
      <c r="N7" s="25">
        <f>1099708.11+593370.74+224185+52839.5+17039.5+9578+7414+5098+4983.5+10660.5+14194.5+2400+3550+2380.5+7656.5+4091.5+1713+2737+828+128+4019.35+696+742+3681+1237+1911+1320+2988+1801</f>
        <v>2082951.2000000002</v>
      </c>
      <c r="O7" s="26">
        <f>102148+56106+22339+5539+1692+934+809+597+525+1619+1502+226+582+302+1163+486+470+558+154+16+730+93+96+595+155+233+216+393+237</f>
        <v>200515</v>
      </c>
      <c r="P7" s="27">
        <f>N7/O7</f>
        <v>10.388006882278134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2</v>
      </c>
      <c r="I8" s="20">
        <v>4</v>
      </c>
      <c r="J8" s="21">
        <v>476</v>
      </c>
      <c r="K8" s="22">
        <v>62</v>
      </c>
      <c r="L8" s="23">
        <f t="shared" ref="L8:L11" si="4">K8/H8</f>
        <v>31</v>
      </c>
      <c r="M8" s="24">
        <f t="shared" ref="M8:M11" si="5">+J8/K8</f>
        <v>7.67741935483871</v>
      </c>
      <c r="N8" s="25">
        <f>68974+25816.1+2524+476</f>
        <v>97790.1</v>
      </c>
      <c r="O8" s="26">
        <f>5512+1865+151+62</f>
        <v>7590</v>
      </c>
      <c r="P8" s="27">
        <f t="shared" ref="P8:P11" si="6">N8/O8</f>
        <v>12.884071146245059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55</v>
      </c>
      <c r="D9" s="58">
        <v>41845</v>
      </c>
      <c r="E9" s="59" t="s">
        <v>9</v>
      </c>
      <c r="F9" s="60" t="s">
        <v>9</v>
      </c>
      <c r="G9" s="61">
        <v>23</v>
      </c>
      <c r="H9" s="19">
        <v>1</v>
      </c>
      <c r="I9" s="20">
        <v>25</v>
      </c>
      <c r="J9" s="21">
        <v>264</v>
      </c>
      <c r="K9" s="22">
        <v>33</v>
      </c>
      <c r="L9" s="23">
        <f>K9/H9</f>
        <v>33</v>
      </c>
      <c r="M9" s="24">
        <f>+J9/K9</f>
        <v>8</v>
      </c>
      <c r="N9" s="25">
        <f>73428.48+65677.81+40435.99+20437+22258.56+12040.44+17815.52+6634+2166+2694+5184+2502+3981+1205+69+696+782+2067.5+665+2013.6+288+258+96+400+264</f>
        <v>284058.89999999991</v>
      </c>
      <c r="O9" s="26">
        <f>7463+6959+4805+2294+2518+1280+2169+965+358+347+662+324+455+143+13+136+154+177+51+403+36+32+12+50+33</f>
        <v>31839</v>
      </c>
      <c r="P9" s="27">
        <f>N9/O9</f>
        <v>8.9217280693489087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93</v>
      </c>
      <c r="D10" s="58">
        <v>41684</v>
      </c>
      <c r="E10" s="59" t="s">
        <v>9</v>
      </c>
      <c r="F10" s="60" t="s">
        <v>29</v>
      </c>
      <c r="G10" s="61">
        <v>76</v>
      </c>
      <c r="H10" s="19">
        <v>1</v>
      </c>
      <c r="I10" s="20">
        <v>31</v>
      </c>
      <c r="J10" s="21">
        <v>160</v>
      </c>
      <c r="K10" s="22">
        <v>20</v>
      </c>
      <c r="L10" s="23">
        <f>K10/H10</f>
        <v>20</v>
      </c>
      <c r="M10" s="24">
        <f>+J10/K10</f>
        <v>8</v>
      </c>
      <c r="N10" s="25">
        <f>457084.63+194296.68+44137.17+13030+7400.5+9372.51+21985.7+8798+6823.5+11928.5+9039+10315.86+4561.58+5322+1536+3683.5+5700.5+7282+6570+2758+312+298+393+745+505+2118+290+500+665+379.54+160</f>
        <v>837991.17</v>
      </c>
      <c r="O10" s="26">
        <f>48529+19857+4845+1742+907+1325+3002+1302+917+1510+1343+1395+656+665+188+409+660+841+730+277+37+74+79+51+41+317+21+36+45+46+20</f>
        <v>91867</v>
      </c>
      <c r="P10" s="27">
        <f>N10/O10</f>
        <v>9.1217866045478786</v>
      </c>
      <c r="Q10" s="29"/>
      <c r="R10" s="5"/>
    </row>
    <row r="11" spans="1:19" s="3" customFormat="1" ht="22.5" customHeight="1" x14ac:dyDescent="0.25">
      <c r="B11" s="18">
        <f t="shared" si="3"/>
        <v>6</v>
      </c>
      <c r="C11" s="57" t="s">
        <v>81</v>
      </c>
      <c r="D11" s="58">
        <v>42132</v>
      </c>
      <c r="E11" s="59" t="s">
        <v>9</v>
      </c>
      <c r="F11" s="60" t="s">
        <v>9</v>
      </c>
      <c r="G11" s="61">
        <v>27</v>
      </c>
      <c r="H11" s="19">
        <v>1</v>
      </c>
      <c r="I11" s="20">
        <v>5</v>
      </c>
      <c r="J11" s="21">
        <v>142</v>
      </c>
      <c r="K11" s="22">
        <v>14</v>
      </c>
      <c r="L11" s="23">
        <f t="shared" si="4"/>
        <v>14</v>
      </c>
      <c r="M11" s="24">
        <f t="shared" si="5"/>
        <v>10.142857142857142</v>
      </c>
      <c r="N11" s="25">
        <f>150395.08+52946.08+3011.5+1726+142</f>
        <v>208220.65999999997</v>
      </c>
      <c r="O11" s="26">
        <f>14539+4867+346+172+14</f>
        <v>19938</v>
      </c>
      <c r="P11" s="27">
        <f t="shared" si="6"/>
        <v>10.443407563446684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33</v>
      </c>
      <c r="D12" s="37">
        <v>41873</v>
      </c>
      <c r="E12" s="38" t="s">
        <v>9</v>
      </c>
      <c r="F12" s="39" t="s">
        <v>34</v>
      </c>
      <c r="G12" s="40">
        <v>27</v>
      </c>
      <c r="H12" s="62">
        <v>1</v>
      </c>
      <c r="I12" s="63">
        <v>17</v>
      </c>
      <c r="J12" s="64">
        <v>115</v>
      </c>
      <c r="K12" s="65">
        <v>19</v>
      </c>
      <c r="L12" s="66">
        <f t="shared" ref="L12" si="7">K12/H12</f>
        <v>19</v>
      </c>
      <c r="M12" s="67">
        <f t="shared" ref="M12" si="8">+J12/K12</f>
        <v>6.0526315789473681</v>
      </c>
      <c r="N12" s="68">
        <f>86853.81+54964.43+34022.66+23560.33+8123.41+7604.5+3529.5+2609+1898+2251.6+1218+977.5+1040+1455+1095+653+115</f>
        <v>231970.74</v>
      </c>
      <c r="O12" s="69">
        <f>7232+4293+2509+1779+817+649+331+264+501+432+243+78+73+113+86+213+19</f>
        <v>19632</v>
      </c>
      <c r="P12" s="70">
        <f t="shared" ref="P12" si="9">N12/O12</f>
        <v>11.815950488997554</v>
      </c>
      <c r="Q12" s="29"/>
      <c r="R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88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89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90</v>
      </c>
      <c r="D6" s="45">
        <v>42153</v>
      </c>
      <c r="E6" s="46" t="s">
        <v>9</v>
      </c>
      <c r="F6" s="47" t="s">
        <v>9</v>
      </c>
      <c r="G6" s="48">
        <v>10</v>
      </c>
      <c r="H6" s="49">
        <v>24</v>
      </c>
      <c r="I6" s="50">
        <v>1</v>
      </c>
      <c r="J6" s="53">
        <v>23426</v>
      </c>
      <c r="K6" s="16">
        <v>1726</v>
      </c>
      <c r="L6" s="51">
        <f t="shared" ref="L6" si="0">K6/H6</f>
        <v>71.916666666666671</v>
      </c>
      <c r="M6" s="52">
        <f t="shared" ref="M6" si="1">+J6/K6</f>
        <v>13.57242178447277</v>
      </c>
      <c r="N6" s="54">
        <f>23426</f>
        <v>23426</v>
      </c>
      <c r="O6" s="55">
        <f>1726</f>
        <v>1726</v>
      </c>
      <c r="P6" s="56">
        <f t="shared" ref="P6" si="2">N6/O6</f>
        <v>13.57242178447277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22</v>
      </c>
      <c r="D7" s="58">
        <v>41964</v>
      </c>
      <c r="E7" s="59" t="s">
        <v>9</v>
      </c>
      <c r="F7" s="60" t="s">
        <v>9</v>
      </c>
      <c r="G7" s="61">
        <v>58</v>
      </c>
      <c r="H7" s="19">
        <v>5</v>
      </c>
      <c r="I7" s="20">
        <v>28</v>
      </c>
      <c r="J7" s="21">
        <v>2988</v>
      </c>
      <c r="K7" s="22">
        <v>393</v>
      </c>
      <c r="L7" s="23">
        <f>K7/H7</f>
        <v>78.599999999999994</v>
      </c>
      <c r="M7" s="24">
        <f>+J7/K7</f>
        <v>7.6030534351145036</v>
      </c>
      <c r="N7" s="25">
        <f>1099708.11+593370.74+224185+52839.5+17039.5+9578+7414+5098+4983.5+10660.5+14194.5+2400+3550+2380.5+7656.5+4091.5+1713+2737+828+128+4019.35+696+742+3681+1237+1911+1320+2988</f>
        <v>2081150.2000000002</v>
      </c>
      <c r="O7" s="26">
        <f>102148+56106+22339+5539+1692+934+809+597+525+1619+1502+226+582+302+1163+486+470+558+154+16+730+93+96+595+155+233+216+393</f>
        <v>200278</v>
      </c>
      <c r="P7" s="27">
        <f>N7/O7</f>
        <v>10.391307083154416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84</v>
      </c>
      <c r="D8" s="58">
        <v>42139</v>
      </c>
      <c r="E8" s="59" t="s">
        <v>9</v>
      </c>
      <c r="F8" s="60" t="s">
        <v>29</v>
      </c>
      <c r="G8" s="61">
        <v>16</v>
      </c>
      <c r="H8" s="19">
        <v>3</v>
      </c>
      <c r="I8" s="20">
        <v>3</v>
      </c>
      <c r="J8" s="21">
        <v>2524</v>
      </c>
      <c r="K8" s="22">
        <v>151</v>
      </c>
      <c r="L8" s="23">
        <f t="shared" ref="L8:L12" si="4">K8/H8</f>
        <v>50.333333333333336</v>
      </c>
      <c r="M8" s="24">
        <f t="shared" ref="M8:M12" si="5">+J8/K8</f>
        <v>16.715231788079471</v>
      </c>
      <c r="N8" s="25">
        <f>68974+25816.1+2524</f>
        <v>97314.1</v>
      </c>
      <c r="O8" s="26">
        <f>5512+1865+151</f>
        <v>7528</v>
      </c>
      <c r="P8" s="27">
        <f t="shared" ref="P8:P12" si="6">N8/O8</f>
        <v>12.926952709883103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81</v>
      </c>
      <c r="D9" s="58">
        <v>42132</v>
      </c>
      <c r="E9" s="59" t="s">
        <v>9</v>
      </c>
      <c r="F9" s="60" t="s">
        <v>9</v>
      </c>
      <c r="G9" s="61">
        <v>27</v>
      </c>
      <c r="H9" s="19">
        <v>1</v>
      </c>
      <c r="I9" s="20">
        <v>4</v>
      </c>
      <c r="J9" s="21">
        <v>1726</v>
      </c>
      <c r="K9" s="22">
        <v>172</v>
      </c>
      <c r="L9" s="23">
        <f t="shared" si="4"/>
        <v>172</v>
      </c>
      <c r="M9" s="24">
        <f t="shared" si="5"/>
        <v>10.034883720930232</v>
      </c>
      <c r="N9" s="25">
        <f>150395.08+52946.08+3011.5+1726</f>
        <v>208078.65999999997</v>
      </c>
      <c r="O9" s="26">
        <f>14539+4867+346+172</f>
        <v>19924</v>
      </c>
      <c r="P9" s="27">
        <f t="shared" si="6"/>
        <v>10.443618751254768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55</v>
      </c>
      <c r="D10" s="58">
        <v>41845</v>
      </c>
      <c r="E10" s="59" t="s">
        <v>9</v>
      </c>
      <c r="F10" s="60" t="s">
        <v>9</v>
      </c>
      <c r="G10" s="61">
        <v>23</v>
      </c>
      <c r="H10" s="19">
        <v>1</v>
      </c>
      <c r="I10" s="20">
        <v>24</v>
      </c>
      <c r="J10" s="21">
        <v>400</v>
      </c>
      <c r="K10" s="22">
        <v>50</v>
      </c>
      <c r="L10" s="23">
        <f>K10/H10</f>
        <v>50</v>
      </c>
      <c r="M10" s="24">
        <f>+J10/K10</f>
        <v>8</v>
      </c>
      <c r="N10" s="25">
        <f>73428.48+65677.81+40435.99+20437+22258.56+12040.44+17815.52+6634+2166+2694+5184+2502+3981+1205+69+696+782+2067.5+665+2013.6+288+258+96+400</f>
        <v>283794.89999999991</v>
      </c>
      <c r="O10" s="26">
        <f>7463+6959+4805+2294+2518+1280+2169+965+358+347+662+324+455+143+13+136+154+177+51+403+36+32+12+50</f>
        <v>31806</v>
      </c>
      <c r="P10" s="27">
        <f>N10/O10</f>
        <v>8.9226843991699649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70</v>
      </c>
      <c r="D11" s="58">
        <v>42104</v>
      </c>
      <c r="E11" s="59" t="s">
        <v>9</v>
      </c>
      <c r="F11" s="60" t="s">
        <v>9</v>
      </c>
      <c r="G11" s="61">
        <v>24</v>
      </c>
      <c r="H11" s="19">
        <v>1</v>
      </c>
      <c r="I11" s="20">
        <v>7</v>
      </c>
      <c r="J11" s="21">
        <v>314</v>
      </c>
      <c r="K11" s="22">
        <v>38</v>
      </c>
      <c r="L11" s="23">
        <f t="shared" si="4"/>
        <v>38</v>
      </c>
      <c r="M11" s="24">
        <f t="shared" si="5"/>
        <v>8.2631578947368425</v>
      </c>
      <c r="N11" s="25">
        <f>84987.77+10982.5+2017.5+2342+840+262+314</f>
        <v>101745.77</v>
      </c>
      <c r="O11" s="26">
        <f>7931+982+226+283+105+34+38</f>
        <v>9599</v>
      </c>
      <c r="P11" s="27">
        <f t="shared" si="6"/>
        <v>10.599621835607877</v>
      </c>
      <c r="Q11" s="29"/>
      <c r="R11" s="29"/>
      <c r="S11" s="29"/>
    </row>
    <row r="12" spans="1:19" s="3" customFormat="1" ht="22.5" customHeight="1" thickBot="1" x14ac:dyDescent="0.3">
      <c r="B12" s="4">
        <f t="shared" si="3"/>
        <v>7</v>
      </c>
      <c r="C12" s="36" t="s">
        <v>50</v>
      </c>
      <c r="D12" s="37">
        <v>41796</v>
      </c>
      <c r="E12" s="38" t="s">
        <v>9</v>
      </c>
      <c r="F12" s="39" t="s">
        <v>9</v>
      </c>
      <c r="G12" s="40">
        <v>22</v>
      </c>
      <c r="H12" s="62">
        <v>1</v>
      </c>
      <c r="I12" s="63">
        <v>33</v>
      </c>
      <c r="J12" s="64">
        <v>226</v>
      </c>
      <c r="K12" s="65">
        <v>28</v>
      </c>
      <c r="L12" s="66">
        <f t="shared" si="4"/>
        <v>28</v>
      </c>
      <c r="M12" s="67">
        <f t="shared" si="5"/>
        <v>8.0714285714285712</v>
      </c>
      <c r="N12" s="68">
        <f>166025.28+97326.52+57686.96+13701.5+11079.5+6936+18694.5+12272.5+7080.5+9304+8779+4785.44+5102.63+3908.66+4837+3724+3492+9632.5+4839+5360.5+615.5+83+1425.6+1525+121+1722.5+1737.5+1635+2287.5+272+153+136+226</f>
        <v>466507.58999999997</v>
      </c>
      <c r="O12" s="69">
        <f>15114+9515+5786+1430+1181+648+1199+1400+830+999+900+603+561+474+557+436+370+1189+567+607+105+10+285+117+12+138+141+137+196+34+19+17+28</f>
        <v>45605</v>
      </c>
      <c r="P12" s="70">
        <f t="shared" si="6"/>
        <v>10.229307970617256</v>
      </c>
      <c r="Q12" s="29"/>
      <c r="R12" s="29"/>
      <c r="S12" s="29"/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ignoredErrors>
    <ignoredError sqref="O6:O1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"/>
  <sheetViews>
    <sheetView workbookViewId="0"/>
  </sheetViews>
  <sheetFormatPr defaultRowHeight="12" x14ac:dyDescent="0.25"/>
  <cols>
    <col min="1" max="1" width="0.7109375" style="6" customWidth="1"/>
    <col min="2" max="2" width="2.7109375" style="6" bestFit="1" customWidth="1"/>
    <col min="3" max="3" width="23.28515625" style="6" customWidth="1"/>
    <col min="4" max="4" width="8.140625" style="6" bestFit="1" customWidth="1"/>
    <col min="5" max="5" width="7.85546875" style="6" bestFit="1" customWidth="1"/>
    <col min="6" max="6" width="11.28515625" style="6" customWidth="1"/>
    <col min="7" max="7" width="5.5703125" style="6" customWidth="1"/>
    <col min="8" max="8" width="5.42578125" style="6" customWidth="1"/>
    <col min="9" max="9" width="3.5703125" style="6" customWidth="1"/>
    <col min="10" max="10" width="11.140625" style="6" customWidth="1"/>
    <col min="11" max="11" width="7.85546875" style="6" customWidth="1"/>
    <col min="12" max="12" width="7.42578125" style="6" bestFit="1" customWidth="1"/>
    <col min="13" max="13" width="8.42578125" style="6" bestFit="1" customWidth="1"/>
    <col min="14" max="14" width="11.42578125" style="6" customWidth="1"/>
    <col min="15" max="16" width="10" style="6" customWidth="1"/>
    <col min="17" max="17" width="1.85546875" style="29" bestFit="1" customWidth="1"/>
    <col min="18" max="19" width="2.42578125" style="29" customWidth="1"/>
    <col min="20" max="16384" width="9.140625" style="7"/>
  </cols>
  <sheetData>
    <row r="1" spans="1:19" ht="4.5" customHeight="1" thickBot="1" x14ac:dyDescent="0.3">
      <c r="A1" s="6">
        <v>3</v>
      </c>
    </row>
    <row r="2" spans="1:19" ht="30.75" customHeight="1" x14ac:dyDescent="0.25">
      <c r="B2" s="86" t="s">
        <v>12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" t="s">
        <v>15</v>
      </c>
      <c r="O2" s="90" t="s">
        <v>85</v>
      </c>
      <c r="P2" s="91"/>
    </row>
    <row r="3" spans="1:19" ht="30.75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9" t="s">
        <v>16</v>
      </c>
      <c r="O3" s="92" t="s">
        <v>86</v>
      </c>
      <c r="P3" s="93"/>
    </row>
    <row r="4" spans="1:19" s="3" customFormat="1" ht="16.5" customHeight="1" x14ac:dyDescent="0.25">
      <c r="A4" s="1"/>
      <c r="B4" s="2"/>
      <c r="C4" s="94" t="s">
        <v>0</v>
      </c>
      <c r="D4" s="96" t="s">
        <v>1</v>
      </c>
      <c r="E4" s="98" t="s">
        <v>2</v>
      </c>
      <c r="F4" s="98" t="s">
        <v>3</v>
      </c>
      <c r="G4" s="100" t="s">
        <v>4</v>
      </c>
      <c r="H4" s="100" t="s">
        <v>5</v>
      </c>
      <c r="I4" s="102" t="s">
        <v>11</v>
      </c>
      <c r="J4" s="81" t="s">
        <v>13</v>
      </c>
      <c r="K4" s="82"/>
      <c r="L4" s="82"/>
      <c r="M4" s="83"/>
      <c r="N4" s="81" t="s">
        <v>14</v>
      </c>
      <c r="O4" s="84"/>
      <c r="P4" s="85"/>
      <c r="Q4" s="29"/>
      <c r="R4" s="29"/>
      <c r="S4" s="29"/>
    </row>
    <row r="5" spans="1:19" s="3" customFormat="1" ht="15" customHeight="1" thickBot="1" x14ac:dyDescent="0.3">
      <c r="A5" s="1"/>
      <c r="B5" s="10"/>
      <c r="C5" s="95"/>
      <c r="D5" s="97"/>
      <c r="E5" s="99"/>
      <c r="F5" s="99"/>
      <c r="G5" s="101"/>
      <c r="H5" s="101"/>
      <c r="I5" s="103"/>
      <c r="J5" s="11" t="s">
        <v>6</v>
      </c>
      <c r="K5" s="12" t="s">
        <v>7</v>
      </c>
      <c r="L5" s="13" t="s">
        <v>8</v>
      </c>
      <c r="M5" s="14" t="s">
        <v>10</v>
      </c>
      <c r="N5" s="15" t="s">
        <v>6</v>
      </c>
      <c r="O5" s="13" t="s">
        <v>7</v>
      </c>
      <c r="P5" s="14" t="s">
        <v>10</v>
      </c>
      <c r="Q5" s="29"/>
      <c r="R5" s="29"/>
      <c r="S5" s="29"/>
    </row>
    <row r="6" spans="1:19" s="3" customFormat="1" ht="22.5" customHeight="1" x14ac:dyDescent="0.25">
      <c r="B6" s="17">
        <f>B5+1</f>
        <v>1</v>
      </c>
      <c r="C6" s="44" t="s">
        <v>84</v>
      </c>
      <c r="D6" s="45">
        <v>42139</v>
      </c>
      <c r="E6" s="46" t="s">
        <v>9</v>
      </c>
      <c r="F6" s="47" t="s">
        <v>29</v>
      </c>
      <c r="G6" s="48">
        <v>16</v>
      </c>
      <c r="H6" s="49">
        <v>18</v>
      </c>
      <c r="I6" s="50">
        <v>2</v>
      </c>
      <c r="J6" s="53">
        <v>25816.1</v>
      </c>
      <c r="K6" s="16">
        <v>1865</v>
      </c>
      <c r="L6" s="51">
        <f t="shared" ref="L6" si="0">K6/H6</f>
        <v>103.61111111111111</v>
      </c>
      <c r="M6" s="52">
        <f t="shared" ref="M6" si="1">+J6/K6</f>
        <v>13.842412868632707</v>
      </c>
      <c r="N6" s="54">
        <f>68974+25816.1</f>
        <v>94790.1</v>
      </c>
      <c r="O6" s="55">
        <f>5512+1865</f>
        <v>7377</v>
      </c>
      <c r="P6" s="56">
        <f t="shared" ref="P6" si="2">N6/O6</f>
        <v>12.849410329402197</v>
      </c>
      <c r="Q6" s="29"/>
      <c r="R6" s="29"/>
      <c r="S6" s="29"/>
    </row>
    <row r="7" spans="1:19" s="3" customFormat="1" ht="22.5" customHeight="1" x14ac:dyDescent="0.25">
      <c r="B7" s="18">
        <f t="shared" ref="B7:B12" si="3">B6+1</f>
        <v>2</v>
      </c>
      <c r="C7" s="57" t="s">
        <v>81</v>
      </c>
      <c r="D7" s="58">
        <v>42132</v>
      </c>
      <c r="E7" s="59" t="s">
        <v>9</v>
      </c>
      <c r="F7" s="60" t="s">
        <v>9</v>
      </c>
      <c r="G7" s="61">
        <v>27</v>
      </c>
      <c r="H7" s="19">
        <v>6</v>
      </c>
      <c r="I7" s="20">
        <v>3</v>
      </c>
      <c r="J7" s="21">
        <v>3011.5</v>
      </c>
      <c r="K7" s="22">
        <v>346</v>
      </c>
      <c r="L7" s="23">
        <f t="shared" ref="L7:L12" si="4">K7/H7</f>
        <v>57.666666666666664</v>
      </c>
      <c r="M7" s="24">
        <f t="shared" ref="M7:M12" si="5">+J7/K7</f>
        <v>8.7037572254335256</v>
      </c>
      <c r="N7" s="25">
        <f>150395.08+52946.08+3011.5</f>
        <v>206352.65999999997</v>
      </c>
      <c r="O7" s="26">
        <f>14539+4867+346</f>
        <v>19752</v>
      </c>
      <c r="P7" s="27">
        <f t="shared" ref="P7:P12" si="6">N7/O7</f>
        <v>10.4471780072904</v>
      </c>
      <c r="Q7" s="29"/>
      <c r="R7" s="29"/>
      <c r="S7" s="29"/>
    </row>
    <row r="8" spans="1:19" s="3" customFormat="1" ht="22.5" customHeight="1" x14ac:dyDescent="0.25">
      <c r="B8" s="18">
        <f t="shared" si="3"/>
        <v>3</v>
      </c>
      <c r="C8" s="57" t="s">
        <v>22</v>
      </c>
      <c r="D8" s="58">
        <v>41964</v>
      </c>
      <c r="E8" s="59" t="s">
        <v>9</v>
      </c>
      <c r="F8" s="60" t="s">
        <v>9</v>
      </c>
      <c r="G8" s="61">
        <v>58</v>
      </c>
      <c r="H8" s="19">
        <v>3</v>
      </c>
      <c r="I8" s="20">
        <v>27</v>
      </c>
      <c r="J8" s="71">
        <v>1320</v>
      </c>
      <c r="K8" s="72">
        <v>216</v>
      </c>
      <c r="L8" s="23">
        <f t="shared" si="4"/>
        <v>72</v>
      </c>
      <c r="M8" s="24">
        <f t="shared" si="5"/>
        <v>6.1111111111111107</v>
      </c>
      <c r="N8" s="73">
        <f>1099708.11+593370.74+224185+52839.5+17039.5+9578+7414+5098+4983.5+10660.5+14194.5+2400+3550+2380.5+7656.5+4091.5+1713+2737+828+128+4019.35+696+742+3681+1237+1911+1320</f>
        <v>2078162.2000000002</v>
      </c>
      <c r="O8" s="74">
        <f>102148+56106+22339+5539+1692+934+809+597+525+1619+1502+226+582+302+1163+486+470+558+154+16+730+93+96+595+155+233+216</f>
        <v>199885</v>
      </c>
      <c r="P8" s="27">
        <f t="shared" si="6"/>
        <v>10.396789153763415</v>
      </c>
      <c r="Q8" s="29"/>
      <c r="R8" s="29"/>
      <c r="S8" s="29"/>
    </row>
    <row r="9" spans="1:19" s="3" customFormat="1" ht="22.5" customHeight="1" x14ac:dyDescent="0.25">
      <c r="B9" s="18">
        <f t="shared" si="3"/>
        <v>4</v>
      </c>
      <c r="C9" s="57" t="s">
        <v>70</v>
      </c>
      <c r="D9" s="58">
        <v>42104</v>
      </c>
      <c r="E9" s="59" t="s">
        <v>9</v>
      </c>
      <c r="F9" s="60" t="s">
        <v>9</v>
      </c>
      <c r="G9" s="61">
        <v>24</v>
      </c>
      <c r="H9" s="19">
        <v>1</v>
      </c>
      <c r="I9" s="20">
        <v>6</v>
      </c>
      <c r="J9" s="21">
        <v>262</v>
      </c>
      <c r="K9" s="22">
        <v>34</v>
      </c>
      <c r="L9" s="23">
        <f t="shared" si="4"/>
        <v>34</v>
      </c>
      <c r="M9" s="24">
        <f t="shared" si="5"/>
        <v>7.7058823529411766</v>
      </c>
      <c r="N9" s="25">
        <f>84987.77+10982.5+2017.5+2342+840+262</f>
        <v>101431.77</v>
      </c>
      <c r="O9" s="26">
        <f>7931+982+226+283+105+34</f>
        <v>9561</v>
      </c>
      <c r="P9" s="27">
        <f t="shared" si="6"/>
        <v>10.608908064010041</v>
      </c>
      <c r="Q9" s="29"/>
      <c r="R9" s="29"/>
      <c r="S9" s="29"/>
    </row>
    <row r="10" spans="1:19" s="3" customFormat="1" ht="22.5" customHeight="1" x14ac:dyDescent="0.25">
      <c r="B10" s="18">
        <f t="shared" si="3"/>
        <v>5</v>
      </c>
      <c r="C10" s="57" t="s">
        <v>50</v>
      </c>
      <c r="D10" s="58">
        <v>41796</v>
      </c>
      <c r="E10" s="59" t="s">
        <v>9</v>
      </c>
      <c r="F10" s="60" t="s">
        <v>9</v>
      </c>
      <c r="G10" s="61">
        <v>22</v>
      </c>
      <c r="H10" s="19">
        <v>1</v>
      </c>
      <c r="I10" s="20">
        <v>32</v>
      </c>
      <c r="J10" s="21">
        <v>136</v>
      </c>
      <c r="K10" s="22">
        <v>17</v>
      </c>
      <c r="L10" s="23">
        <f t="shared" si="4"/>
        <v>17</v>
      </c>
      <c r="M10" s="24">
        <f t="shared" si="5"/>
        <v>8</v>
      </c>
      <c r="N10" s="25">
        <f>166025.28+97326.52+57686.96+13701.5+11079.5+6936+18694.5+12272.5+7080.5+9304+8779+4785.44+5102.63+3908.66+4837+3724+3492+9632.5+4839+5360.5+615.5+83+1425.6+1525+121+1722.5+1737.5+1635+2287.5+272+153+136</f>
        <v>466281.58999999997</v>
      </c>
      <c r="O10" s="26">
        <f>15114+9515+5786+1430+1181+648+1199+1400+830+999+900+603+561+474+557+436+370+1189+567+607+105+10+285+117+12+138+141+137+196+34+19+17</f>
        <v>45577</v>
      </c>
      <c r="P10" s="27">
        <f t="shared" si="6"/>
        <v>10.230633652938982</v>
      </c>
      <c r="Q10" s="29"/>
      <c r="R10" s="29"/>
      <c r="S10" s="29"/>
    </row>
    <row r="11" spans="1:19" s="3" customFormat="1" ht="22.5" customHeight="1" x14ac:dyDescent="0.25">
      <c r="B11" s="18">
        <f t="shared" si="3"/>
        <v>6</v>
      </c>
      <c r="C11" s="57" t="s">
        <v>55</v>
      </c>
      <c r="D11" s="58">
        <v>41845</v>
      </c>
      <c r="E11" s="59" t="s">
        <v>9</v>
      </c>
      <c r="F11" s="60" t="s">
        <v>9</v>
      </c>
      <c r="G11" s="61">
        <v>23</v>
      </c>
      <c r="H11" s="19">
        <v>1</v>
      </c>
      <c r="I11" s="20">
        <v>23</v>
      </c>
      <c r="J11" s="21">
        <v>96</v>
      </c>
      <c r="K11" s="22">
        <v>12</v>
      </c>
      <c r="L11" s="23">
        <f t="shared" si="4"/>
        <v>12</v>
      </c>
      <c r="M11" s="24">
        <f t="shared" si="5"/>
        <v>8</v>
      </c>
      <c r="N11" s="25">
        <f>73428.48+65677.81+40435.99+20437+22258.56+12040.44+17815.52+6634+2166+2694+5184+2502+3981+1205+69+696+782+2067.5+665+2013.6+288+258+96</f>
        <v>283394.89999999991</v>
      </c>
      <c r="O11" s="26">
        <f>7463+6959+4805+2294+2518+1280+2169+965+358+347+662+324+455+143+13+136+154+177+51+403+36+32+12</f>
        <v>31756</v>
      </c>
      <c r="P11" s="27">
        <f t="shared" si="6"/>
        <v>8.9241371709283257</v>
      </c>
      <c r="Q11" s="29"/>
      <c r="R11" s="29"/>
      <c r="S11" s="29"/>
    </row>
    <row r="12" spans="1:19" s="3" customFormat="1" ht="22.5" customHeight="1" thickBot="1" x14ac:dyDescent="0.3">
      <c r="B12" s="80">
        <f t="shared" si="3"/>
        <v>7</v>
      </c>
      <c r="C12" s="36" t="s">
        <v>28</v>
      </c>
      <c r="D12" s="37">
        <v>41866</v>
      </c>
      <c r="E12" s="38" t="s">
        <v>9</v>
      </c>
      <c r="F12" s="39" t="s">
        <v>29</v>
      </c>
      <c r="G12" s="40">
        <v>31</v>
      </c>
      <c r="H12" s="30">
        <v>1</v>
      </c>
      <c r="I12" s="31">
        <v>30</v>
      </c>
      <c r="J12" s="32">
        <v>40</v>
      </c>
      <c r="K12" s="33">
        <v>5</v>
      </c>
      <c r="L12" s="41">
        <f t="shared" si="4"/>
        <v>5</v>
      </c>
      <c r="M12" s="42">
        <f t="shared" si="5"/>
        <v>8</v>
      </c>
      <c r="N12" s="34">
        <f>166393.25+120953.88+26778.83+15413.16+8141+9655+7141+22668+12148+7305+4200+124+102+212+223+1619+804+2201+992+1988+3344+6211+2046.8+2141.5+1165.4+242+120+285+1190+40</f>
        <v>425847.82</v>
      </c>
      <c r="O12" s="35">
        <f>16398+11920+2425+1471+815+935+859+2615+1401+831+549+16+14+27+29+174+87+240+98+249+365+643+408+205+207+35+17+36+371+5</f>
        <v>43445</v>
      </c>
      <c r="P12" s="43">
        <f t="shared" si="6"/>
        <v>9.8019983887674069</v>
      </c>
      <c r="Q12" s="29"/>
      <c r="R12" s="29"/>
      <c r="S12" s="29"/>
    </row>
    <row r="13" spans="1:19" x14ac:dyDescent="0.25">
      <c r="A13" s="6" t="s">
        <v>87</v>
      </c>
    </row>
  </sheetData>
  <mergeCells count="12">
    <mergeCell ref="J4:M4"/>
    <mergeCell ref="N4:P4"/>
    <mergeCell ref="B2:M3"/>
    <mergeCell ref="O2:P2"/>
    <mergeCell ref="O3:P3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97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29</vt:i4>
      </vt:variant>
    </vt:vector>
  </HeadingPairs>
  <TitlesOfParts>
    <vt:vector size="29" baseType="lpstr">
      <vt:lpstr>2015_29_17-23.07</vt:lpstr>
      <vt:lpstr>2015_28_10-16.07</vt:lpstr>
      <vt:lpstr>2015_27_03-09.07</vt:lpstr>
      <vt:lpstr>2015_26_26.06-02.07</vt:lpstr>
      <vt:lpstr>2015_25_19-25.06</vt:lpstr>
      <vt:lpstr>2015_24_12-18.06</vt:lpstr>
      <vt:lpstr>2015_23_05-11.06</vt:lpstr>
      <vt:lpstr>2015_22_29.05-04.06</vt:lpstr>
      <vt:lpstr>2015_21_22-28.05</vt:lpstr>
      <vt:lpstr>2015_20_15-21.05</vt:lpstr>
      <vt:lpstr>2015_19_08-14.05</vt:lpstr>
      <vt:lpstr>2015_18_01-07.05</vt:lpstr>
      <vt:lpstr>2015_17_24-30.04</vt:lpstr>
      <vt:lpstr>2015_16_17-23.04</vt:lpstr>
      <vt:lpstr>2015_15_10-16.04</vt:lpstr>
      <vt:lpstr>2015_14_03-09.04</vt:lpstr>
      <vt:lpstr>2015_13_27.03-02.04</vt:lpstr>
      <vt:lpstr>2015_12_20-26.03</vt:lpstr>
      <vt:lpstr>2015_11_13-19.03</vt:lpstr>
      <vt:lpstr>2015_10_06-12.03</vt:lpstr>
      <vt:lpstr>2015_09_27.02-05.03</vt:lpstr>
      <vt:lpstr>2015_08_20-26.02</vt:lpstr>
      <vt:lpstr>2015_07_13-19.02</vt:lpstr>
      <vt:lpstr>2015_06_06-12.02</vt:lpstr>
      <vt:lpstr>2015_05_30.01-05.02</vt:lpstr>
      <vt:lpstr>2015_04_23-29.01</vt:lpstr>
      <vt:lpstr>2015_03_16-22.01</vt:lpstr>
      <vt:lpstr>2015_02_09-15.01</vt:lpstr>
      <vt:lpstr>2015_01_02-08.01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URAL</dc:creator>
  <cp:lastModifiedBy>Kemal URAL</cp:lastModifiedBy>
  <cp:lastPrinted>2015-04-10T13:16:53Z</cp:lastPrinted>
  <dcterms:created xsi:type="dcterms:W3CDTF">2014-02-17T12:24:16Z</dcterms:created>
  <dcterms:modified xsi:type="dcterms:W3CDTF">2015-07-24T12:05:28Z</dcterms:modified>
</cp:coreProperties>
</file>