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635"/>
  </bookViews>
  <sheets>
    <sheet name="2015_28_10-16.07" sheetId="73" r:id="rId1"/>
    <sheet name="2015_27_03-09.07" sheetId="72" r:id="rId2"/>
    <sheet name="2015_26_26.06-02.07" sheetId="71" r:id="rId3"/>
    <sheet name="2015_25_19-25.06" sheetId="70" r:id="rId4"/>
    <sheet name="2015_24_12-18.06" sheetId="69" r:id="rId5"/>
    <sheet name="2015_23_05-11.06" sheetId="68" r:id="rId6"/>
    <sheet name="2015_22_29.05-04.06" sheetId="67" r:id="rId7"/>
    <sheet name="2015_21_22-28.05" sheetId="66" r:id="rId8"/>
    <sheet name="2015_20_15-21.05" sheetId="65" r:id="rId9"/>
    <sheet name="2015_19_08-14.05" sheetId="64" r:id="rId10"/>
    <sheet name="2015_18_01-07.05" sheetId="63" r:id="rId11"/>
    <sheet name="2015_17_24-30.04" sheetId="62" r:id="rId12"/>
    <sheet name="2015_16_17-23.04" sheetId="61" r:id="rId13"/>
    <sheet name="2015_15_10-16.04" sheetId="60" r:id="rId14"/>
    <sheet name="2015_14_03-09.04" sheetId="59" r:id="rId15"/>
    <sheet name="2015_13_27.03-02.04" sheetId="58" r:id="rId16"/>
    <sheet name="2015_12_20-26.03" sheetId="56" r:id="rId17"/>
    <sheet name="2015_11_13-19.03" sheetId="57" r:id="rId18"/>
    <sheet name="2015_10_06-12.03" sheetId="55" r:id="rId19"/>
    <sheet name="2015_09_27.02-05.03" sheetId="54" r:id="rId20"/>
    <sheet name="2015_08_20-26.02" sheetId="53" r:id="rId21"/>
    <sheet name="2015_07_13-19.02" sheetId="52" r:id="rId22"/>
    <sheet name="2015_06_06-12.02" sheetId="51" r:id="rId23"/>
    <sheet name="2015_05_30.01-05.02" sheetId="50" r:id="rId24"/>
    <sheet name="2015_04_23-29.01" sheetId="49" r:id="rId25"/>
    <sheet name="2015_03_16-22.01" sheetId="48" r:id="rId26"/>
    <sheet name="2015_02_09-15.01" sheetId="47" r:id="rId27"/>
    <sheet name="2015_01_02-08.01" sheetId="46" r:id="rId28"/>
  </sheets>
  <definedNames>
    <definedName name="_xlnm._FilterDatabase" localSheetId="18" hidden="1">'2015_10_06-12.03'!$J$5:$M$5</definedName>
    <definedName name="_xlnm._FilterDatabase" localSheetId="17" hidden="1">'2015_11_13-19.03'!$J$5:$M$5</definedName>
    <definedName name="_xlnm._FilterDatabase" localSheetId="16" hidden="1">'2015_12_20-26.03'!$J$5:$M$5</definedName>
    <definedName name="_xlnm._FilterDatabase" localSheetId="15" hidden="1">'2015_13_27.03-02.04'!$J$5:$M$5</definedName>
    <definedName name="_xlnm._FilterDatabase" localSheetId="14" hidden="1">'2015_14_03-09.04'!$J$5:$M$5</definedName>
    <definedName name="_xlnm._FilterDatabase" localSheetId="13" hidden="1">'2015_15_10-16.04'!$J$5:$M$5</definedName>
    <definedName name="_xlnm._FilterDatabase" localSheetId="12" hidden="1">'2015_16_17-23.04'!$J$5:$M$5</definedName>
    <definedName name="_xlnm._FilterDatabase" localSheetId="11" hidden="1">'2015_17_24-30.04'!$J$5:$M$5</definedName>
    <definedName name="_xlnm._FilterDatabase" localSheetId="10" hidden="1">'2015_18_01-07.05'!$J$5:$M$5</definedName>
    <definedName name="_xlnm._FilterDatabase" localSheetId="9" hidden="1">'2015_19_08-14.05'!$J$5:$M$5</definedName>
    <definedName name="_xlnm._FilterDatabase" localSheetId="8" hidden="1">'2015_20_15-21.05'!$J$5:$M$5</definedName>
    <definedName name="_xlnm._FilterDatabase" localSheetId="7" hidden="1">'2015_21_22-28.05'!$J$5:$M$5</definedName>
    <definedName name="_xlnm._FilterDatabase" localSheetId="6" hidden="1">'2015_22_29.05-04.06'!$J$5:$M$5</definedName>
    <definedName name="_xlnm._FilterDatabase" localSheetId="5" hidden="1">'2015_23_05-11.06'!$J$5:$M$5</definedName>
    <definedName name="_xlnm._FilterDatabase" localSheetId="4" hidden="1">'2015_24_12-18.06'!$J$5:$M$5</definedName>
    <definedName name="_xlnm._FilterDatabase" localSheetId="3" hidden="1">'2015_25_19-25.06'!$J$5:$M$5</definedName>
    <definedName name="_xlnm._FilterDatabase" localSheetId="2" hidden="1">'2015_26_26.06-02.07'!$J$5:$M$5</definedName>
    <definedName name="_xlnm._FilterDatabase" localSheetId="1" hidden="1">'2015_27_03-09.07'!$J$5:$M$5</definedName>
    <definedName name="_xlnm._FilterDatabase" localSheetId="0" hidden="1">'2015_28_10-16.07'!$J$5:$M$5</definedName>
  </definedNames>
  <calcPr calcId="145621"/>
</workbook>
</file>

<file path=xl/calcChain.xml><?xml version="1.0" encoding="utf-8"?>
<calcChain xmlns="http://schemas.openxmlformats.org/spreadsheetml/2006/main">
  <c r="B7" i="73" l="1"/>
  <c r="B8" i="73" s="1"/>
  <c r="B9" i="73" s="1"/>
  <c r="B10" i="73" s="1"/>
  <c r="B11" i="73" s="1"/>
  <c r="B12" i="73" s="1"/>
  <c r="B13" i="73" s="1"/>
  <c r="B14" i="73" s="1"/>
  <c r="B15" i="73" s="1"/>
  <c r="B16" i="73" s="1"/>
  <c r="B17" i="73" s="1"/>
  <c r="B18" i="73" s="1"/>
  <c r="B6" i="73"/>
  <c r="O18" i="73"/>
  <c r="N18" i="73"/>
  <c r="O17" i="73"/>
  <c r="N17" i="73"/>
  <c r="O16" i="73"/>
  <c r="N16" i="73"/>
  <c r="O10" i="73"/>
  <c r="N10" i="73"/>
  <c r="O13" i="73"/>
  <c r="N13" i="73"/>
  <c r="O12" i="73"/>
  <c r="N12" i="73"/>
  <c r="O11" i="73"/>
  <c r="N11" i="73"/>
  <c r="O15" i="73"/>
  <c r="N15" i="73"/>
  <c r="O9" i="73"/>
  <c r="N9" i="73"/>
  <c r="O14" i="73"/>
  <c r="N14" i="73"/>
  <c r="O7" i="73"/>
  <c r="N7" i="73"/>
  <c r="O8" i="73"/>
  <c r="N8" i="73"/>
  <c r="O6" i="73"/>
  <c r="N6" i="73"/>
  <c r="P17" i="73" l="1"/>
  <c r="M17" i="73"/>
  <c r="L17" i="73"/>
  <c r="P13" i="73"/>
  <c r="M13" i="73"/>
  <c r="L13" i="73"/>
  <c r="P6" i="73" l="1"/>
  <c r="M6" i="73"/>
  <c r="L6" i="73"/>
  <c r="M18" i="73"/>
  <c r="L18" i="73"/>
  <c r="P16" i="73"/>
  <c r="M16" i="73"/>
  <c r="L16" i="73"/>
  <c r="M9" i="73"/>
  <c r="L9" i="73"/>
  <c r="P10" i="73"/>
  <c r="M10" i="73"/>
  <c r="L10" i="73"/>
  <c r="M11" i="73"/>
  <c r="L11" i="73"/>
  <c r="M14" i="73"/>
  <c r="L14" i="73"/>
  <c r="P12" i="73"/>
  <c r="M12" i="73"/>
  <c r="L12" i="73"/>
  <c r="M15" i="73"/>
  <c r="L15" i="73"/>
  <c r="M7" i="73"/>
  <c r="L7" i="73"/>
  <c r="P8" i="73"/>
  <c r="M8" i="73"/>
  <c r="L8" i="73"/>
  <c r="P7" i="73" l="1"/>
  <c r="P15" i="73"/>
  <c r="P14" i="73"/>
  <c r="P11" i="73"/>
  <c r="P9" i="73"/>
  <c r="P18" i="73"/>
  <c r="B7" i="72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B6" i="72"/>
  <c r="O14" i="72"/>
  <c r="N14" i="72"/>
  <c r="O12" i="72"/>
  <c r="N12" i="72"/>
  <c r="O16" i="72"/>
  <c r="N16" i="72"/>
  <c r="O17" i="72"/>
  <c r="N17" i="72"/>
  <c r="O6" i="72"/>
  <c r="N6" i="72"/>
  <c r="O7" i="72"/>
  <c r="N7" i="72"/>
  <c r="O11" i="72"/>
  <c r="N11" i="72"/>
  <c r="O15" i="72"/>
  <c r="N15" i="72"/>
  <c r="O9" i="72"/>
  <c r="N9" i="72"/>
  <c r="O13" i="72"/>
  <c r="N13" i="72"/>
  <c r="O10" i="72"/>
  <c r="N10" i="72"/>
  <c r="O8" i="72"/>
  <c r="N8" i="72"/>
  <c r="P8" i="72" l="1"/>
  <c r="M8" i="72"/>
  <c r="L8" i="72"/>
  <c r="M15" i="72"/>
  <c r="L15" i="72"/>
  <c r="M13" i="72"/>
  <c r="L13" i="72"/>
  <c r="M12" i="72"/>
  <c r="L12" i="72"/>
  <c r="M16" i="72"/>
  <c r="L16" i="72"/>
  <c r="M6" i="72"/>
  <c r="L6" i="72"/>
  <c r="M17" i="72"/>
  <c r="L17" i="72"/>
  <c r="M10" i="72"/>
  <c r="L10" i="72"/>
  <c r="M9" i="72"/>
  <c r="L9" i="72"/>
  <c r="M14" i="72"/>
  <c r="L14" i="72"/>
  <c r="M11" i="72"/>
  <c r="L11" i="72"/>
  <c r="M7" i="72"/>
  <c r="L7" i="72"/>
  <c r="P13" i="72" l="1"/>
  <c r="P15" i="72"/>
  <c r="P7" i="72"/>
  <c r="P11" i="72"/>
  <c r="P9" i="72"/>
  <c r="P17" i="72"/>
  <c r="P6" i="72"/>
  <c r="P16" i="72"/>
  <c r="P12" i="72"/>
  <c r="P14" i="72"/>
  <c r="P10" i="72"/>
  <c r="B7" i="71"/>
  <c r="B8" i="71" s="1"/>
  <c r="B9" i="71" s="1"/>
  <c r="B10" i="71" s="1"/>
  <c r="B11" i="71" s="1"/>
  <c r="B12" i="71" s="1"/>
  <c r="B13" i="71" s="1"/>
  <c r="B14" i="71" s="1"/>
  <c r="B15" i="71" s="1"/>
  <c r="B16" i="71" s="1"/>
  <c r="B6" i="71"/>
  <c r="O10" i="71"/>
  <c r="N10" i="71"/>
  <c r="O14" i="71"/>
  <c r="N14" i="71"/>
  <c r="O15" i="71"/>
  <c r="N15" i="71"/>
  <c r="P15" i="71" s="1"/>
  <c r="M15" i="71"/>
  <c r="L15" i="71"/>
  <c r="O6" i="71" l="1"/>
  <c r="N6" i="71"/>
  <c r="O7" i="71"/>
  <c r="N7" i="71"/>
  <c r="O13" i="71"/>
  <c r="N13" i="71"/>
  <c r="O11" i="71"/>
  <c r="N11" i="71"/>
  <c r="O16" i="71"/>
  <c r="N16" i="71"/>
  <c r="P16" i="71" s="1"/>
  <c r="M16" i="71"/>
  <c r="L16" i="71"/>
  <c r="O9" i="71"/>
  <c r="N9" i="71"/>
  <c r="M9" i="71"/>
  <c r="L9" i="71"/>
  <c r="O12" i="71"/>
  <c r="N12" i="71"/>
  <c r="O8" i="71"/>
  <c r="N8" i="71"/>
  <c r="M8" i="71"/>
  <c r="L8" i="71"/>
  <c r="P9" i="71" l="1"/>
  <c r="P8" i="71"/>
  <c r="P6" i="71"/>
  <c r="M6" i="71"/>
  <c r="L6" i="71"/>
  <c r="M14" i="71"/>
  <c r="L14" i="71"/>
  <c r="M12" i="71"/>
  <c r="L12" i="71"/>
  <c r="P13" i="71"/>
  <c r="M13" i="71"/>
  <c r="L13" i="71"/>
  <c r="P10" i="71"/>
  <c r="M10" i="71"/>
  <c r="L10" i="71"/>
  <c r="P11" i="71"/>
  <c r="M11" i="71"/>
  <c r="L11" i="71"/>
  <c r="M7" i="71"/>
  <c r="L7" i="71"/>
  <c r="P14" i="71" l="1"/>
  <c r="P7" i="71"/>
  <c r="P12" i="71"/>
  <c r="B7" i="70"/>
  <c r="B8" i="70" s="1"/>
  <c r="B9" i="70" s="1"/>
  <c r="B10" i="70" s="1"/>
  <c r="B11" i="70" s="1"/>
  <c r="B12" i="70" s="1"/>
  <c r="B13" i="70" s="1"/>
  <c r="B14" i="70" s="1"/>
  <c r="B15" i="70" s="1"/>
  <c r="B6" i="70"/>
  <c r="O11" i="70"/>
  <c r="N11" i="70"/>
  <c r="O14" i="70"/>
  <c r="N14" i="70"/>
  <c r="O6" i="70"/>
  <c r="N6" i="70"/>
  <c r="O7" i="70"/>
  <c r="N7" i="70"/>
  <c r="P7" i="70" s="1"/>
  <c r="O13" i="70"/>
  <c r="N13" i="70"/>
  <c r="O10" i="70"/>
  <c r="N10" i="70"/>
  <c r="O15" i="70"/>
  <c r="N15" i="70"/>
  <c r="N9" i="70"/>
  <c r="O9" i="70"/>
  <c r="P9" i="70" s="1"/>
  <c r="O8" i="70"/>
  <c r="N8" i="70"/>
  <c r="P8" i="70" s="1"/>
  <c r="M13" i="70"/>
  <c r="L13" i="70"/>
  <c r="M7" i="70"/>
  <c r="L7" i="70"/>
  <c r="M9" i="70"/>
  <c r="L9" i="70"/>
  <c r="M8" i="70"/>
  <c r="L8" i="70"/>
  <c r="P13" i="70" l="1"/>
  <c r="P6" i="70"/>
  <c r="M6" i="70"/>
  <c r="L6" i="70"/>
  <c r="O12" i="70" l="1"/>
  <c r="N12" i="70"/>
  <c r="M14" i="70" l="1"/>
  <c r="L14" i="70"/>
  <c r="M15" i="70"/>
  <c r="L15" i="70"/>
  <c r="M11" i="70"/>
  <c r="L11" i="70"/>
  <c r="P12" i="70"/>
  <c r="M12" i="70"/>
  <c r="L12" i="70"/>
  <c r="M10" i="70"/>
  <c r="L10" i="70"/>
  <c r="P11" i="70" l="1"/>
  <c r="P15" i="70"/>
  <c r="P14" i="70"/>
  <c r="P10" i="70"/>
  <c r="B7" i="69"/>
  <c r="B8" i="69"/>
  <c r="B9" i="69"/>
  <c r="B10" i="69" s="1"/>
  <c r="B11" i="69" s="1"/>
  <c r="B6" i="69"/>
  <c r="O11" i="69"/>
  <c r="N11" i="69"/>
  <c r="O7" i="69"/>
  <c r="N7" i="69"/>
  <c r="O8" i="69"/>
  <c r="N8" i="69"/>
  <c r="O6" i="69"/>
  <c r="N6" i="69"/>
  <c r="O9" i="69"/>
  <c r="N9" i="69"/>
  <c r="O10" i="69"/>
  <c r="N10" i="69"/>
  <c r="P9" i="69" l="1"/>
  <c r="M9" i="69"/>
  <c r="L9" i="69"/>
  <c r="P11" i="69"/>
  <c r="M11" i="69"/>
  <c r="L11" i="69"/>
  <c r="P10" i="69"/>
  <c r="M10" i="69"/>
  <c r="L10" i="69"/>
  <c r="M8" i="69"/>
  <c r="L8" i="69"/>
  <c r="P6" i="69"/>
  <c r="M6" i="69"/>
  <c r="L6" i="69"/>
  <c r="P7" i="69"/>
  <c r="M7" i="69"/>
  <c r="L7" i="69"/>
  <c r="P8" i="69" l="1"/>
  <c r="B8" i="68"/>
  <c r="B9" i="68" s="1"/>
  <c r="B10" i="68" s="1"/>
  <c r="B11" i="68" s="1"/>
  <c r="B12" i="68" s="1"/>
  <c r="O6" i="68"/>
  <c r="N6" i="68"/>
  <c r="O10" i="68"/>
  <c r="N10" i="68"/>
  <c r="P10" i="68" s="1"/>
  <c r="O9" i="68"/>
  <c r="N9" i="68"/>
  <c r="O12" i="68"/>
  <c r="N12" i="68"/>
  <c r="O7" i="68"/>
  <c r="N7" i="68"/>
  <c r="O11" i="68"/>
  <c r="N11" i="68"/>
  <c r="O8" i="68"/>
  <c r="N8" i="68"/>
  <c r="M10" i="68"/>
  <c r="L10" i="68"/>
  <c r="P12" i="68" l="1"/>
  <c r="M12" i="68"/>
  <c r="L12" i="68"/>
  <c r="P9" i="68"/>
  <c r="M9" i="68"/>
  <c r="L9" i="68"/>
  <c r="M11" i="68"/>
  <c r="L11" i="68"/>
  <c r="P8" i="68"/>
  <c r="M8" i="68"/>
  <c r="L8" i="68"/>
  <c r="M7" i="68"/>
  <c r="L7" i="68"/>
  <c r="P6" i="68"/>
  <c r="M6" i="68"/>
  <c r="L6" i="68"/>
  <c r="B6" i="68"/>
  <c r="B7" i="68" s="1"/>
  <c r="P7" i="68" l="1"/>
  <c r="P11" i="68"/>
  <c r="B7" i="67"/>
  <c r="B8" i="67"/>
  <c r="B9" i="67" s="1"/>
  <c r="B10" i="67" s="1"/>
  <c r="B11" i="67" s="1"/>
  <c r="B12" i="67" s="1"/>
  <c r="B6" i="67"/>
  <c r="O7" i="67"/>
  <c r="N7" i="67"/>
  <c r="O10" i="67"/>
  <c r="N10" i="67"/>
  <c r="O12" i="67"/>
  <c r="N12" i="67"/>
  <c r="O6" i="67"/>
  <c r="N6" i="67"/>
  <c r="O9" i="67"/>
  <c r="N9" i="67"/>
  <c r="O11" i="67"/>
  <c r="N11" i="67"/>
  <c r="O8" i="67"/>
  <c r="N8" i="67"/>
  <c r="P6" i="67" l="1"/>
  <c r="M6" i="67"/>
  <c r="L6" i="67"/>
  <c r="M10" i="67"/>
  <c r="L10" i="67"/>
  <c r="M12" i="67"/>
  <c r="L12" i="67"/>
  <c r="P11" i="67"/>
  <c r="M11" i="67"/>
  <c r="L11" i="67"/>
  <c r="P7" i="67"/>
  <c r="M7" i="67"/>
  <c r="L7" i="67"/>
  <c r="P9" i="67"/>
  <c r="M9" i="67"/>
  <c r="L9" i="67"/>
  <c r="P8" i="67"/>
  <c r="M8" i="67"/>
  <c r="L8" i="67"/>
  <c r="P10" i="67" l="1"/>
  <c r="P12" i="67"/>
  <c r="O8" i="66"/>
  <c r="N8" i="66"/>
  <c r="O12" i="66" l="1"/>
  <c r="P12" i="66" s="1"/>
  <c r="N12" i="66"/>
  <c r="M12" i="66"/>
  <c r="L12" i="66"/>
  <c r="O11" i="66"/>
  <c r="N11" i="66"/>
  <c r="P11" i="66" s="1"/>
  <c r="M11" i="66"/>
  <c r="L11" i="66"/>
  <c r="O10" i="66"/>
  <c r="N10" i="66"/>
  <c r="P10" i="66" s="1"/>
  <c r="M10" i="66"/>
  <c r="L10" i="66"/>
  <c r="O9" i="66"/>
  <c r="N9" i="66"/>
  <c r="P9" i="66" s="1"/>
  <c r="M9" i="66"/>
  <c r="L9" i="66"/>
  <c r="M8" i="66"/>
  <c r="L8" i="66"/>
  <c r="O7" i="66"/>
  <c r="P7" i="66" s="1"/>
  <c r="N7" i="66"/>
  <c r="M7" i="66"/>
  <c r="L7" i="66"/>
  <c r="O6" i="66"/>
  <c r="N6" i="66"/>
  <c r="M6" i="66"/>
  <c r="L6" i="66"/>
  <c r="B6" i="66"/>
  <c r="B7" i="66" s="1"/>
  <c r="B8" i="66" s="1"/>
  <c r="B9" i="66" s="1"/>
  <c r="B10" i="66" s="1"/>
  <c r="B11" i="66" s="1"/>
  <c r="B12" i="66" s="1"/>
  <c r="P6" i="66" l="1"/>
  <c r="P8" i="66"/>
  <c r="O11" i="65"/>
  <c r="N11" i="65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O19" i="64"/>
  <c r="P19" i="64" s="1"/>
  <c r="N19" i="64"/>
  <c r="M19" i="64"/>
  <c r="L19" i="64"/>
  <c r="O18" i="64"/>
  <c r="N18" i="64"/>
  <c r="P18" i="64" s="1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N7" i="64"/>
  <c r="M7" i="64"/>
  <c r="L7" i="64"/>
  <c r="O6" i="64"/>
  <c r="N6" i="64"/>
  <c r="P6" i="64" s="1"/>
  <c r="M6" i="64"/>
  <c r="L6" i="64"/>
  <c r="P7" i="64" l="1"/>
  <c r="P11" i="64"/>
  <c r="P15" i="64"/>
  <c r="P8" i="64"/>
  <c r="P9" i="64"/>
  <c r="B6" i="64" l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P12" i="63" s="1"/>
  <c r="O9" i="63"/>
  <c r="N9" i="63"/>
  <c r="O8" i="63"/>
  <c r="N8" i="63"/>
  <c r="O11" i="63"/>
  <c r="N11" i="63"/>
  <c r="M11" i="63"/>
  <c r="L11" i="63"/>
  <c r="L8" i="48"/>
  <c r="M8" i="48"/>
  <c r="N8" i="48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P8" i="62" s="1"/>
  <c r="N8" i="62"/>
  <c r="O6" i="62"/>
  <c r="N6" i="62"/>
  <c r="O14" i="62"/>
  <c r="N14" i="62"/>
  <c r="O13" i="62"/>
  <c r="N13" i="62"/>
  <c r="P13" i="62" s="1"/>
  <c r="O11" i="62"/>
  <c r="P11" i="62" s="1"/>
  <c r="N11" i="62"/>
  <c r="O10" i="62"/>
  <c r="N10" i="62"/>
  <c r="O12" i="62"/>
  <c r="N12" i="62"/>
  <c r="O7" i="62"/>
  <c r="N7" i="62"/>
  <c r="P7" i="62" s="1"/>
  <c r="O9" i="62"/>
  <c r="N9" i="62"/>
  <c r="P14" i="62"/>
  <c r="M14" i="62"/>
  <c r="L14" i="62"/>
  <c r="M10" i="62"/>
  <c r="L10" i="62"/>
  <c r="P12" i="62"/>
  <c r="M12" i="62"/>
  <c r="L12" i="62"/>
  <c r="M6" i="62"/>
  <c r="L6" i="62"/>
  <c r="M13" i="62"/>
  <c r="L13" i="62"/>
  <c r="M11" i="62"/>
  <c r="L11" i="62"/>
  <c r="P9" i="62"/>
  <c r="M9" i="62"/>
  <c r="L9" i="62"/>
  <c r="M8" i="62"/>
  <c r="L8" i="62"/>
  <c r="M7" i="62"/>
  <c r="L7" i="62"/>
  <c r="N6" i="61"/>
  <c r="N7" i="61"/>
  <c r="O8" i="61"/>
  <c r="N8" i="61"/>
  <c r="B6" i="61"/>
  <c r="B7" i="61" s="1"/>
  <c r="B8" i="61" s="1"/>
  <c r="B9" i="61" s="1"/>
  <c r="B10" i="61" s="1"/>
  <c r="O7" i="61"/>
  <c r="O6" i="61"/>
  <c r="P6" i="61" s="1"/>
  <c r="O9" i="61"/>
  <c r="N9" i="61"/>
  <c r="O10" i="61"/>
  <c r="N10" i="61"/>
  <c r="M9" i="61"/>
  <c r="L9" i="61"/>
  <c r="M10" i="61"/>
  <c r="L10" i="61"/>
  <c r="P7" i="61"/>
  <c r="M7" i="61"/>
  <c r="L7" i="61"/>
  <c r="M8" i="61"/>
  <c r="L8" i="61"/>
  <c r="M6" i="61"/>
  <c r="L6" i="61"/>
  <c r="O8" i="60"/>
  <c r="N8" i="60"/>
  <c r="O7" i="60"/>
  <c r="N7" i="60"/>
  <c r="P7" i="60" s="1"/>
  <c r="O6" i="60"/>
  <c r="N6" i="60"/>
  <c r="O10" i="60"/>
  <c r="N10" i="60"/>
  <c r="P10" i="60" s="1"/>
  <c r="B6" i="60"/>
  <c r="B7" i="60" s="1"/>
  <c r="B8" i="60" s="1"/>
  <c r="B9" i="60" s="1"/>
  <c r="B10" i="60" s="1"/>
  <c r="O9" i="60"/>
  <c r="N9" i="60"/>
  <c r="P6" i="60"/>
  <c r="M6" i="60"/>
  <c r="L6" i="60"/>
  <c r="M9" i="60"/>
  <c r="L9" i="60"/>
  <c r="M10" i="60"/>
  <c r="L10" i="60"/>
  <c r="M8" i="60"/>
  <c r="L8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O9" i="59"/>
  <c r="P9" i="59" s="1"/>
  <c r="N9" i="59"/>
  <c r="O8" i="59"/>
  <c r="N8" i="59"/>
  <c r="P8" i="59" s="1"/>
  <c r="O10" i="59"/>
  <c r="N10" i="59"/>
  <c r="M8" i="59"/>
  <c r="L8" i="59"/>
  <c r="M9" i="59"/>
  <c r="L9" i="59"/>
  <c r="M10" i="59"/>
  <c r="L10" i="59"/>
  <c r="P7" i="59"/>
  <c r="M7" i="59"/>
  <c r="L7" i="59"/>
  <c r="O11" i="58"/>
  <c r="P11" i="58" s="1"/>
  <c r="N11" i="58"/>
  <c r="O9" i="58"/>
  <c r="N9" i="58"/>
  <c r="O7" i="58"/>
  <c r="N7" i="58"/>
  <c r="M7" i="58"/>
  <c r="L7" i="58"/>
  <c r="O8" i="58"/>
  <c r="N8" i="58"/>
  <c r="M8" i="58"/>
  <c r="L8" i="58"/>
  <c r="O6" i="58"/>
  <c r="P6" i="58" s="1"/>
  <c r="N6" i="58"/>
  <c r="O10" i="58"/>
  <c r="N10" i="58"/>
  <c r="P10" i="58" s="1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P6" i="56" s="1"/>
  <c r="N6" i="56"/>
  <c r="O11" i="56"/>
  <c r="N11" i="56"/>
  <c r="M11" i="56"/>
  <c r="L11" i="56"/>
  <c r="O10" i="56"/>
  <c r="N10" i="56"/>
  <c r="M10" i="56"/>
  <c r="L10" i="56"/>
  <c r="O9" i="56"/>
  <c r="N9" i="56"/>
  <c r="P9" i="56" s="1"/>
  <c r="M9" i="56"/>
  <c r="L9" i="56"/>
  <c r="O8" i="56"/>
  <c r="N8" i="56"/>
  <c r="P8" i="56" s="1"/>
  <c r="M8" i="56"/>
  <c r="L8" i="56"/>
  <c r="O7" i="56"/>
  <c r="N7" i="56"/>
  <c r="P7" i="56" s="1"/>
  <c r="M7" i="56"/>
  <c r="L7" i="56"/>
  <c r="M6" i="56"/>
  <c r="L6" i="56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M11" i="57"/>
  <c r="L11" i="57"/>
  <c r="O10" i="57"/>
  <c r="N10" i="57"/>
  <c r="M10" i="57"/>
  <c r="L10" i="57"/>
  <c r="O9" i="57"/>
  <c r="N9" i="57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15" i="57"/>
  <c r="P11" i="57"/>
  <c r="B6" i="56"/>
  <c r="B7" i="56" s="1"/>
  <c r="B8" i="56" s="1"/>
  <c r="B9" i="56" s="1"/>
  <c r="B10" i="56" s="1"/>
  <c r="B11" i="56" s="1"/>
  <c r="O11" i="55"/>
  <c r="N11" i="55"/>
  <c r="P11" i="55" s="1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M11" i="55"/>
  <c r="L11" i="55"/>
  <c r="M15" i="55"/>
  <c r="L15" i="55"/>
  <c r="M14" i="55"/>
  <c r="L14" i="55"/>
  <c r="M13" i="55"/>
  <c r="L13" i="55"/>
  <c r="M16" i="55"/>
  <c r="L16" i="55"/>
  <c r="P12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O11" i="54"/>
  <c r="N11" i="54"/>
  <c r="M11" i="54"/>
  <c r="L11" i="54"/>
  <c r="O10" i="54"/>
  <c r="N10" i="54"/>
  <c r="M10" i="54"/>
  <c r="L10" i="54"/>
  <c r="O9" i="54"/>
  <c r="N9" i="54"/>
  <c r="M9" i="54"/>
  <c r="L9" i="54"/>
  <c r="M8" i="54"/>
  <c r="L8" i="54"/>
  <c r="O7" i="54"/>
  <c r="N7" i="54"/>
  <c r="P7" i="54"/>
  <c r="M7" i="54"/>
  <c r="L7" i="54"/>
  <c r="O6" i="54"/>
  <c r="N6" i="54"/>
  <c r="P6" i="54" s="1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P6" i="53" s="1"/>
  <c r="O8" i="53"/>
  <c r="N8" i="53"/>
  <c r="O10" i="53"/>
  <c r="N10" i="53"/>
  <c r="P10" i="53" s="1"/>
  <c r="O9" i="53"/>
  <c r="P9" i="53" s="1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O6" i="52"/>
  <c r="N6" i="52"/>
  <c r="P6" i="52" s="1"/>
  <c r="O8" i="52"/>
  <c r="P8" i="52" s="1"/>
  <c r="N8" i="52"/>
  <c r="O9" i="52"/>
  <c r="N9" i="52"/>
  <c r="M9" i="52"/>
  <c r="L9" i="52"/>
  <c r="M8" i="52"/>
  <c r="L8" i="52"/>
  <c r="M7" i="52"/>
  <c r="L7" i="52"/>
  <c r="M6" i="52"/>
  <c r="L6" i="52"/>
  <c r="B6" i="52"/>
  <c r="B7" i="52" s="1"/>
  <c r="B8" i="52" s="1"/>
  <c r="B9" i="52" s="1"/>
  <c r="O10" i="51"/>
  <c r="N10" i="51"/>
  <c r="M10" i="51"/>
  <c r="L10" i="51"/>
  <c r="O9" i="51"/>
  <c r="P9" i="51" s="1"/>
  <c r="N9" i="51"/>
  <c r="M9" i="51"/>
  <c r="L9" i="51"/>
  <c r="O8" i="51"/>
  <c r="N8" i="5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O8" i="50"/>
  <c r="N8" i="50"/>
  <c r="O10" i="50"/>
  <c r="N10" i="50"/>
  <c r="O7" i="50"/>
  <c r="N7" i="50"/>
  <c r="P7" i="50" s="1"/>
  <c r="O9" i="50"/>
  <c r="N9" i="50"/>
  <c r="M9" i="50"/>
  <c r="L9" i="50"/>
  <c r="M10" i="50"/>
  <c r="L10" i="50"/>
  <c r="M8" i="50"/>
  <c r="L8" i="50"/>
  <c r="M7" i="50"/>
  <c r="L7" i="50"/>
  <c r="M6" i="50"/>
  <c r="L6" i="50"/>
  <c r="B6" i="50"/>
  <c r="B7" i="50" s="1"/>
  <c r="B8" i="50" s="1"/>
  <c r="B9" i="50" s="1"/>
  <c r="B10" i="50" s="1"/>
  <c r="O6" i="49"/>
  <c r="N6" i="49"/>
  <c r="P6" i="49" s="1"/>
  <c r="O7" i="49"/>
  <c r="N7" i="49"/>
  <c r="O9" i="49"/>
  <c r="N9" i="49"/>
  <c r="O10" i="49"/>
  <c r="N10" i="49"/>
  <c r="O8" i="49"/>
  <c r="N8" i="49"/>
  <c r="P8" i="49" s="1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P9" i="49"/>
  <c r="N10" i="48"/>
  <c r="O10" i="48"/>
  <c r="M10" i="48"/>
  <c r="L10" i="48"/>
  <c r="N9" i="48"/>
  <c r="P9" i="48" s="1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P7" i="47" s="1"/>
  <c r="O8" i="47"/>
  <c r="N8" i="47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N9" i="46"/>
  <c r="P9" i="46" s="1"/>
  <c r="O10" i="46"/>
  <c r="N10" i="46"/>
  <c r="P10" i="46" s="1"/>
  <c r="O8" i="46"/>
  <c r="N8" i="46"/>
  <c r="O7" i="46"/>
  <c r="N7" i="46"/>
  <c r="M8" i="46"/>
  <c r="L8" i="46"/>
  <c r="M7" i="46"/>
  <c r="L7" i="46"/>
  <c r="M10" i="46"/>
  <c r="L10" i="46"/>
  <c r="M9" i="46"/>
  <c r="L9" i="46"/>
  <c r="M6" i="46"/>
  <c r="L6" i="46"/>
  <c r="P6" i="46" l="1"/>
  <c r="P8" i="54"/>
  <c r="P14" i="55"/>
  <c r="P8" i="55"/>
  <c r="P10" i="56"/>
  <c r="P10" i="61"/>
  <c r="P6" i="62"/>
  <c r="P8" i="48"/>
  <c r="P8" i="47"/>
  <c r="P9" i="50"/>
  <c r="P10" i="50"/>
  <c r="P6" i="50"/>
  <c r="P7" i="52"/>
  <c r="P10" i="55"/>
  <c r="P13" i="55"/>
  <c r="P6" i="55"/>
  <c r="P9" i="55"/>
  <c r="P9" i="57"/>
  <c r="P10" i="57"/>
  <c r="P12" i="57"/>
  <c r="P14" i="57"/>
  <c r="P9" i="58"/>
  <c r="P9" i="60"/>
  <c r="P9" i="61"/>
  <c r="P8" i="51"/>
  <c r="P9" i="54"/>
  <c r="P11" i="54"/>
  <c r="P7" i="58"/>
  <c r="B8" i="48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<sst xmlns="http://schemas.openxmlformats.org/spreadsheetml/2006/main" count="1210" uniqueCount="113">
  <si>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</si>
  <si>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</si>
  <si>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</si>
  <si>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</si>
  <si>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</si>
  <si>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</si>
  <si>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</si>
  <si>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</si>
  <si>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</si>
  <si>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</si>
  <si>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</si>
  <si>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</si>
  <si>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</si>
  <si>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</si>
  <si>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</si>
  <si>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</si>
  <si>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</si>
  <si>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</si>
  <si>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</si>
  <si>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</si>
  <si>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</si>
  <si>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</si>
  <si>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</si>
  <si>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</si>
  <si>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</si>
  <si>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</si>
  <si>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</si>
  <si>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</si>
  <si>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</si>
  <si>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</si>
  <si>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</si>
  <si>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</si>
  <si>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</si>
  <si>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</si>
  <si>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</si>
  <si>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</si>
  <si>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</si>
  <si>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</si>
  <si>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</si>
  <si>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</si>
  <si>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</si>
  <si>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</si>
  <si>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</si>
  <si>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</si>
  <si>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</si>
  <si>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</si>
  <si>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</si>
  <si>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</si>
  <si>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</si>
  <si>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</si>
  <si>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</si>
  <si>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</si>
  <si>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</si>
  <si>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</si>
  <si>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</si>
  <si>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</si>
  <si>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</si>
  <si>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</si>
  <si>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</si>
  <si>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</si>
  <si>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</si>
  <si>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</si>
  <si>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</si>
  <si>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</si>
  <si>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</si>
  <si>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</si>
  <si>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</si>
  <si>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</si>
  <si>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</si>
  <si>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</si>
  <si>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</si>
  <si>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</si>
  <si>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</si>
  <si>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</si>
  <si>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</si>
  <si>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</si>
  <si>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</si>
  <si>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</si>
  <si>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</si>
  <si>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</si>
  <si>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</si>
  <si>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</si>
  <si>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</si>
  <si>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</si>
  <si>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</si>
  <si>
    <t>2015 / 21</t>
  </si>
  <si>
    <t>22 - 28 Mayıs 2015</t>
  </si>
  <si>
    <t xml:space="preserve">  </t>
  </si>
  <si>
    <t>2015 / 22</t>
  </si>
  <si>
    <t>29 Mayıs - 04 Haziran 2015</t>
  </si>
  <si>
    <t>ALOFT</t>
  </si>
  <si>
    <t>2015 / 23</t>
  </si>
  <si>
    <t>05 - 11 Haziran 2015</t>
  </si>
  <si>
    <t>VAMPIRE ACADEMY</t>
  </si>
  <si>
    <t>2015 / 24</t>
  </si>
  <si>
    <t>12 - 18 Haziran 2015</t>
  </si>
  <si>
    <t>2015 / 25</t>
  </si>
  <si>
    <t>19 - 25 Haziran 2015</t>
  </si>
  <si>
    <t>İYİ BİRİ</t>
  </si>
  <si>
    <t>ANATOLIAN PROD.</t>
  </si>
  <si>
    <t>RETURNED, THE</t>
  </si>
  <si>
    <t>2015 / 26</t>
  </si>
  <si>
    <t>26 Haziran - 02 Temmuz 2015</t>
  </si>
  <si>
    <t>ESCOBAR: PARADISE LOST</t>
  </si>
  <si>
    <t>FABULA FILMS</t>
  </si>
  <si>
    <t>BARCELONA SUMMER NIGHT</t>
  </si>
  <si>
    <t>2015 / 27</t>
  </si>
  <si>
    <t>03 - 09 Temmuz 2015</t>
  </si>
  <si>
    <t>ROYAL NIGHT OUT, A</t>
  </si>
  <si>
    <t>2015 / 28</t>
  </si>
  <si>
    <t>10 - 16 Temmuz 2015</t>
  </si>
  <si>
    <t>BEYOND THE REACH</t>
  </si>
  <si>
    <t>KURMACA F. &amp; FABULA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</si>
</sst>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109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110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111</v>
      </c>
      <c r="D6" s="45">
        <v>42195</v>
      </c>
      <c r="E6" s="46" t="s">
        <v>9</v>
      </c>
      <c r="F6" s="47" t="s">
        <v>112</v>
      </c>
      <c r="G6" s="48">
        <v>27</v>
      </c>
      <c r="H6" s="49">
        <v>80</v>
      </c>
      <c r="I6" s="50">
        <v>1</v>
      </c>
      <c r="J6" s="53">
        <v>83392.39</v>
      </c>
      <c r="K6" s="16">
        <v>6873</v>
      </c>
      <c r="L6" s="51">
        <f t="shared" ref="L6" si="0">K6/H6</f>
        <v>85.912499999999994</v>
      </c>
      <c r="M6" s="52">
        <f t="shared" ref="M6" si="1">+J6/K6</f>
        <v>12.133331878364615</v>
      </c>
      <c r="N6" s="54">
        <f>83392.39</f>
        <v>83392.39</v>
      </c>
      <c r="O6" s="55">
        <f>6873</f>
        <v>6873</v>
      </c>
      <c r="P6" s="56">
        <f t="shared" ref="P6" si="2">N6/O6</f>
        <v>12.133331878364615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9</v>
      </c>
      <c r="I7" s="20">
        <v>3</v>
      </c>
      <c r="J7" s="21">
        <v>8960</v>
      </c>
      <c r="K7" s="22">
        <v>841</v>
      </c>
      <c r="L7" s="23">
        <f>K7/H7</f>
        <v>93.444444444444443</v>
      </c>
      <c r="M7" s="24">
        <f>+J7/K7</f>
        <v>10.653983353151011</v>
      </c>
      <c r="N7" s="25">
        <f>67551+29032.73+8960</f>
        <v>105543.73</v>
      </c>
      <c r="O7" s="26">
        <f>5607+2375+841</f>
        <v>8823</v>
      </c>
      <c r="P7" s="27">
        <f>N7/O7</f>
        <v>11.962340473761758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108</v>
      </c>
      <c r="D8" s="58">
        <v>42188</v>
      </c>
      <c r="E8" s="59" t="s">
        <v>9</v>
      </c>
      <c r="F8" s="60" t="s">
        <v>9</v>
      </c>
      <c r="G8" s="61">
        <v>12</v>
      </c>
      <c r="H8" s="19">
        <v>12</v>
      </c>
      <c r="I8" s="20">
        <v>2</v>
      </c>
      <c r="J8" s="21">
        <v>3829.04</v>
      </c>
      <c r="K8" s="22">
        <v>250</v>
      </c>
      <c r="L8" s="23">
        <f t="shared" ref="L8" si="4">K8/H8</f>
        <v>20.833333333333332</v>
      </c>
      <c r="M8" s="24">
        <f t="shared" ref="M8" si="5">+J8/K8</f>
        <v>15.31616</v>
      </c>
      <c r="N8" s="25">
        <f>33892.1+3829.04</f>
        <v>37721.14</v>
      </c>
      <c r="O8" s="26">
        <f>2557+250</f>
        <v>2807</v>
      </c>
      <c r="P8" s="27">
        <f t="shared" ref="P8" si="6">N8/O8</f>
        <v>13.438240114000712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84</v>
      </c>
      <c r="D9" s="58">
        <v>42139</v>
      </c>
      <c r="E9" s="59" t="s">
        <v>9</v>
      </c>
      <c r="F9" s="60" t="s">
        <v>29</v>
      </c>
      <c r="G9" s="61">
        <v>16</v>
      </c>
      <c r="H9" s="19">
        <v>3</v>
      </c>
      <c r="I9" s="20">
        <v>8</v>
      </c>
      <c r="J9" s="21">
        <v>2602</v>
      </c>
      <c r="K9" s="22">
        <v>298</v>
      </c>
      <c r="L9" s="23">
        <f>K9/H9</f>
        <v>99.333333333333329</v>
      </c>
      <c r="M9" s="24">
        <f>+J9/K9</f>
        <v>8.7315436241610733</v>
      </c>
      <c r="N9" s="25">
        <f>68974+25816.1+2524+476+340+477+512+2602</f>
        <v>101721.1</v>
      </c>
      <c r="O9" s="26">
        <f>5512+1865+151+62+39+59+63+298</f>
        <v>8049</v>
      </c>
      <c r="P9" s="27">
        <f>N9/O9</f>
        <v>12.637731395204375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34</v>
      </c>
      <c r="J10" s="21">
        <v>1977</v>
      </c>
      <c r="K10" s="22">
        <v>381</v>
      </c>
      <c r="L10" s="23">
        <f>K10/H10</f>
        <v>127</v>
      </c>
      <c r="M10" s="24">
        <f>+J10/K10</f>
        <v>5.1889763779527556</v>
      </c>
      <c r="N10" s="25">
        <f>1099708.11+593370.74+224185+52839.5+17039.5+9578+7414+5098+4983.5+10660.5+14194.5+2400+3550+2380.5+7656.5+4091.5+1713+2737+828+128+4019.35+696+742+3681+1237+1911+1320+2988+1801+2002+865+891+666+1977</f>
        <v>2089352.2000000002</v>
      </c>
      <c r="O10" s="26">
        <f>102148+56106+22339+5539+1692+934+809+597+525+1619+1502+226+582+302+1163+486+470+558+154+16+730+93+96+595+155+233+216+393+237+257+118+138+96+381</f>
        <v>201505</v>
      </c>
      <c r="P10" s="27">
        <f>N10/O10</f>
        <v>10.368736259646164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1</v>
      </c>
      <c r="I11" s="20">
        <v>8</v>
      </c>
      <c r="J11" s="21">
        <v>1782</v>
      </c>
      <c r="K11" s="22">
        <v>356</v>
      </c>
      <c r="L11" s="23">
        <f t="shared" ref="L11" si="7">K11/H11</f>
        <v>356</v>
      </c>
      <c r="M11" s="24">
        <f t="shared" ref="M11" si="8">+J11/K11</f>
        <v>5.0056179775280896</v>
      </c>
      <c r="N11" s="25">
        <f>153138.55+92932.5+24506.5+5070+473.5+384.5+950.4+1782</f>
        <v>279237.95</v>
      </c>
      <c r="O11" s="26">
        <f>11493+6804+2097+245+61+42+190+356</f>
        <v>21288</v>
      </c>
      <c r="P11" s="27">
        <f t="shared" ref="P11" si="9">N11/O11</f>
        <v>13.117152856069147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14</v>
      </c>
      <c r="J12" s="21">
        <v>951</v>
      </c>
      <c r="K12" s="22">
        <v>129</v>
      </c>
      <c r="L12" s="23">
        <f>K12/H12</f>
        <v>64.5</v>
      </c>
      <c r="M12" s="24">
        <f>+J12/K12</f>
        <v>7.3720930232558137</v>
      </c>
      <c r="N12" s="25">
        <f>371891.95+241999.75+69894+20187.87+18724.1+22951.5+4635.5+1896+668+3460.6+242+394+1425.6+951</f>
        <v>759321.86999999988</v>
      </c>
      <c r="O12" s="26">
        <f>33703+24038+8305+2721+2351+2413+517+210+165+873+30+51+285+129</f>
        <v>75791</v>
      </c>
      <c r="P12" s="27">
        <f>N12/O12</f>
        <v>10.018628465121187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45</v>
      </c>
      <c r="D13" s="58">
        <v>42048</v>
      </c>
      <c r="E13" s="59" t="s">
        <v>9</v>
      </c>
      <c r="F13" s="60" t="s">
        <v>9</v>
      </c>
      <c r="G13" s="61">
        <v>13</v>
      </c>
      <c r="H13" s="19">
        <v>1</v>
      </c>
      <c r="I13" s="20">
        <v>8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217416+133447+36039+7196+5028+2013.56+1782+950.4</f>
        <v>403871.96</v>
      </c>
      <c r="O13" s="26">
        <f>15610+9137+2226+1626+1055+403+356+190</f>
        <v>30603</v>
      </c>
      <c r="P13" s="27">
        <f t="shared" ref="P13" si="12">N13/O13</f>
        <v>13.197136228474333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3</v>
      </c>
      <c r="I14" s="20">
        <v>4</v>
      </c>
      <c r="J14" s="21">
        <v>368</v>
      </c>
      <c r="K14" s="22">
        <v>42</v>
      </c>
      <c r="L14" s="23">
        <f>K14/H14</f>
        <v>14</v>
      </c>
      <c r="M14" s="24">
        <f>+J14/K14</f>
        <v>8.7619047619047628</v>
      </c>
      <c r="N14" s="25">
        <f>50986.55+6954.91+1217.5+368</f>
        <v>59526.960000000006</v>
      </c>
      <c r="O14" s="26">
        <f>5294+838+153+42</f>
        <v>6327</v>
      </c>
      <c r="P14" s="27">
        <f>N14/O14</f>
        <v>9.4084020862968245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81</v>
      </c>
      <c r="D15" s="58">
        <v>42132</v>
      </c>
      <c r="E15" s="59" t="s">
        <v>9</v>
      </c>
      <c r="F15" s="60" t="s">
        <v>9</v>
      </c>
      <c r="G15" s="61">
        <v>27</v>
      </c>
      <c r="H15" s="19">
        <v>1</v>
      </c>
      <c r="I15" s="20">
        <v>9</v>
      </c>
      <c r="J15" s="21">
        <v>153</v>
      </c>
      <c r="K15" s="22">
        <v>19</v>
      </c>
      <c r="L15" s="23">
        <f>K15/H15</f>
        <v>19</v>
      </c>
      <c r="M15" s="24">
        <f>+J15/K15</f>
        <v>8.0526315789473681</v>
      </c>
      <c r="N15" s="25">
        <f>150395.08+52946.08+3011.5+1726+142+1745+755+1765+153</f>
        <v>212638.65999999997</v>
      </c>
      <c r="O15" s="26">
        <f>14539+4867+346+172+14+208+97+169+19</f>
        <v>20431</v>
      </c>
      <c r="P15" s="27">
        <f>N15/O15</f>
        <v>10.407648181684694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32</v>
      </c>
      <c r="J16" s="21">
        <v>94</v>
      </c>
      <c r="K16" s="22">
        <v>12</v>
      </c>
      <c r="L16" s="23">
        <f t="shared" ref="L16" si="13">K16/H16</f>
        <v>12</v>
      </c>
      <c r="M16" s="24">
        <f t="shared" ref="M16" si="14">+J16/K16</f>
        <v>7.833333333333333</v>
      </c>
      <c r="N16" s="25">
        <f>166393.25+120953.88+26778.83+15413.16+8141+9655+7141+22668+12148+7305+4200+124+102+212+223+1619+804+2201+992+1988+3344+6211+2046.8+2141.5+1165.4+242+120+285+1190+40+81+94</f>
        <v>426022.82</v>
      </c>
      <c r="O16" s="26">
        <f>16398+11920+2425+1471+815+935+859+2615+1401+831+549+16+14+27+29+174+87+240+98+249+365+643+408+205+207+35+17+36+371+5+11+12</f>
        <v>43468</v>
      </c>
      <c r="P16" s="27">
        <f t="shared" ref="P16" si="15">N16/O16</f>
        <v>9.8008378577344253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55</v>
      </c>
      <c r="D17" s="58">
        <v>41845</v>
      </c>
      <c r="E17" s="59" t="s">
        <v>9</v>
      </c>
      <c r="F17" s="60" t="s">
        <v>9</v>
      </c>
      <c r="G17" s="61">
        <v>23</v>
      </c>
      <c r="H17" s="19">
        <v>1</v>
      </c>
      <c r="I17" s="20">
        <v>27</v>
      </c>
      <c r="J17" s="21">
        <v>30</v>
      </c>
      <c r="K17" s="22">
        <v>5</v>
      </c>
      <c r="L17" s="23">
        <f>K17/H17</f>
        <v>5</v>
      </c>
      <c r="M17" s="24">
        <f>+J17/K17</f>
        <v>6</v>
      </c>
      <c r="N17" s="25">
        <f>73428.48+65677.81+40435.99+20437+22258.56+12040.44+17815.52+6634+2166+2694+5184+2502+3981+1205+69+696+782+2067.5+665+2013.6+288+258+96+400+264+184+30</f>
        <v>284272.89999999991</v>
      </c>
      <c r="O17" s="26">
        <f>7463+6959+4805+2294+2518+1280+2169+965+358+347+662+324+455+143+13+136+154+177+51+403+36+32+12+50+33+23+5</f>
        <v>31867</v>
      </c>
      <c r="P17" s="27">
        <f>N17/O17</f>
        <v>8.9206043869833973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105</v>
      </c>
      <c r="D18" s="37">
        <v>41838</v>
      </c>
      <c r="E18" s="38" t="s">
        <v>9</v>
      </c>
      <c r="F18" s="39" t="s">
        <v>9</v>
      </c>
      <c r="G18" s="40">
        <v>20</v>
      </c>
      <c r="H18" s="62">
        <v>1</v>
      </c>
      <c r="I18" s="63">
        <v>22</v>
      </c>
      <c r="J18" s="64">
        <v>28</v>
      </c>
      <c r="K18" s="65">
        <v>4</v>
      </c>
      <c r="L18" s="66">
        <f>K18/H18</f>
        <v>4</v>
      </c>
      <c r="M18" s="67">
        <f>+J18/K18</f>
        <v>7</v>
      </c>
      <c r="N18" s="68">
        <f>83413.21+31376.4+14831.5+9913.12+11734.5+8229.1+7018.55+10857.54+6847+2986+13217+3912+1965.5+2132+3849+3531.9+1567.5+1485+149+71+49+28</f>
        <v>219163.82</v>
      </c>
      <c r="O18" s="69">
        <f>6309+2343+1168+899+1487+769+760+1066+812+348+1631+365+188+195+314+530+107+121+17+11+8+4</f>
        <v>19452</v>
      </c>
      <c r="P18" s="70">
        <f>N18/O18</f>
        <v>11.266904174377956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79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80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76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77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73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74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106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107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108</v>
      </c>
      <c r="D6" s="45">
        <v>42188</v>
      </c>
      <c r="E6" s="46" t="s">
        <v>9</v>
      </c>
      <c r="F6" s="47" t="s">
        <v>9</v>
      </c>
      <c r="G6" s="48">
        <v>12</v>
      </c>
      <c r="H6" s="49">
        <v>36</v>
      </c>
      <c r="I6" s="50">
        <v>1</v>
      </c>
      <c r="J6" s="53">
        <v>33892.1</v>
      </c>
      <c r="K6" s="16">
        <v>2557</v>
      </c>
      <c r="L6" s="51">
        <f t="shared" ref="L6" si="0">K6/H6</f>
        <v>71.027777777777771</v>
      </c>
      <c r="M6" s="52">
        <f t="shared" ref="M6" si="1">+J6/K6</f>
        <v>13.254634337113805</v>
      </c>
      <c r="N6" s="54">
        <f>33892.1</f>
        <v>33892.1</v>
      </c>
      <c r="O6" s="55">
        <f>2557</f>
        <v>2557</v>
      </c>
      <c r="P6" s="56">
        <f t="shared" ref="P6" si="2">N6/O6</f>
        <v>13.254634337113805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32</v>
      </c>
      <c r="I7" s="20">
        <v>2</v>
      </c>
      <c r="J7" s="21">
        <v>29032.73</v>
      </c>
      <c r="K7" s="22">
        <v>2375</v>
      </c>
      <c r="L7" s="23">
        <f t="shared" ref="L7:L14" si="4">K7/H7</f>
        <v>74.21875</v>
      </c>
      <c r="M7" s="24">
        <f t="shared" ref="M7:M14" si="5">+J7/K7</f>
        <v>12.224307368421053</v>
      </c>
      <c r="N7" s="25">
        <f>67551+29032.73</f>
        <v>96583.73</v>
      </c>
      <c r="O7" s="26">
        <f>5607+2375</f>
        <v>7982</v>
      </c>
      <c r="P7" s="27">
        <f t="shared" ref="P7:P14" si="6">N7/O7</f>
        <v>12.100191681282887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</v>
      </c>
      <c r="I8" s="20">
        <v>17</v>
      </c>
      <c r="J8" s="21">
        <v>1782</v>
      </c>
      <c r="K8" s="22">
        <v>356</v>
      </c>
      <c r="L8" s="23">
        <f t="shared" ref="L8" si="7">K8/H8</f>
        <v>356</v>
      </c>
      <c r="M8" s="24">
        <f t="shared" ref="M8" si="8">+J8/K8</f>
        <v>5.0056179775280896</v>
      </c>
      <c r="N8" s="25">
        <f>4241+362258.96+222136.17+49398.98+7963+5272.5+3175+2140+739+469+91+2372+2393+1550+1155+2464+72+1782</f>
        <v>669672.61</v>
      </c>
      <c r="O8" s="26">
        <f>748+36807+24128+5499+982+687+504+269+97+64+13+438+360+285+253+487+10+356</f>
        <v>71987</v>
      </c>
      <c r="P8" s="27">
        <f t="shared" ref="P8" si="9">N8/O8</f>
        <v>9.3026881242446553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2</v>
      </c>
      <c r="I9" s="20">
        <v>8</v>
      </c>
      <c r="J9" s="21">
        <v>1765</v>
      </c>
      <c r="K9" s="22">
        <v>169</v>
      </c>
      <c r="L9" s="23">
        <f>K9/H9</f>
        <v>84.5</v>
      </c>
      <c r="M9" s="24">
        <f>+J9/K9</f>
        <v>10.44378698224852</v>
      </c>
      <c r="N9" s="25">
        <f>150395.08+52946.08+3011.5+1726+142+1745+755+1765</f>
        <v>212485.65999999997</v>
      </c>
      <c r="O9" s="26">
        <f>14539+4867+346+172+14+208+97+169</f>
        <v>20412</v>
      </c>
      <c r="P9" s="27">
        <f>N9/O9</f>
        <v>10.409840290025475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19">
        <v>1</v>
      </c>
      <c r="I10" s="20">
        <v>13</v>
      </c>
      <c r="J10" s="21">
        <v>1425.6</v>
      </c>
      <c r="K10" s="22">
        <v>285</v>
      </c>
      <c r="L10" s="23">
        <f>K10/H10</f>
        <v>285</v>
      </c>
      <c r="M10" s="24">
        <f>+J10/K10</f>
        <v>5.0021052631578948</v>
      </c>
      <c r="N10" s="25">
        <f>371891.95+241999.75+69894+20187.87+18724.1+22951.5+4635.5+1896+668+3460.6+242+394+1425.6</f>
        <v>758370.86999999988</v>
      </c>
      <c r="O10" s="26">
        <f>33703+24038+8305+2721+2351+2413+517+210+165+873+30+51+285</f>
        <v>75662</v>
      </c>
      <c r="P10" s="27">
        <f>N10/O10</f>
        <v>10.023140678279717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98</v>
      </c>
      <c r="D11" s="58">
        <v>42174</v>
      </c>
      <c r="E11" s="59" t="s">
        <v>9</v>
      </c>
      <c r="F11" s="60" t="s">
        <v>99</v>
      </c>
      <c r="G11" s="61">
        <v>46</v>
      </c>
      <c r="H11" s="19">
        <v>6</v>
      </c>
      <c r="I11" s="20">
        <v>3</v>
      </c>
      <c r="J11" s="21">
        <v>1217.5</v>
      </c>
      <c r="K11" s="22">
        <v>153</v>
      </c>
      <c r="L11" s="23">
        <f t="shared" si="4"/>
        <v>25.5</v>
      </c>
      <c r="M11" s="24">
        <f t="shared" si="5"/>
        <v>7.9575163398692812</v>
      </c>
      <c r="N11" s="25">
        <f>50986.55+6954.91+1217.5</f>
        <v>59158.960000000006</v>
      </c>
      <c r="O11" s="26">
        <f>5294+838+153</f>
        <v>6285</v>
      </c>
      <c r="P11" s="27">
        <f t="shared" si="6"/>
        <v>9.4127223548130488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21</v>
      </c>
      <c r="D12" s="58">
        <v>41915</v>
      </c>
      <c r="E12" s="59" t="s">
        <v>9</v>
      </c>
      <c r="F12" s="60" t="s">
        <v>20</v>
      </c>
      <c r="G12" s="61">
        <v>52</v>
      </c>
      <c r="H12" s="19">
        <v>1</v>
      </c>
      <c r="I12" s="20">
        <v>17</v>
      </c>
      <c r="J12" s="21">
        <v>950.4</v>
      </c>
      <c r="K12" s="22">
        <v>190</v>
      </c>
      <c r="L12" s="23">
        <f>K12/H12</f>
        <v>190</v>
      </c>
      <c r="M12" s="24">
        <f>+J12/K12</f>
        <v>5.0021052631578948</v>
      </c>
      <c r="N12" s="25">
        <f>917082.76+408148.93+229733.98+293566.8+49586.5+3383+1551.5+689+116+162+2648+22.5+69+592+2376+950.4+950.4</f>
        <v>1911628.7699999998</v>
      </c>
      <c r="O12" s="26">
        <f>78453+36692+20370+24581+3906+438+199+89+14+20+350+3+10+75+475+190+190</f>
        <v>166055</v>
      </c>
      <c r="P12" s="27">
        <f>N12/O12</f>
        <v>11.512021739785009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67</v>
      </c>
      <c r="D13" s="58">
        <v>42097</v>
      </c>
      <c r="E13" s="59" t="s">
        <v>9</v>
      </c>
      <c r="F13" s="60" t="s">
        <v>9</v>
      </c>
      <c r="G13" s="61">
        <v>23</v>
      </c>
      <c r="H13" s="19">
        <v>1</v>
      </c>
      <c r="I13" s="20">
        <v>7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153138.55+92932.5+24506.5+5070+473.5+384.5+950.4</f>
        <v>277455.95</v>
      </c>
      <c r="O13" s="26">
        <f>11493+6804+2097+245+61+42+190</f>
        <v>20932</v>
      </c>
      <c r="P13" s="27">
        <f t="shared" ref="P13" si="12">N13/O13</f>
        <v>13.255109401872732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22</v>
      </c>
      <c r="D14" s="58">
        <v>41964</v>
      </c>
      <c r="E14" s="59" t="s">
        <v>9</v>
      </c>
      <c r="F14" s="60" t="s">
        <v>9</v>
      </c>
      <c r="G14" s="61">
        <v>58</v>
      </c>
      <c r="H14" s="19">
        <v>4</v>
      </c>
      <c r="I14" s="20">
        <v>33</v>
      </c>
      <c r="J14" s="21">
        <v>666</v>
      </c>
      <c r="K14" s="22">
        <v>96</v>
      </c>
      <c r="L14" s="23">
        <f t="shared" si="4"/>
        <v>24</v>
      </c>
      <c r="M14" s="24">
        <f t="shared" si="5"/>
        <v>6.9375</v>
      </c>
      <c r="N14" s="25">
        <f>1099708.11+593370.74+224185+52839.5+17039.5+9578+7414+5098+4983.5+10660.5+14194.5+2400+3550+2380.5+7656.5+4091.5+1713+2737+828+128+4019.35+696+742+3681+1237+1911+1320+2988+1801+2002+865+891+666</f>
        <v>2087375.2000000002</v>
      </c>
      <c r="O14" s="26">
        <f>102148+56106+22339+5539+1692+934+809+597+525+1619+1502+226+582+302+1163+486+470+558+154+16+730+93+96+595+155+233+216+393+237+257+118+138+96</f>
        <v>201124</v>
      </c>
      <c r="P14" s="27">
        <f t="shared" si="6"/>
        <v>10.378548557109047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2</v>
      </c>
      <c r="I15" s="20">
        <v>7</v>
      </c>
      <c r="J15" s="21">
        <v>512</v>
      </c>
      <c r="K15" s="22">
        <v>63</v>
      </c>
      <c r="L15" s="23">
        <f>K15/H15</f>
        <v>31.5</v>
      </c>
      <c r="M15" s="24">
        <f>+J15/K15</f>
        <v>8.1269841269841265</v>
      </c>
      <c r="N15" s="25">
        <f>68974+25816.1+2524+476+340+477+512</f>
        <v>99119.1</v>
      </c>
      <c r="O15" s="26">
        <f>5512+1865+151+62+39+59+63</f>
        <v>7751</v>
      </c>
      <c r="P15" s="27">
        <f>N15/O15</f>
        <v>12.78791123725971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31</v>
      </c>
      <c r="J16" s="21">
        <v>81</v>
      </c>
      <c r="K16" s="22">
        <v>11</v>
      </c>
      <c r="L16" s="23">
        <f t="shared" ref="L16" si="13">K16/H16</f>
        <v>11</v>
      </c>
      <c r="M16" s="24">
        <f t="shared" ref="M16" si="14">+J16/K16</f>
        <v>7.3636363636363633</v>
      </c>
      <c r="N16" s="25">
        <f>166393.25+120953.88+26778.83+15413.16+8141+9655+7141+22668+12148+7305+4200+124+102+212+223+1619+804+2201+992+1988+3344+6211+2046.8+2141.5+1165.4+242+120+285+1190+40+81</f>
        <v>425928.82</v>
      </c>
      <c r="O16" s="26">
        <f>16398+11920+2425+1471+815+935+859+2615+1401+831+549+16+14+27+29+174+87+240+98+249+365+643+408+205+207+35+17+36+371+5+11</f>
        <v>43456</v>
      </c>
      <c r="P16" s="27">
        <f t="shared" ref="P16" si="15">N16/O16</f>
        <v>9.8013811671575848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105</v>
      </c>
      <c r="D17" s="37">
        <v>41838</v>
      </c>
      <c r="E17" s="38" t="s">
        <v>9</v>
      </c>
      <c r="F17" s="39" t="s">
        <v>9</v>
      </c>
      <c r="G17" s="40">
        <v>20</v>
      </c>
      <c r="H17" s="62">
        <v>1</v>
      </c>
      <c r="I17" s="63">
        <v>21</v>
      </c>
      <c r="J17" s="64">
        <v>49</v>
      </c>
      <c r="K17" s="65">
        <v>8</v>
      </c>
      <c r="L17" s="66">
        <f>K17/H17</f>
        <v>8</v>
      </c>
      <c r="M17" s="67">
        <f>+J17/K17</f>
        <v>6.125</v>
      </c>
      <c r="N17" s="68">
        <f>83413.21+31376.4+14831.5+9913.12+11734.5+8229.1+7018.55+10857.54+6847+2986+13217+3912+1965.5+2132+3849+3531.9+1567.5+1485+149+71+49</f>
        <v>219135.82</v>
      </c>
      <c r="O17" s="69">
        <f>6309+2343+1168+899+1487+769+760+1066+812+348+1631+365+188+195+314+530+107+121+17+11+8</f>
        <v>19448</v>
      </c>
      <c r="P17" s="70">
        <f>N17/O17</f>
        <v>11.267781777046483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24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25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101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102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103</v>
      </c>
      <c r="D6" s="45">
        <v>42181</v>
      </c>
      <c r="E6" s="46" t="s">
        <v>9</v>
      </c>
      <c r="F6" s="47" t="s">
        <v>104</v>
      </c>
      <c r="G6" s="48">
        <v>23</v>
      </c>
      <c r="H6" s="49">
        <v>49</v>
      </c>
      <c r="I6" s="50">
        <v>1</v>
      </c>
      <c r="J6" s="53">
        <v>67551</v>
      </c>
      <c r="K6" s="16">
        <v>5607</v>
      </c>
      <c r="L6" s="51">
        <f t="shared" ref="L6:L12" si="0">K6/H6</f>
        <v>114.42857142857143</v>
      </c>
      <c r="M6" s="52">
        <f t="shared" ref="M6:M12" si="1">+J6/K6</f>
        <v>12.047619047619047</v>
      </c>
      <c r="N6" s="54">
        <f>67551</f>
        <v>67551</v>
      </c>
      <c r="O6" s="55">
        <f>5607</f>
        <v>5607</v>
      </c>
      <c r="P6" s="56">
        <f t="shared" ref="P6:P12" si="2">N6/O6</f>
        <v>12.047619047619047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57" t="s">
        <v>98</v>
      </c>
      <c r="D7" s="58">
        <v>42174</v>
      </c>
      <c r="E7" s="59" t="s">
        <v>9</v>
      </c>
      <c r="F7" s="60" t="s">
        <v>99</v>
      </c>
      <c r="G7" s="61">
        <v>46</v>
      </c>
      <c r="H7" s="19">
        <v>20</v>
      </c>
      <c r="I7" s="20">
        <v>2</v>
      </c>
      <c r="J7" s="21">
        <v>6954.91</v>
      </c>
      <c r="K7" s="22">
        <v>838</v>
      </c>
      <c r="L7" s="23">
        <f t="shared" si="0"/>
        <v>41.9</v>
      </c>
      <c r="M7" s="24">
        <f t="shared" si="1"/>
        <v>8.2994152744630068</v>
      </c>
      <c r="N7" s="25">
        <f>50986.55+6954.91</f>
        <v>57941.460000000006</v>
      </c>
      <c r="O7" s="26">
        <f>5294+838</f>
        <v>6132</v>
      </c>
      <c r="P7" s="27">
        <f t="shared" si="2"/>
        <v>9.4490313111546005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45</v>
      </c>
      <c r="D8" s="58">
        <v>42048</v>
      </c>
      <c r="E8" s="59" t="s">
        <v>9</v>
      </c>
      <c r="F8" s="60" t="s">
        <v>9</v>
      </c>
      <c r="G8" s="61">
        <v>13</v>
      </c>
      <c r="H8" s="19">
        <v>1</v>
      </c>
      <c r="I8" s="20">
        <v>7</v>
      </c>
      <c r="J8" s="21">
        <v>1782</v>
      </c>
      <c r="K8" s="22">
        <v>356</v>
      </c>
      <c r="L8" s="23">
        <f t="shared" si="0"/>
        <v>356</v>
      </c>
      <c r="M8" s="24">
        <f t="shared" si="1"/>
        <v>5.0056179775280896</v>
      </c>
      <c r="N8" s="25">
        <f>217416+133447+36039+7196+5028+2013.56+1782</f>
        <v>402921.56</v>
      </c>
      <c r="O8" s="26">
        <f>15610+9137+2226+1626+1055+403+356</f>
        <v>30413</v>
      </c>
      <c r="P8" s="27">
        <f t="shared" si="2"/>
        <v>13.248333278532206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75</v>
      </c>
      <c r="D9" s="58">
        <v>42118</v>
      </c>
      <c r="E9" s="59" t="s">
        <v>9</v>
      </c>
      <c r="F9" s="60" t="s">
        <v>9</v>
      </c>
      <c r="G9" s="61">
        <v>13</v>
      </c>
      <c r="H9" s="19">
        <v>1</v>
      </c>
      <c r="I9" s="20">
        <v>4</v>
      </c>
      <c r="J9" s="21">
        <v>950.4</v>
      </c>
      <c r="K9" s="22">
        <v>190</v>
      </c>
      <c r="L9" s="23">
        <f t="shared" si="0"/>
        <v>190</v>
      </c>
      <c r="M9" s="24">
        <f t="shared" si="1"/>
        <v>5.0021052631578948</v>
      </c>
      <c r="N9" s="25">
        <f>119411.9+50675.11+5173.5+950.4</f>
        <v>176210.91</v>
      </c>
      <c r="O9" s="26">
        <f>9544+3585+328+190</f>
        <v>13647</v>
      </c>
      <c r="P9" s="27">
        <f t="shared" si="2"/>
        <v>12.912061991646516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32</v>
      </c>
      <c r="J10" s="21">
        <v>891</v>
      </c>
      <c r="K10" s="22">
        <v>138</v>
      </c>
      <c r="L10" s="23">
        <f t="shared" si="0"/>
        <v>27.6</v>
      </c>
      <c r="M10" s="24">
        <f t="shared" si="1"/>
        <v>6.4565217391304346</v>
      </c>
      <c r="N10" s="25">
        <f>1099708.11+593370.74+224185+52839.5+17039.5+9578+7414+5098+4983.5+10660.5+14194.5+2400+3550+2380.5+7656.5+4091.5+1713+2737+828+128+4019.35+696+742+3681+1237+1911+1320+2988+1801+2002+865+891</f>
        <v>2086709.2000000002</v>
      </c>
      <c r="O10" s="26">
        <f>102148+56106+22339+5539+1692+934+809+597+525+1619+1502+226+582+302+1163+486+470+558+154+16+730+93+96+595+155+233+216+393+237+257+118+138</f>
        <v>201028</v>
      </c>
      <c r="P10" s="27">
        <f t="shared" si="2"/>
        <v>10.380191814075651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4</v>
      </c>
      <c r="I11" s="20">
        <v>7</v>
      </c>
      <c r="J11" s="21">
        <v>755</v>
      </c>
      <c r="K11" s="22">
        <v>97</v>
      </c>
      <c r="L11" s="23">
        <f t="shared" si="0"/>
        <v>24.25</v>
      </c>
      <c r="M11" s="24">
        <f t="shared" si="1"/>
        <v>7.7835051546391751</v>
      </c>
      <c r="N11" s="25">
        <f>150395.08+52946.08+3011.5+1726+142+1745+755</f>
        <v>210720.65999999997</v>
      </c>
      <c r="O11" s="26">
        <f>14539+4867+346+172+14+208+97</f>
        <v>20243</v>
      </c>
      <c r="P11" s="27">
        <f t="shared" si="2"/>
        <v>10.409556883861086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12</v>
      </c>
      <c r="J12" s="21">
        <v>394</v>
      </c>
      <c r="K12" s="22">
        <v>51</v>
      </c>
      <c r="L12" s="23">
        <f t="shared" si="0"/>
        <v>25.5</v>
      </c>
      <c r="M12" s="24">
        <f t="shared" si="1"/>
        <v>7.7254901960784315</v>
      </c>
      <c r="N12" s="25">
        <f>371891.95+241999.75+69894+20187.87+18724.1+22951.5+4635.5+1896+668+3460.6+242+394</f>
        <v>756945.2699999999</v>
      </c>
      <c r="O12" s="26">
        <f>33703+24038+8305+2721+2351+2413+517+210+165+873+30+51</f>
        <v>75377</v>
      </c>
      <c r="P12" s="27">
        <f t="shared" si="2"/>
        <v>10.042125184074717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90</v>
      </c>
      <c r="D13" s="58">
        <v>42153</v>
      </c>
      <c r="E13" s="59" t="s">
        <v>9</v>
      </c>
      <c r="F13" s="60" t="s">
        <v>9</v>
      </c>
      <c r="G13" s="61">
        <v>10</v>
      </c>
      <c r="H13" s="19">
        <v>4</v>
      </c>
      <c r="I13" s="20">
        <v>5</v>
      </c>
      <c r="J13" s="21">
        <v>264</v>
      </c>
      <c r="K13" s="22">
        <v>88</v>
      </c>
      <c r="L13" s="23">
        <f t="shared" ref="L13" si="4">K13/H13</f>
        <v>22</v>
      </c>
      <c r="M13" s="24">
        <f t="shared" ref="M13" si="5">+J13/K13</f>
        <v>3</v>
      </c>
      <c r="N13" s="25">
        <f>23426+5288+768+447+264</f>
        <v>30193</v>
      </c>
      <c r="O13" s="26">
        <f>1726+349+207+136+88</f>
        <v>2506</v>
      </c>
      <c r="P13" s="27">
        <f t="shared" ref="P13" si="6">N13/O13</f>
        <v>12.04828411811652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34</v>
      </c>
      <c r="J14" s="21">
        <v>138</v>
      </c>
      <c r="K14" s="22">
        <v>17</v>
      </c>
      <c r="L14" s="23">
        <f>K14/H14</f>
        <v>17</v>
      </c>
      <c r="M14" s="24">
        <f>+J14/K14</f>
        <v>8.117647058823529</v>
      </c>
      <c r="N14" s="25">
        <f>457084.63+194296.68+44137.17+13030+7400.5+9372.51+21985.7+8798+6823.5+11928.5+9039+10315.86+4561.58+5322+1536+3683.5+5700.5+7282+6570+2758+312+298+393+745+505+2118+290+500+665+379.54+160+176+177+138</f>
        <v>838482.17</v>
      </c>
      <c r="O14" s="26">
        <f>48529+19857+4845+1742+907+1325+3002+1302+917+1510+1343+1395+656+665+188+409+660+841+730+277+37+74+79+51+41+317+21+36+45+46+20+22+22+17</f>
        <v>91928</v>
      </c>
      <c r="P14" s="27">
        <f>N14/O14</f>
        <v>9.1210748629362115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20</v>
      </c>
      <c r="J15" s="21">
        <v>71</v>
      </c>
      <c r="K15" s="22">
        <v>11</v>
      </c>
      <c r="L15" s="23">
        <f>K15/H15</f>
        <v>11</v>
      </c>
      <c r="M15" s="24">
        <f>+J15/K15</f>
        <v>6.4545454545454541</v>
      </c>
      <c r="N15" s="25">
        <f>83413.21+31376.4+14831.5+9913.12+11734.5+8229.1+7018.55+10857.54+6847+2986+13217+3912+1965.5+2132+3849+3531.9+1567.5+1485+149+71</f>
        <v>219086.82</v>
      </c>
      <c r="O15" s="26">
        <f>6309+2343+1168+899+1487+769+760+1066+812+348+1631+365+188+195+314+530+107+121+17+11</f>
        <v>19440</v>
      </c>
      <c r="P15" s="27">
        <f>N15/O15</f>
        <v>11.269898148148149</v>
      </c>
      <c r="Q15" s="29"/>
      <c r="R15" s="29"/>
      <c r="S15" s="29"/>
    </row>
    <row r="16" spans="1:19" s="3" customFormat="1" ht="22.5" customHeight="1" thickBot="1" x14ac:dyDescent="0.3">
      <c r="B16" s="4">
        <f t="shared" si="3"/>
        <v>11</v>
      </c>
      <c r="C16" s="36" t="s">
        <v>70</v>
      </c>
      <c r="D16" s="37">
        <v>42104</v>
      </c>
      <c r="E16" s="38" t="s">
        <v>9</v>
      </c>
      <c r="F16" s="39" t="s">
        <v>9</v>
      </c>
      <c r="G16" s="40">
        <v>24</v>
      </c>
      <c r="H16" s="62">
        <v>1</v>
      </c>
      <c r="I16" s="63">
        <v>8</v>
      </c>
      <c r="J16" s="64">
        <v>59</v>
      </c>
      <c r="K16" s="65">
        <v>6</v>
      </c>
      <c r="L16" s="66">
        <f t="shared" ref="L16" si="7">K16/H16</f>
        <v>6</v>
      </c>
      <c r="M16" s="67">
        <f t="shared" ref="M16" si="8">+J16/K16</f>
        <v>9.8333333333333339</v>
      </c>
      <c r="N16" s="68">
        <f>84987.77+10982.5+2017.5+2342+840+262+314+59</f>
        <v>101804.77</v>
      </c>
      <c r="O16" s="69">
        <f>7931+982+226+283+105+34+38+6</f>
        <v>9605</v>
      </c>
      <c r="P16" s="70">
        <f t="shared" ref="P16" si="9">N16/O16</f>
        <v>10.599143154606976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96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97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98</v>
      </c>
      <c r="D6" s="45">
        <v>42174</v>
      </c>
      <c r="E6" s="46" t="s">
        <v>9</v>
      </c>
      <c r="F6" s="47" t="s">
        <v>99</v>
      </c>
      <c r="G6" s="48">
        <v>46</v>
      </c>
      <c r="H6" s="49">
        <v>79</v>
      </c>
      <c r="I6" s="50">
        <v>1</v>
      </c>
      <c r="J6" s="53">
        <v>50986.55</v>
      </c>
      <c r="K6" s="16">
        <v>5294</v>
      </c>
      <c r="L6" s="51">
        <f>K6/H6</f>
        <v>67.012658227848107</v>
      </c>
      <c r="M6" s="52">
        <f>+J6/K6</f>
        <v>9.6310068001511144</v>
      </c>
      <c r="N6" s="54">
        <f>50986.55</f>
        <v>50986.55</v>
      </c>
      <c r="O6" s="55">
        <f>5294</f>
        <v>5294</v>
      </c>
      <c r="P6" s="56">
        <f>N6/O6</f>
        <v>9.6310068001511144</v>
      </c>
      <c r="Q6" s="29"/>
      <c r="R6" s="29"/>
      <c r="S6" s="29"/>
    </row>
    <row r="7" spans="1:19" s="3" customFormat="1" ht="22.5" customHeight="1" x14ac:dyDescent="0.25">
      <c r="B7" s="18">
        <f t="shared" ref="B7:B15" si="0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4</v>
      </c>
      <c r="I7" s="20">
        <v>6</v>
      </c>
      <c r="J7" s="21">
        <v>1745</v>
      </c>
      <c r="K7" s="22">
        <v>208</v>
      </c>
      <c r="L7" s="23">
        <f>K7/H7</f>
        <v>52</v>
      </c>
      <c r="M7" s="24">
        <f>+J7/K7</f>
        <v>8.3894230769230766</v>
      </c>
      <c r="N7" s="25">
        <f>150395.08+52946.08+3011.5+1726+142+1745</f>
        <v>209965.65999999997</v>
      </c>
      <c r="O7" s="26">
        <f>14539+4867+346+172+14+208</f>
        <v>20146</v>
      </c>
      <c r="P7" s="27">
        <f>N7/O7</f>
        <v>10.422200933187728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100</v>
      </c>
      <c r="D8" s="58">
        <v>41768</v>
      </c>
      <c r="E8" s="59" t="s">
        <v>9</v>
      </c>
      <c r="F8" s="60" t="s">
        <v>9</v>
      </c>
      <c r="G8" s="61">
        <v>22</v>
      </c>
      <c r="H8" s="19">
        <v>1</v>
      </c>
      <c r="I8" s="20">
        <v>23</v>
      </c>
      <c r="J8" s="21">
        <v>950.4</v>
      </c>
      <c r="K8" s="22">
        <v>190</v>
      </c>
      <c r="L8" s="23">
        <f>K8/H8</f>
        <v>190</v>
      </c>
      <c r="M8" s="24">
        <f>+J8/K8</f>
        <v>5.0021052631578948</v>
      </c>
      <c r="N8" s="25">
        <f>96037.16+42293.76+11136.86+17605+22297.3+19062.27+11022+8010+7779.86+6062+4890+6980.36+5587.98+5298.38+4452.73+4982.59+2912+2334+934+384+168+1239+950.4</f>
        <v>282419.65000000002</v>
      </c>
      <c r="O8" s="26">
        <f>9852+4309+1246+1999+2461+2258+1374+975+960+792+668+1048+872+672+610+589+303+241+111+46+26+262+190</f>
        <v>31864</v>
      </c>
      <c r="P8" s="27">
        <f>N8/O8</f>
        <v>8.8632830153150906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59</v>
      </c>
      <c r="D9" s="58">
        <v>41754</v>
      </c>
      <c r="E9" s="59" t="s">
        <v>9</v>
      </c>
      <c r="F9" s="60" t="s">
        <v>9</v>
      </c>
      <c r="G9" s="61">
        <v>7</v>
      </c>
      <c r="H9" s="19">
        <v>1</v>
      </c>
      <c r="I9" s="20">
        <v>18</v>
      </c>
      <c r="J9" s="21">
        <v>950.4</v>
      </c>
      <c r="K9" s="22">
        <v>190</v>
      </c>
      <c r="L9" s="23">
        <f t="shared" ref="L9" si="1">K9/H9</f>
        <v>190</v>
      </c>
      <c r="M9" s="24">
        <f t="shared" ref="M9" si="2">+J9/K9</f>
        <v>5.0021052631578948</v>
      </c>
      <c r="N9" s="25">
        <f>60197.59+17202+321+844+1811.5+1331+5171+1531.5+1560.1+357+1636+1954.5+118+1887+384+357+2013.6+950.4</f>
        <v>99627.19</v>
      </c>
      <c r="O9" s="26">
        <f>5024+1383+28+122+244+160+605+196+299+39+212+255+13+208+48+44+403+190</f>
        <v>9473</v>
      </c>
      <c r="P9" s="27">
        <f t="shared" ref="P9" si="3">N9/O9</f>
        <v>10.516962947323973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31</v>
      </c>
      <c r="J10" s="21">
        <v>865</v>
      </c>
      <c r="K10" s="22">
        <v>118</v>
      </c>
      <c r="L10" s="23">
        <f>K10/H10</f>
        <v>23.6</v>
      </c>
      <c r="M10" s="24">
        <f>+J10/K10</f>
        <v>7.3305084745762707</v>
      </c>
      <c r="N10" s="25">
        <f>1099708.11+593370.74+224185+52839.5+17039.5+9578+7414+5098+4983.5+10660.5+14194.5+2400+3550+2380.5+7656.5+4091.5+1713+2737+828+128+4019.35+696+742+3681+1237+1911+1320+2988+1801+2002+865</f>
        <v>2085818.2000000002</v>
      </c>
      <c r="O10" s="26">
        <f>102148+56106+22339+5539+1692+934+809+597+525+1619+1502+226+582+302+1163+486+470+558+154+16+730+93+96+595+155+233+216+393+237+257+118</f>
        <v>200890</v>
      </c>
      <c r="P10" s="27">
        <f>N10/O10</f>
        <v>10.382887152172831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2</v>
      </c>
      <c r="I11" s="20">
        <v>6</v>
      </c>
      <c r="J11" s="21">
        <v>477</v>
      </c>
      <c r="K11" s="22">
        <v>59</v>
      </c>
      <c r="L11" s="23">
        <f>K11/H11</f>
        <v>29.5</v>
      </c>
      <c r="M11" s="24">
        <f>+J11/K11</f>
        <v>8.0847457627118651</v>
      </c>
      <c r="N11" s="25">
        <f>68974+25816.1+2524+476+340+477</f>
        <v>98607.1</v>
      </c>
      <c r="O11" s="26">
        <f>5512+1865+151+62+39+59</f>
        <v>7688</v>
      </c>
      <c r="P11" s="27">
        <f>N11/O11</f>
        <v>12.826105619146723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90</v>
      </c>
      <c r="D12" s="58">
        <v>42153</v>
      </c>
      <c r="E12" s="59" t="s">
        <v>9</v>
      </c>
      <c r="F12" s="60" t="s">
        <v>9</v>
      </c>
      <c r="G12" s="61">
        <v>10</v>
      </c>
      <c r="H12" s="19">
        <v>5</v>
      </c>
      <c r="I12" s="20">
        <v>4</v>
      </c>
      <c r="J12" s="21">
        <v>447</v>
      </c>
      <c r="K12" s="22">
        <v>136</v>
      </c>
      <c r="L12" s="23">
        <f t="shared" ref="L12" si="4">K12/H12</f>
        <v>27.2</v>
      </c>
      <c r="M12" s="24">
        <f t="shared" ref="M12" si="5">+J12/K12</f>
        <v>3.2867647058823528</v>
      </c>
      <c r="N12" s="25">
        <f>23426+5288+768+447</f>
        <v>29929</v>
      </c>
      <c r="O12" s="26">
        <f>1726+349+207+136</f>
        <v>2418</v>
      </c>
      <c r="P12" s="27">
        <f t="shared" ref="P12" si="6">N12/O12</f>
        <v>12.377584780810587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58</v>
      </c>
      <c r="D13" s="58">
        <v>42076</v>
      </c>
      <c r="E13" s="59" t="s">
        <v>9</v>
      </c>
      <c r="F13" s="60" t="s">
        <v>9</v>
      </c>
      <c r="G13" s="61">
        <v>66</v>
      </c>
      <c r="H13" s="19">
        <v>2</v>
      </c>
      <c r="I13" s="20">
        <v>11</v>
      </c>
      <c r="J13" s="21">
        <v>242</v>
      </c>
      <c r="K13" s="22">
        <v>30</v>
      </c>
      <c r="L13" s="23">
        <f>K13/H13</f>
        <v>15</v>
      </c>
      <c r="M13" s="24">
        <f>+J13/K13</f>
        <v>8.0666666666666664</v>
      </c>
      <c r="N13" s="25">
        <f>371891.95+241999.75+69894+20187.87+18724.1+22951.5+4635.5+1896+668+3460.6+242</f>
        <v>756551.2699999999</v>
      </c>
      <c r="O13" s="26">
        <f>33703+24038+8305+2721+2351+2413+517+210+165+873+30</f>
        <v>75326</v>
      </c>
      <c r="P13" s="27">
        <f>N13/O13</f>
        <v>10.043693678145658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33</v>
      </c>
      <c r="J14" s="21">
        <v>177</v>
      </c>
      <c r="K14" s="22">
        <v>22</v>
      </c>
      <c r="L14" s="23">
        <f>K14/H14</f>
        <v>22</v>
      </c>
      <c r="M14" s="24">
        <f>+J14/K14</f>
        <v>8.045454545454545</v>
      </c>
      <c r="N14" s="25">
        <f>457084.63+194296.68+44137.17+13030+7400.5+9372.51+21985.7+8798+6823.5+11928.5+9039+10315.86+4561.58+5322+1536+3683.5+5700.5+7282+6570+2758+312+298+393+745+505+2118+290+500+665+379.54+160+176+177</f>
        <v>838344.17</v>
      </c>
      <c r="O14" s="26">
        <f>48529+19857+4845+1742+907+1325+3002+1302+917+1510+1343+1395+656+665+188+409+660+841+730+277+37+74+79+51+41+317+21+36+45+46+20+22+22</f>
        <v>91911</v>
      </c>
      <c r="P14" s="27">
        <f>N14/O14</f>
        <v>9.1212604584870149</v>
      </c>
      <c r="Q14" s="29"/>
      <c r="R14" s="29"/>
      <c r="S14" s="29"/>
    </row>
    <row r="15" spans="1:19" s="3" customFormat="1" ht="22.5" customHeight="1" thickBot="1" x14ac:dyDescent="0.3">
      <c r="B15" s="4">
        <f t="shared" si="0"/>
        <v>10</v>
      </c>
      <c r="C15" s="36" t="s">
        <v>33</v>
      </c>
      <c r="D15" s="37">
        <v>41873</v>
      </c>
      <c r="E15" s="38" t="s">
        <v>9</v>
      </c>
      <c r="F15" s="39" t="s">
        <v>34</v>
      </c>
      <c r="G15" s="40">
        <v>27</v>
      </c>
      <c r="H15" s="62">
        <v>1</v>
      </c>
      <c r="I15" s="63">
        <v>19</v>
      </c>
      <c r="J15" s="64">
        <v>45</v>
      </c>
      <c r="K15" s="65">
        <v>7</v>
      </c>
      <c r="L15" s="66">
        <f>K15/H15</f>
        <v>7</v>
      </c>
      <c r="M15" s="67">
        <f>+J15/K15</f>
        <v>6.4285714285714288</v>
      </c>
      <c r="N15" s="68">
        <f>86853.81+54964.43+34022.66+23560.33+8123.41+7604.5+3529.5+2609+1898+2251.6+1218+977.5+1040+1455+1095+653+115+195+45</f>
        <v>232210.74</v>
      </c>
      <c r="O15" s="69">
        <f>7232+4293+2509+1779+817+649+331+264+501+432+243+78+73+113+86+213+19+30+7</f>
        <v>19669</v>
      </c>
      <c r="P15" s="70">
        <f>N15/O15</f>
        <v>11.805925059738675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94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95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4</v>
      </c>
      <c r="I6" s="50">
        <v>30</v>
      </c>
      <c r="J6" s="53">
        <v>2002</v>
      </c>
      <c r="K6" s="16">
        <v>257</v>
      </c>
      <c r="L6" s="51">
        <f>K6/H6</f>
        <v>64.25</v>
      </c>
      <c r="M6" s="52">
        <f>+J6/K6</f>
        <v>7.7898832684824901</v>
      </c>
      <c r="N6" s="54">
        <f>1099708.11+593370.74+224185+52839.5+17039.5+9578+7414+5098+4983.5+10660.5+14194.5+2400+3550+2380.5+7656.5+4091.5+1713+2737+828+128+4019.35+696+742+3681+1237+1911+1320+2988+1801+2002</f>
        <v>2084953.2000000002</v>
      </c>
      <c r="O6" s="55">
        <f>102148+56106+22339+5539+1692+934+809+597+525+1619+1502+226+582+302+1163+486+470+558+154+16+730+93+96+595+155+233+216+393+237+257</f>
        <v>200772</v>
      </c>
      <c r="P6" s="56">
        <f>N6/O6</f>
        <v>10.384681130834977</v>
      </c>
      <c r="Q6" s="29"/>
      <c r="R6" s="29"/>
      <c r="S6" s="29"/>
    </row>
    <row r="7" spans="1:19" s="3" customFormat="1" ht="22.5" customHeight="1" x14ac:dyDescent="0.25">
      <c r="B7" s="18">
        <f t="shared" ref="B7:B11" si="0">B6+1</f>
        <v>2</v>
      </c>
      <c r="C7" s="57" t="s">
        <v>90</v>
      </c>
      <c r="D7" s="58">
        <v>42153</v>
      </c>
      <c r="E7" s="59" t="s">
        <v>9</v>
      </c>
      <c r="F7" s="60" t="s">
        <v>9</v>
      </c>
      <c r="G7" s="61">
        <v>10</v>
      </c>
      <c r="H7" s="19">
        <v>5</v>
      </c>
      <c r="I7" s="20">
        <v>3</v>
      </c>
      <c r="J7" s="21">
        <v>768</v>
      </c>
      <c r="K7" s="22">
        <v>200</v>
      </c>
      <c r="L7" s="23">
        <f t="shared" ref="L7" si="1">K7/H7</f>
        <v>40</v>
      </c>
      <c r="M7" s="24">
        <f t="shared" ref="M7" si="2">+J7/K7</f>
        <v>3.84</v>
      </c>
      <c r="N7" s="25">
        <f>23426+5288+768</f>
        <v>29482</v>
      </c>
      <c r="O7" s="26">
        <f>1726+349+207</f>
        <v>2282</v>
      </c>
      <c r="P7" s="27">
        <f t="shared" ref="P7" si="3">N7/O7</f>
        <v>12.919368974583698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1</v>
      </c>
      <c r="I8" s="20">
        <v>5</v>
      </c>
      <c r="J8" s="21">
        <v>340</v>
      </c>
      <c r="K8" s="22">
        <v>39</v>
      </c>
      <c r="L8" s="23">
        <f t="shared" ref="L8" si="4">K8/H8</f>
        <v>39</v>
      </c>
      <c r="M8" s="24">
        <f t="shared" ref="M8" si="5">+J8/K8</f>
        <v>8.7179487179487172</v>
      </c>
      <c r="N8" s="25">
        <f>68974+25816.1+2524+476+340</f>
        <v>98130.1</v>
      </c>
      <c r="O8" s="26">
        <f>5512+1865+151+62+39</f>
        <v>7629</v>
      </c>
      <c r="P8" s="27">
        <f t="shared" ref="P8" si="6">N8/O8</f>
        <v>12.862773626949798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18</v>
      </c>
      <c r="J9" s="21">
        <v>195</v>
      </c>
      <c r="K9" s="22">
        <v>30</v>
      </c>
      <c r="L9" s="23">
        <f>K9/H9</f>
        <v>30</v>
      </c>
      <c r="M9" s="24">
        <f>+J9/K9</f>
        <v>6.5</v>
      </c>
      <c r="N9" s="25">
        <f>86853.81+54964.43+34022.66+23560.33+8123.41+7604.5+3529.5+2609+1898+2251.6+1218+977.5+1040+1455+1095+653+115+195</f>
        <v>232165.74</v>
      </c>
      <c r="O9" s="26">
        <f>7232+4293+2509+1779+817+649+331+264+501+432+243+78+73+113+86+213+19+30</f>
        <v>19662</v>
      </c>
      <c r="P9" s="27">
        <f>N9/O9</f>
        <v>11.807839487335977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26</v>
      </c>
      <c r="J10" s="21">
        <v>184</v>
      </c>
      <c r="K10" s="22">
        <v>23</v>
      </c>
      <c r="L10" s="23">
        <f>K10/H10</f>
        <v>23</v>
      </c>
      <c r="M10" s="24">
        <f>+J10/K10</f>
        <v>8</v>
      </c>
      <c r="N10" s="25">
        <f>73428.48+65677.81+40435.99+20437+22258.56+12040.44+17815.52+6634+2166+2694+5184+2502+3981+1205+69+696+782+2067.5+665+2013.6+288+258+96+400+264+184</f>
        <v>284242.89999999991</v>
      </c>
      <c r="O10" s="26">
        <f>7463+6959+4805+2294+2518+1280+2169+965+358+347+662+324+455+143+13+136+154+177+51+403+36+32+12+50+33+23</f>
        <v>31862</v>
      </c>
      <c r="P10" s="27">
        <f>N10/O10</f>
        <v>8.9210627079279359</v>
      </c>
      <c r="Q10" s="29"/>
      <c r="R10" s="29"/>
      <c r="S10" s="29"/>
    </row>
    <row r="11" spans="1:19" s="3" customFormat="1" ht="22.5" customHeight="1" thickBot="1" x14ac:dyDescent="0.3">
      <c r="B11" s="4">
        <f t="shared" si="0"/>
        <v>6</v>
      </c>
      <c r="C11" s="36" t="s">
        <v>93</v>
      </c>
      <c r="D11" s="37">
        <v>41684</v>
      </c>
      <c r="E11" s="38" t="s">
        <v>9</v>
      </c>
      <c r="F11" s="39" t="s">
        <v>29</v>
      </c>
      <c r="G11" s="40">
        <v>76</v>
      </c>
      <c r="H11" s="62">
        <v>1</v>
      </c>
      <c r="I11" s="63">
        <v>32</v>
      </c>
      <c r="J11" s="64">
        <v>176</v>
      </c>
      <c r="K11" s="65">
        <v>22</v>
      </c>
      <c r="L11" s="66">
        <f>K11/H11</f>
        <v>22</v>
      </c>
      <c r="M11" s="67">
        <f>+J11/K11</f>
        <v>8</v>
      </c>
      <c r="N11" s="68">
        <f>457084.63+194296.68+44137.17+13030+7400.5+9372.51+21985.7+8798+6823.5+11928.5+9039+10315.86+4561.58+5322+1536+3683.5+5700.5+7282+6570+2758+312+298+393+745+505+2118+290+500+665+379.54+160+176</f>
        <v>838167.17</v>
      </c>
      <c r="O11" s="69">
        <f>48529+19857+4845+1742+907+1325+3002+1302+917+1510+1343+1395+656+665+188+409+660+841+730+277+37+74+79+51+41+317+21+36+45+46+20+22</f>
        <v>91889</v>
      </c>
      <c r="P11" s="70">
        <f>N11/O11</f>
        <v>9.1215180271849743</v>
      </c>
      <c r="Q11" s="29"/>
      <c r="R11" s="29"/>
      <c r="S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91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92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8</v>
      </c>
      <c r="I6" s="50">
        <v>2</v>
      </c>
      <c r="J6" s="53">
        <v>5288</v>
      </c>
      <c r="K6" s="16">
        <v>349</v>
      </c>
      <c r="L6" s="51">
        <f t="shared" ref="L6" si="0">K6/H6</f>
        <v>43.625</v>
      </c>
      <c r="M6" s="52">
        <f t="shared" ref="M6" si="1">+J6/K6</f>
        <v>15.151862464183381</v>
      </c>
      <c r="N6" s="54">
        <f>23426+5288</f>
        <v>28714</v>
      </c>
      <c r="O6" s="55">
        <f>1726+349</f>
        <v>2075</v>
      </c>
      <c r="P6" s="56">
        <f t="shared" ref="P6" si="2">N6/O6</f>
        <v>13.838072289156626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29</v>
      </c>
      <c r="J7" s="21">
        <v>1801</v>
      </c>
      <c r="K7" s="22">
        <v>237</v>
      </c>
      <c r="L7" s="23">
        <f>K7/H7</f>
        <v>59.25</v>
      </c>
      <c r="M7" s="24">
        <f>+J7/K7</f>
        <v>7.5991561181434601</v>
      </c>
      <c r="N7" s="25">
        <f>1099708.11+593370.74+224185+52839.5+17039.5+9578+7414+5098+4983.5+10660.5+14194.5+2400+3550+2380.5+7656.5+4091.5+1713+2737+828+128+4019.35+696+742+3681+1237+1911+1320+2988+1801</f>
        <v>2082951.2000000002</v>
      </c>
      <c r="O7" s="26">
        <f>102148+56106+22339+5539+1692+934+809+597+525+1619+1502+226+582+302+1163+486+470+558+154+16+730+93+96+595+155+233+216+393+237</f>
        <v>200515</v>
      </c>
      <c r="P7" s="27">
        <f>N7/O7</f>
        <v>10.388006882278134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2</v>
      </c>
      <c r="I8" s="20">
        <v>4</v>
      </c>
      <c r="J8" s="21">
        <v>476</v>
      </c>
      <c r="K8" s="22">
        <v>62</v>
      </c>
      <c r="L8" s="23">
        <f t="shared" ref="L8:L11" si="4">K8/H8</f>
        <v>31</v>
      </c>
      <c r="M8" s="24">
        <f t="shared" ref="M8:M11" si="5">+J8/K8</f>
        <v>7.67741935483871</v>
      </c>
      <c r="N8" s="25">
        <f>68974+25816.1+2524+476</f>
        <v>97790.1</v>
      </c>
      <c r="O8" s="26">
        <f>5512+1865+151+62</f>
        <v>7590</v>
      </c>
      <c r="P8" s="27">
        <f t="shared" ref="P8:P11" si="6">N8/O8</f>
        <v>12.884071146245059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55</v>
      </c>
      <c r="D9" s="58">
        <v>41845</v>
      </c>
      <c r="E9" s="59" t="s">
        <v>9</v>
      </c>
      <c r="F9" s="60" t="s">
        <v>9</v>
      </c>
      <c r="G9" s="61">
        <v>23</v>
      </c>
      <c r="H9" s="19">
        <v>1</v>
      </c>
      <c r="I9" s="20">
        <v>25</v>
      </c>
      <c r="J9" s="21">
        <v>264</v>
      </c>
      <c r="K9" s="22">
        <v>33</v>
      </c>
      <c r="L9" s="23">
        <f>K9/H9</f>
        <v>33</v>
      </c>
      <c r="M9" s="24">
        <f>+J9/K9</f>
        <v>8</v>
      </c>
      <c r="N9" s="25">
        <f>73428.48+65677.81+40435.99+20437+22258.56+12040.44+17815.52+6634+2166+2694+5184+2502+3981+1205+69+696+782+2067.5+665+2013.6+288+258+96+400+264</f>
        <v>284058.89999999991</v>
      </c>
      <c r="O9" s="26">
        <f>7463+6959+4805+2294+2518+1280+2169+965+358+347+662+324+455+143+13+136+154+177+51+403+36+32+12+50+33</f>
        <v>31839</v>
      </c>
      <c r="P9" s="27">
        <f>N9/O9</f>
        <v>8.9217280693489087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93</v>
      </c>
      <c r="D10" s="58">
        <v>41684</v>
      </c>
      <c r="E10" s="59" t="s">
        <v>9</v>
      </c>
      <c r="F10" s="60" t="s">
        <v>29</v>
      </c>
      <c r="G10" s="61">
        <v>76</v>
      </c>
      <c r="H10" s="19">
        <v>1</v>
      </c>
      <c r="I10" s="20">
        <v>31</v>
      </c>
      <c r="J10" s="21">
        <v>160</v>
      </c>
      <c r="K10" s="22">
        <v>20</v>
      </c>
      <c r="L10" s="23">
        <f>K10/H10</f>
        <v>20</v>
      </c>
      <c r="M10" s="24">
        <f>+J10/K10</f>
        <v>8</v>
      </c>
      <c r="N10" s="25">
        <f>457084.63+194296.68+44137.17+13030+7400.5+9372.51+21985.7+8798+6823.5+11928.5+9039+10315.86+4561.58+5322+1536+3683.5+5700.5+7282+6570+2758+312+298+393+745+505+2118+290+500+665+379.54+160</f>
        <v>837991.17</v>
      </c>
      <c r="O10" s="26">
        <f>48529+19857+4845+1742+907+1325+3002+1302+917+1510+1343+1395+656+665+188+409+660+841+730+277+37+74+79+51+41+317+21+36+45+46+20</f>
        <v>91867</v>
      </c>
      <c r="P10" s="27">
        <f>N10/O10</f>
        <v>9.1217866045478786</v>
      </c>
      <c r="Q10" s="29"/>
      <c r="R10" s="5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1</v>
      </c>
      <c r="I11" s="20">
        <v>5</v>
      </c>
      <c r="J11" s="21">
        <v>142</v>
      </c>
      <c r="K11" s="22">
        <v>14</v>
      </c>
      <c r="L11" s="23">
        <f t="shared" si="4"/>
        <v>14</v>
      </c>
      <c r="M11" s="24">
        <f t="shared" si="5"/>
        <v>10.142857142857142</v>
      </c>
      <c r="N11" s="25">
        <f>150395.08+52946.08+3011.5+1726+142</f>
        <v>208220.65999999997</v>
      </c>
      <c r="O11" s="26">
        <f>14539+4867+346+172+14</f>
        <v>19938</v>
      </c>
      <c r="P11" s="27">
        <f t="shared" si="6"/>
        <v>10.443407563446684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33</v>
      </c>
      <c r="D12" s="37">
        <v>41873</v>
      </c>
      <c r="E12" s="38" t="s">
        <v>9</v>
      </c>
      <c r="F12" s="39" t="s">
        <v>34</v>
      </c>
      <c r="G12" s="40">
        <v>27</v>
      </c>
      <c r="H12" s="62">
        <v>1</v>
      </c>
      <c r="I12" s="63">
        <v>17</v>
      </c>
      <c r="J12" s="64">
        <v>115</v>
      </c>
      <c r="K12" s="65">
        <v>19</v>
      </c>
      <c r="L12" s="66">
        <f t="shared" ref="L12" si="7">K12/H12</f>
        <v>19</v>
      </c>
      <c r="M12" s="67">
        <f t="shared" ref="M12" si="8">+J12/K12</f>
        <v>6.0526315789473681</v>
      </c>
      <c r="N12" s="68">
        <f>86853.81+54964.43+34022.66+23560.33+8123.41+7604.5+3529.5+2609+1898+2251.6+1218+977.5+1040+1455+1095+653+115</f>
        <v>231970.74</v>
      </c>
      <c r="O12" s="69">
        <f>7232+4293+2509+1779+817+649+331+264+501+432+243+78+73+113+86+213+19</f>
        <v>19632</v>
      </c>
      <c r="P12" s="70">
        <f t="shared" ref="P12" si="9">N12/O12</f>
        <v>11.815950488997554</v>
      </c>
      <c r="Q12" s="29"/>
      <c r="R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88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89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24</v>
      </c>
      <c r="I6" s="50">
        <v>1</v>
      </c>
      <c r="J6" s="53">
        <v>23426</v>
      </c>
      <c r="K6" s="16">
        <v>1726</v>
      </c>
      <c r="L6" s="51">
        <f t="shared" ref="L6" si="0">K6/H6</f>
        <v>71.916666666666671</v>
      </c>
      <c r="M6" s="52">
        <f t="shared" ref="M6" si="1">+J6/K6</f>
        <v>13.57242178447277</v>
      </c>
      <c r="N6" s="54">
        <f>23426</f>
        <v>23426</v>
      </c>
      <c r="O6" s="55">
        <f>1726</f>
        <v>1726</v>
      </c>
      <c r="P6" s="56">
        <f t="shared" ref="P6" si="2">N6/O6</f>
        <v>13.57242178447277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28</v>
      </c>
      <c r="J7" s="21">
        <v>2988</v>
      </c>
      <c r="K7" s="22">
        <v>393</v>
      </c>
      <c r="L7" s="23">
        <f>K7/H7</f>
        <v>78.599999999999994</v>
      </c>
      <c r="M7" s="24">
        <f>+J7/K7</f>
        <v>7.6030534351145036</v>
      </c>
      <c r="N7" s="25">
        <f>1099708.11+593370.74+224185+52839.5+17039.5+9578+7414+5098+4983.5+10660.5+14194.5+2400+3550+2380.5+7656.5+4091.5+1713+2737+828+128+4019.35+696+742+3681+1237+1911+1320+2988</f>
        <v>2081150.2000000002</v>
      </c>
      <c r="O7" s="26">
        <f>102148+56106+22339+5539+1692+934+809+597+525+1619+1502+226+582+302+1163+486+470+558+154+16+730+93+96+595+155+233+216+393</f>
        <v>200278</v>
      </c>
      <c r="P7" s="27">
        <f>N7/O7</f>
        <v>10.391307083154416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3</v>
      </c>
      <c r="I8" s="20">
        <v>3</v>
      </c>
      <c r="J8" s="21">
        <v>2524</v>
      </c>
      <c r="K8" s="22">
        <v>151</v>
      </c>
      <c r="L8" s="23">
        <f t="shared" ref="L8:L12" si="4">K8/H8</f>
        <v>50.333333333333336</v>
      </c>
      <c r="M8" s="24">
        <f t="shared" ref="M8:M12" si="5">+J8/K8</f>
        <v>16.715231788079471</v>
      </c>
      <c r="N8" s="25">
        <f>68974+25816.1+2524</f>
        <v>97314.1</v>
      </c>
      <c r="O8" s="26">
        <f>5512+1865+151</f>
        <v>7528</v>
      </c>
      <c r="P8" s="27">
        <f t="shared" ref="P8:P12" si="6">N8/O8</f>
        <v>12.926952709883103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1</v>
      </c>
      <c r="I9" s="20">
        <v>4</v>
      </c>
      <c r="J9" s="21">
        <v>1726</v>
      </c>
      <c r="K9" s="22">
        <v>172</v>
      </c>
      <c r="L9" s="23">
        <f t="shared" si="4"/>
        <v>172</v>
      </c>
      <c r="M9" s="24">
        <f t="shared" si="5"/>
        <v>10.034883720930232</v>
      </c>
      <c r="N9" s="25">
        <f>150395.08+52946.08+3011.5+1726</f>
        <v>208078.65999999997</v>
      </c>
      <c r="O9" s="26">
        <f>14539+4867+346+172</f>
        <v>19924</v>
      </c>
      <c r="P9" s="27">
        <f t="shared" si="6"/>
        <v>10.443618751254768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24</v>
      </c>
      <c r="J10" s="21">
        <v>400</v>
      </c>
      <c r="K10" s="22">
        <v>50</v>
      </c>
      <c r="L10" s="23">
        <f>K10/H10</f>
        <v>50</v>
      </c>
      <c r="M10" s="24">
        <f>+J10/K10</f>
        <v>8</v>
      </c>
      <c r="N10" s="25">
        <f>73428.48+65677.81+40435.99+20437+22258.56+12040.44+17815.52+6634+2166+2694+5184+2502+3981+1205+69+696+782+2067.5+665+2013.6+288+258+96+400</f>
        <v>283794.89999999991</v>
      </c>
      <c r="O10" s="26">
        <f>7463+6959+4805+2294+2518+1280+2169+965+358+347+662+324+455+143+13+136+154+177+51+403+36+32+12+50</f>
        <v>31806</v>
      </c>
      <c r="P10" s="27">
        <f>N10/O10</f>
        <v>8.9226843991699649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70</v>
      </c>
      <c r="D11" s="58">
        <v>42104</v>
      </c>
      <c r="E11" s="59" t="s">
        <v>9</v>
      </c>
      <c r="F11" s="60" t="s">
        <v>9</v>
      </c>
      <c r="G11" s="61">
        <v>24</v>
      </c>
      <c r="H11" s="19">
        <v>1</v>
      </c>
      <c r="I11" s="20">
        <v>7</v>
      </c>
      <c r="J11" s="21">
        <v>314</v>
      </c>
      <c r="K11" s="22">
        <v>38</v>
      </c>
      <c r="L11" s="23">
        <f t="shared" si="4"/>
        <v>38</v>
      </c>
      <c r="M11" s="24">
        <f t="shared" si="5"/>
        <v>8.2631578947368425</v>
      </c>
      <c r="N11" s="25">
        <f>84987.77+10982.5+2017.5+2342+840+262+314</f>
        <v>101745.77</v>
      </c>
      <c r="O11" s="26">
        <f>7931+982+226+283+105+34+38</f>
        <v>9599</v>
      </c>
      <c r="P11" s="27">
        <f t="shared" si="6"/>
        <v>10.599621835607877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50</v>
      </c>
      <c r="D12" s="37">
        <v>41796</v>
      </c>
      <c r="E12" s="38" t="s">
        <v>9</v>
      </c>
      <c r="F12" s="39" t="s">
        <v>9</v>
      </c>
      <c r="G12" s="40">
        <v>22</v>
      </c>
      <c r="H12" s="62">
        <v>1</v>
      </c>
      <c r="I12" s="63">
        <v>33</v>
      </c>
      <c r="J12" s="64">
        <v>226</v>
      </c>
      <c r="K12" s="65">
        <v>28</v>
      </c>
      <c r="L12" s="66">
        <f t="shared" si="4"/>
        <v>28</v>
      </c>
      <c r="M12" s="67">
        <f t="shared" si="5"/>
        <v>8.0714285714285712</v>
      </c>
      <c r="N12" s="68">
        <f>166025.28+97326.52+57686.96+13701.5+11079.5+6936+18694.5+12272.5+7080.5+9304+8779+4785.44+5102.63+3908.66+4837+3724+3492+9632.5+4839+5360.5+615.5+83+1425.6+1525+121+1722.5+1737.5+1635+2287.5+272+153+136+226</f>
        <v>466507.58999999997</v>
      </c>
      <c r="O12" s="69">
        <f>15114+9515+5786+1430+1181+648+1199+1400+830+999+900+603+561+474+557+436+370+1189+567+607+105+10+285+117+12+138+141+137+196+34+19+17+28</f>
        <v>45605</v>
      </c>
      <c r="P12" s="70">
        <f t="shared" si="6"/>
        <v>10.229307970617256</v>
      </c>
      <c r="Q12" s="29"/>
      <c r="R12" s="29"/>
      <c r="S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85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86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18</v>
      </c>
      <c r="I6" s="50">
        <v>2</v>
      </c>
      <c r="J6" s="53">
        <v>25816.1</v>
      </c>
      <c r="K6" s="16">
        <v>1865</v>
      </c>
      <c r="L6" s="51">
        <f t="shared" ref="L6" si="0">K6/H6</f>
        <v>103.61111111111111</v>
      </c>
      <c r="M6" s="52">
        <f t="shared" ref="M6" si="1">+J6/K6</f>
        <v>13.842412868632707</v>
      </c>
      <c r="N6" s="54">
        <f>68974+25816.1</f>
        <v>94790.1</v>
      </c>
      <c r="O6" s="55">
        <f>5512+1865</f>
        <v>7377</v>
      </c>
      <c r="P6" s="56">
        <f t="shared" ref="P6" si="2">N6/O6</f>
        <v>12.849410329402197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6</v>
      </c>
      <c r="I7" s="20">
        <v>3</v>
      </c>
      <c r="J7" s="21">
        <v>3011.5</v>
      </c>
      <c r="K7" s="22">
        <v>346</v>
      </c>
      <c r="L7" s="23">
        <f t="shared" ref="L7:L12" si="4">K7/H7</f>
        <v>57.666666666666664</v>
      </c>
      <c r="M7" s="24">
        <f t="shared" ref="M7:M12" si="5">+J7/K7</f>
        <v>8.7037572254335256</v>
      </c>
      <c r="N7" s="25">
        <f>150395.08+52946.08+3011.5</f>
        <v>206352.65999999997</v>
      </c>
      <c r="O7" s="26">
        <f>14539+4867+346</f>
        <v>19752</v>
      </c>
      <c r="P7" s="27">
        <f t="shared" ref="P7:P12" si="6">N7/O7</f>
        <v>10.4471780072904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3</v>
      </c>
      <c r="I8" s="20">
        <v>27</v>
      </c>
      <c r="J8" s="71">
        <v>1320</v>
      </c>
      <c r="K8" s="72">
        <v>216</v>
      </c>
      <c r="L8" s="23">
        <f t="shared" si="4"/>
        <v>72</v>
      </c>
      <c r="M8" s="24">
        <f t="shared" si="5"/>
        <v>6.1111111111111107</v>
      </c>
      <c r="N8" s="73">
        <f>1099708.11+593370.74+224185+52839.5+17039.5+9578+7414+5098+4983.5+10660.5+14194.5+2400+3550+2380.5+7656.5+4091.5+1713+2737+828+128+4019.35+696+742+3681+1237+1911+1320</f>
        <v>2078162.2000000002</v>
      </c>
      <c r="O8" s="74">
        <f>102148+56106+22339+5539+1692+934+809+597+525+1619+1502+226+582+302+1163+486+470+558+154+16+730+93+96+595+155+233+216</f>
        <v>199885</v>
      </c>
      <c r="P8" s="27">
        <f t="shared" si="6"/>
        <v>10.396789153763415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1</v>
      </c>
      <c r="I9" s="20">
        <v>6</v>
      </c>
      <c r="J9" s="21">
        <v>262</v>
      </c>
      <c r="K9" s="22">
        <v>34</v>
      </c>
      <c r="L9" s="23">
        <f t="shared" si="4"/>
        <v>34</v>
      </c>
      <c r="M9" s="24">
        <f t="shared" si="5"/>
        <v>7.7058823529411766</v>
      </c>
      <c r="N9" s="25">
        <f>84987.77+10982.5+2017.5+2342+840+262</f>
        <v>101431.77</v>
      </c>
      <c r="O9" s="26">
        <f>7931+982+226+283+105+34</f>
        <v>9561</v>
      </c>
      <c r="P9" s="27">
        <f t="shared" si="6"/>
        <v>10.608908064010041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32</v>
      </c>
      <c r="J10" s="21">
        <v>136</v>
      </c>
      <c r="K10" s="22">
        <v>17</v>
      </c>
      <c r="L10" s="23">
        <f t="shared" si="4"/>
        <v>17</v>
      </c>
      <c r="M10" s="24">
        <f t="shared" si="5"/>
        <v>8</v>
      </c>
      <c r="N10" s="25">
        <f>166025.28+97326.52+57686.96+13701.5+11079.5+6936+18694.5+12272.5+7080.5+9304+8779+4785.44+5102.63+3908.66+4837+3724+3492+9632.5+4839+5360.5+615.5+83+1425.6+1525+121+1722.5+1737.5+1635+2287.5+272+153+136</f>
        <v>466281.58999999997</v>
      </c>
      <c r="O10" s="26">
        <f>15114+9515+5786+1430+1181+648+1199+1400+830+999+900+603+561+474+557+436+370+1189+567+607+105+10+285+117+12+138+141+137+196+34+19+17</f>
        <v>45577</v>
      </c>
      <c r="P10" s="27">
        <f t="shared" si="6"/>
        <v>10.230633652938982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55</v>
      </c>
      <c r="D11" s="58">
        <v>41845</v>
      </c>
      <c r="E11" s="59" t="s">
        <v>9</v>
      </c>
      <c r="F11" s="60" t="s">
        <v>9</v>
      </c>
      <c r="G11" s="61">
        <v>23</v>
      </c>
      <c r="H11" s="19">
        <v>1</v>
      </c>
      <c r="I11" s="20">
        <v>23</v>
      </c>
      <c r="J11" s="21">
        <v>96</v>
      </c>
      <c r="K11" s="22">
        <v>12</v>
      </c>
      <c r="L11" s="23">
        <f t="shared" si="4"/>
        <v>12</v>
      </c>
      <c r="M11" s="24">
        <f t="shared" si="5"/>
        <v>8</v>
      </c>
      <c r="N11" s="25">
        <f>73428.48+65677.81+40435.99+20437+22258.56+12040.44+17815.52+6634+2166+2694+5184+2502+3981+1205+69+696+782+2067.5+665+2013.6+288+258+96</f>
        <v>283394.89999999991</v>
      </c>
      <c r="O11" s="26">
        <f>7463+6959+4805+2294+2518+1280+2169+965+358+347+662+324+455+143+13+136+154+177+51+403+36+32+12</f>
        <v>31756</v>
      </c>
      <c r="P11" s="27">
        <f t="shared" si="6"/>
        <v>8.9241371709283257</v>
      </c>
      <c r="Q11" s="29"/>
      <c r="R11" s="29"/>
      <c r="S11" s="29"/>
    </row>
    <row r="12" spans="1:19" s="3" customFormat="1" ht="22.5" customHeight="1" thickBot="1" x14ac:dyDescent="0.3">
      <c r="B12" s="80">
        <f t="shared" si="3"/>
        <v>7</v>
      </c>
      <c r="C12" s="36" t="s">
        <v>28</v>
      </c>
      <c r="D12" s="37">
        <v>41866</v>
      </c>
      <c r="E12" s="38" t="s">
        <v>9</v>
      </c>
      <c r="F12" s="39" t="s">
        <v>29</v>
      </c>
      <c r="G12" s="40">
        <v>31</v>
      </c>
      <c r="H12" s="30">
        <v>1</v>
      </c>
      <c r="I12" s="31">
        <v>30</v>
      </c>
      <c r="J12" s="32">
        <v>40</v>
      </c>
      <c r="K12" s="33">
        <v>5</v>
      </c>
      <c r="L12" s="41">
        <f t="shared" si="4"/>
        <v>5</v>
      </c>
      <c r="M12" s="42">
        <f t="shared" si="5"/>
        <v>8</v>
      </c>
      <c r="N12" s="34">
        <f>166393.25+120953.88+26778.83+15413.16+8141+9655+7141+22668+12148+7305+4200+124+102+212+223+1619+804+2201+992+1988+3344+6211+2046.8+2141.5+1165.4+242+120+285+1190+40</f>
        <v>425847.82</v>
      </c>
      <c r="O12" s="35">
        <f>16398+11920+2425+1471+815+935+859+2615+1401+831+549+16+14+27+29+174+87+240+98+249+365+643+408+205+207+35+17+36+371+5</f>
        <v>43445</v>
      </c>
      <c r="P12" s="43">
        <f t="shared" si="6"/>
        <v>9.8019983887674069</v>
      </c>
      <c r="Q12" s="29"/>
      <c r="R12" s="29"/>
      <c r="S12" s="29"/>
    </row>
    <row r="13" spans="1:19" x14ac:dyDescent="0.25">
      <c r="A13" s="6" t="s">
        <v>87</v>
      </c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82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83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28</vt:i4>
      </vt:variant>
    </vt:vector>
  </HeadingPairs>
  <TitlesOfParts>
    <vt:vector size="28" baseType="lpstr">
      <vt:lpstr>2015_28_10-16.07</vt:lpstr>
      <vt:lpstr>2015_27_03-09.07</vt:lpstr>
      <vt:lpstr>2015_26_26.06-02.07</vt:lpstr>
      <vt:lpstr>2015_25_19-25.06</vt:lpstr>
      <vt:lpstr>2015_24_12-18.06</vt:lpstr>
      <vt:lpstr>2015_23_05-11.06</vt:lpstr>
      <vt:lpstr>2015_22_29.05-04.06</vt:lpstr>
      <vt:lpstr>2015_21_22-28.05</vt:lpstr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2015-04-10T13:16:53Z</cp:lastPrinted>
  <dcterms:created xsi:type="dcterms:W3CDTF">2014-02-17T12:24:16Z</dcterms:created>
  <dcterms:modified xsi:type="dcterms:W3CDTF">2015-07-17T13:21:18Z</dcterms:modified>
</cp:coreProperties>
</file>