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35"/>
  </bookViews>
  <sheets>
    <sheet name="2015_10_06-12.03" sheetId="55" r:id="rId1"/>
    <sheet name="2015_09_27.02-05.03" sheetId="54" r:id="rId2"/>
    <sheet name="2015_08_20-26.02" sheetId="53" r:id="rId3"/>
    <sheet name="2015_07_13-19.02" sheetId="52" r:id="rId4"/>
    <sheet name="2015_06_06-12.02" sheetId="51" r:id="rId5"/>
    <sheet name="2015_05_30.01-05.02" sheetId="50" r:id="rId6"/>
    <sheet name="2015_04_23-29.01" sheetId="49" r:id="rId7"/>
    <sheet name="2015_03_16-22.01" sheetId="48" r:id="rId8"/>
    <sheet name="2015_02_09-15.01" sheetId="47" r:id="rId9"/>
    <sheet name="2015_01_02-08.01" sheetId="46" r:id="rId10"/>
  </sheets>
  <definedNames>
    <definedName name="_xlnm._FilterDatabase" localSheetId="0" hidden="1">'2015_10_06-12.03'!$J$5:$M$5</definedName>
  </definedNames>
  <calcPr calcId="145621"/>
</workbook>
</file>

<file path=xl/calcChain.xml><?xml version="1.0" encoding="utf-8"?>
<calcChain xmlns="http://schemas.openxmlformats.org/spreadsheetml/2006/main">
  <c r="B8" i="55" l="1"/>
  <c r="B9" i="55"/>
  <c r="B10" i="55" s="1"/>
  <c r="B11" i="55" s="1"/>
  <c r="B12" i="55" s="1"/>
  <c r="B13" i="55" s="1"/>
  <c r="B14" i="55" s="1"/>
  <c r="B15" i="55" s="1"/>
  <c r="O11" i="55"/>
  <c r="N11" i="55"/>
  <c r="O9" i="55"/>
  <c r="N9" i="55"/>
  <c r="O8" i="55"/>
  <c r="N8" i="55"/>
  <c r="O6" i="55"/>
  <c r="N6" i="55"/>
  <c r="O14" i="55"/>
  <c r="N14" i="55"/>
  <c r="O13" i="55"/>
  <c r="N13" i="55"/>
  <c r="O15" i="55"/>
  <c r="N15" i="55"/>
  <c r="O12" i="55"/>
  <c r="N12" i="55"/>
  <c r="O16" i="55"/>
  <c r="N16" i="55"/>
  <c r="O10" i="55"/>
  <c r="N10" i="55"/>
  <c r="O7" i="55"/>
  <c r="N7" i="55"/>
  <c r="M10" i="55" l="1"/>
  <c r="L10" i="55"/>
  <c r="P10" i="55" l="1"/>
  <c r="P11" i="55"/>
  <c r="M11" i="55"/>
  <c r="L11" i="55"/>
  <c r="P15" i="55"/>
  <c r="M15" i="55"/>
  <c r="L15" i="55"/>
  <c r="P14" i="55"/>
  <c r="M14" i="55"/>
  <c r="L14" i="55"/>
  <c r="M13" i="55"/>
  <c r="L13" i="55"/>
  <c r="P16" i="55"/>
  <c r="M16" i="55"/>
  <c r="L16" i="55"/>
  <c r="P12" i="55"/>
  <c r="M12" i="55"/>
  <c r="L12" i="55"/>
  <c r="P9" i="55"/>
  <c r="M9" i="55"/>
  <c r="L9" i="55"/>
  <c r="P8" i="55"/>
  <c r="M8" i="55"/>
  <c r="L8" i="55"/>
  <c r="M7" i="55"/>
  <c r="L7" i="55"/>
  <c r="P6" i="55"/>
  <c r="M6" i="55"/>
  <c r="L6" i="55"/>
  <c r="B6" i="55"/>
  <c r="B7" i="55" s="1"/>
  <c r="B16" i="55" s="1"/>
  <c r="P7" i="55" l="1"/>
  <c r="P13" i="55"/>
  <c r="O8" i="54"/>
  <c r="N8" i="54"/>
  <c r="P11" i="54" l="1"/>
  <c r="O11" i="54"/>
  <c r="N11" i="54"/>
  <c r="M11" i="54"/>
  <c r="L11" i="54"/>
  <c r="O10" i="54"/>
  <c r="N10" i="54"/>
  <c r="P10" i="54" s="1"/>
  <c r="M10" i="54"/>
  <c r="L10" i="54"/>
  <c r="O9" i="54"/>
  <c r="N9" i="54"/>
  <c r="P9" i="54" s="1"/>
  <c r="M9" i="54"/>
  <c r="L9" i="54"/>
  <c r="P8" i="54"/>
  <c r="M8" i="54"/>
  <c r="L8" i="54"/>
  <c r="P7" i="54"/>
  <c r="O7" i="54"/>
  <c r="N7" i="54"/>
  <c r="M7" i="54"/>
  <c r="L7" i="54"/>
  <c r="O6" i="54"/>
  <c r="N6" i="54"/>
  <c r="P6" i="54" s="1"/>
  <c r="M6" i="54"/>
  <c r="L6" i="54"/>
  <c r="B7" i="54"/>
  <c r="B8" i="54" s="1"/>
  <c r="B9" i="54" s="1"/>
  <c r="B10" i="54" s="1"/>
  <c r="B6" i="54"/>
  <c r="B11" i="54" l="1"/>
  <c r="O7" i="53"/>
  <c r="N7" i="53"/>
  <c r="O6" i="53"/>
  <c r="N6" i="53"/>
  <c r="O8" i="53"/>
  <c r="N8" i="53"/>
  <c r="O10" i="53"/>
  <c r="N10" i="53"/>
  <c r="O9" i="53"/>
  <c r="N9" i="53"/>
  <c r="P10" i="53" l="1"/>
  <c r="M10" i="53"/>
  <c r="L10" i="53"/>
  <c r="P9" i="53" l="1"/>
  <c r="M9" i="53"/>
  <c r="L9" i="53"/>
  <c r="P8" i="53"/>
  <c r="M8" i="53"/>
  <c r="L8" i="53"/>
  <c r="P7" i="53"/>
  <c r="M7" i="53"/>
  <c r="L7" i="53"/>
  <c r="P6" i="53"/>
  <c r="M6" i="53"/>
  <c r="L6" i="53"/>
  <c r="B6" i="53"/>
  <c r="B7" i="53" s="1"/>
  <c r="B8" i="53" s="1"/>
  <c r="B9" i="53" s="1"/>
  <c r="B10" i="53" s="1"/>
  <c r="O7" i="52" l="1"/>
  <c r="N7" i="52"/>
  <c r="O6" i="52"/>
  <c r="N6" i="52"/>
  <c r="O8" i="52"/>
  <c r="N8" i="52"/>
  <c r="O9" i="52"/>
  <c r="N9" i="52"/>
  <c r="P9" i="52" l="1"/>
  <c r="M9" i="52"/>
  <c r="L9" i="52"/>
  <c r="P8" i="52"/>
  <c r="M8" i="52"/>
  <c r="L8" i="52"/>
  <c r="P7" i="52"/>
  <c r="M7" i="52"/>
  <c r="L7" i="52"/>
  <c r="M6" i="52"/>
  <c r="L6" i="52"/>
  <c r="B6" i="52"/>
  <c r="B7" i="52" s="1"/>
  <c r="B8" i="52" s="1"/>
  <c r="B9" i="52" s="1"/>
  <c r="P6" i="52" l="1"/>
  <c r="O10" i="51"/>
  <c r="N10" i="51"/>
  <c r="P10" i="51" s="1"/>
  <c r="M10" i="51"/>
  <c r="L10" i="51"/>
  <c r="O9" i="51"/>
  <c r="N9" i="51"/>
  <c r="P9" i="51" s="1"/>
  <c r="M9" i="51"/>
  <c r="L9" i="51"/>
  <c r="O8" i="51"/>
  <c r="N8" i="51"/>
  <c r="P8" i="51" s="1"/>
  <c r="M8" i="51"/>
  <c r="L8" i="51"/>
  <c r="O7" i="51"/>
  <c r="P7" i="51" s="1"/>
  <c r="N7" i="51"/>
  <c r="M7" i="51"/>
  <c r="L7" i="51"/>
  <c r="O6" i="51"/>
  <c r="P6" i="51" s="1"/>
  <c r="N6" i="51"/>
  <c r="M6" i="51"/>
  <c r="L6" i="51"/>
  <c r="B6" i="51"/>
  <c r="B7" i="51" s="1"/>
  <c r="B8" i="51" s="1"/>
  <c r="B9" i="51" s="1"/>
  <c r="B10" i="51" s="1"/>
  <c r="O6" i="50" l="1"/>
  <c r="N6" i="50"/>
  <c r="O8" i="50" l="1"/>
  <c r="N8" i="50"/>
  <c r="O10" i="50" l="1"/>
  <c r="N10" i="50"/>
  <c r="O7" i="50"/>
  <c r="N7" i="50"/>
  <c r="O9" i="50" l="1"/>
  <c r="N9" i="50"/>
  <c r="M9" i="50"/>
  <c r="L9" i="50"/>
  <c r="P9" i="50" l="1"/>
  <c r="P10" i="50"/>
  <c r="M10" i="50"/>
  <c r="L10" i="50"/>
  <c r="P8" i="50"/>
  <c r="M8" i="50"/>
  <c r="L8" i="50"/>
  <c r="P7" i="50"/>
  <c r="M7" i="50"/>
  <c r="L7" i="50"/>
  <c r="P6" i="50"/>
  <c r="M6" i="50"/>
  <c r="L6" i="50"/>
  <c r="B6" i="50"/>
  <c r="B7" i="50" s="1"/>
  <c r="B8" i="50" s="1"/>
  <c r="B9" i="50" s="1"/>
  <c r="B10" i="50" s="1"/>
  <c r="O6" i="49" l="1"/>
  <c r="N6" i="49"/>
  <c r="O7" i="49"/>
  <c r="N7" i="49"/>
  <c r="O9" i="49"/>
  <c r="N9" i="49"/>
  <c r="O10" i="49"/>
  <c r="N10" i="49"/>
  <c r="O8" i="49"/>
  <c r="N8" i="49"/>
  <c r="M8" i="49"/>
  <c r="L8" i="49"/>
  <c r="P8" i="49" l="1"/>
  <c r="P10" i="49"/>
  <c r="M10" i="49"/>
  <c r="L10" i="49"/>
  <c r="M9" i="49"/>
  <c r="L9" i="49"/>
  <c r="M7" i="49"/>
  <c r="L7" i="49"/>
  <c r="P6" i="49"/>
  <c r="M6" i="49"/>
  <c r="L6" i="49"/>
  <c r="B6" i="49"/>
  <c r="B7" i="49" s="1"/>
  <c r="B8" i="49" s="1"/>
  <c r="B9" i="49" s="1"/>
  <c r="B10" i="49" s="1"/>
  <c r="P7" i="49" l="1"/>
  <c r="P9" i="49"/>
  <c r="N10" i="48"/>
  <c r="P10" i="48" s="1"/>
  <c r="O10" i="48"/>
  <c r="M10" i="48"/>
  <c r="L10" i="48"/>
  <c r="N9" i="48"/>
  <c r="P9" i="48" s="1"/>
  <c r="O9" i="48"/>
  <c r="M9" i="48"/>
  <c r="L9" i="48"/>
  <c r="N8" i="48"/>
  <c r="O8" i="48"/>
  <c r="M8" i="48"/>
  <c r="L8" i="48"/>
  <c r="N7" i="48"/>
  <c r="P7" i="48" s="1"/>
  <c r="O7" i="48"/>
  <c r="M7" i="48"/>
  <c r="L7" i="48"/>
  <c r="N6" i="48"/>
  <c r="P6" i="48" s="1"/>
  <c r="O6" i="48"/>
  <c r="M6" i="48"/>
  <c r="L6" i="48"/>
  <c r="B6" i="48"/>
  <c r="B7" i="48" s="1"/>
  <c r="B8" i="48" s="1"/>
  <c r="B9" i="48" s="1"/>
  <c r="B10" i="48" s="1"/>
  <c r="B6" i="47"/>
  <c r="B7" i="47" s="1"/>
  <c r="B8" i="47" s="1"/>
  <c r="B9" i="47" s="1"/>
  <c r="O9" i="47"/>
  <c r="N9" i="47"/>
  <c r="P9" i="47" s="1"/>
  <c r="O6" i="47"/>
  <c r="N6" i="47"/>
  <c r="P6" i="47" s="1"/>
  <c r="O7" i="47"/>
  <c r="N7" i="47"/>
  <c r="P7" i="47" s="1"/>
  <c r="O8" i="47"/>
  <c r="N8" i="47"/>
  <c r="P8" i="47" s="1"/>
  <c r="M8" i="47"/>
  <c r="L8" i="47"/>
  <c r="M7" i="47"/>
  <c r="L7" i="47"/>
  <c r="M9" i="47"/>
  <c r="L9" i="47"/>
  <c r="M6" i="47"/>
  <c r="L6" i="47"/>
  <c r="O6" i="46"/>
  <c r="N6" i="46"/>
  <c r="B6" i="46"/>
  <c r="B7" i="46" s="1"/>
  <c r="B8" i="46" s="1"/>
  <c r="B9" i="46" s="1"/>
  <c r="B10" i="46" s="1"/>
  <c r="O9" i="46"/>
  <c r="P9" i="46" s="1"/>
  <c r="N9" i="46"/>
  <c r="O10" i="46"/>
  <c r="N10" i="46"/>
  <c r="O8" i="46"/>
  <c r="P8" i="46" s="1"/>
  <c r="N8" i="46"/>
  <c r="O7" i="46"/>
  <c r="N7" i="46"/>
  <c r="P7" i="46" s="1"/>
  <c r="M8" i="46"/>
  <c r="L8" i="46"/>
  <c r="M7" i="46"/>
  <c r="L7" i="46"/>
  <c r="P10" i="46"/>
  <c r="M10" i="46"/>
  <c r="L10" i="46"/>
  <c r="M9" i="46"/>
  <c r="L9" i="46"/>
  <c r="M6" i="46"/>
  <c r="L6" i="46"/>
  <c r="P6" i="46"/>
  <c r="P8" i="48" l="1"/>
</calcChain>
</file>

<file path=xl/sharedStrings.xml><?xml version="1.0" encoding="utf-8"?>
<sst xmlns="http://schemas.openxmlformats.org/spreadsheetml/2006/main" count="375" uniqueCount="56">
  <si>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</si>
  <si>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</si>
  <si>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</si>
  <si>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</si>
  <si>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</si>
  <si>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</si>
  <si>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</si>
  <si>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</si>
  <si>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</si>
  <si>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BİR FİLM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</si>
  <si>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</si>
  <si>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</si>
  <si>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</si>
  <si>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</si>
  <si>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</si>
  <si>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</si>
  <si>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</si>
  <si>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WHO KILLED BAMBI</t>
  </si>
  <si>
    <t>SİYAH BEYAZ MOVIES</t>
  </si>
  <si>
    <t>NICHOLAS ON HOLIDAY</t>
  </si>
  <si>
    <t>FİLMA</t>
  </si>
  <si>
    <t>WINX CLUB: THE MYSTERY OF THE ABYSS</t>
  </si>
  <si>
    <t>KARIŞIK KASET</t>
  </si>
  <si>
    <t>AFRICAN SAFARI (3D)</t>
  </si>
  <si>
    <t>2015 / 01</t>
  </si>
  <si>
    <t>02 - 08 Ocak 2015</t>
  </si>
  <si>
    <t>2015 / 02</t>
  </si>
  <si>
    <t>09 - 15 Ocak 2015</t>
  </si>
  <si>
    <t xml:space="preserve">BABADOOK, THE </t>
  </si>
  <si>
    <t>CALINOS</t>
  </si>
  <si>
    <t>DARK TOUCH</t>
  </si>
  <si>
    <t>2015 / 03</t>
  </si>
  <si>
    <t>16 - 22 Ocak 2015</t>
  </si>
  <si>
    <t>SERIAL (BAD) WEDDINGS</t>
  </si>
  <si>
    <t>LİMON YAPIM</t>
  </si>
  <si>
    <t>2015 / 04</t>
  </si>
  <si>
    <t>23 - 29 Ocak 2015</t>
  </si>
  <si>
    <t>TOM LITTLE AND THE MAGIC MIRROR</t>
  </si>
  <si>
    <t>2015 / 05</t>
  </si>
  <si>
    <t>30 Ocak - 05 Şubat 2015</t>
  </si>
  <si>
    <t>LITTLE GHOST, THE</t>
  </si>
  <si>
    <t>2015 / 06</t>
  </si>
  <si>
    <t>06 - 12 Şubat 2015</t>
  </si>
  <si>
    <t>2015 / 07</t>
  </si>
  <si>
    <t>13 - 19 Şubat 2015</t>
  </si>
  <si>
    <t>STILL ALICE</t>
  </si>
  <si>
    <t>YAV HE HE</t>
  </si>
  <si>
    <t>YAV HE HE FİLM</t>
  </si>
  <si>
    <t>2015 / 08</t>
  </si>
  <si>
    <t>20 - 26 Şubat 2015</t>
  </si>
  <si>
    <t>RIGHT KIND OF WRONG, THE</t>
  </si>
  <si>
    <t>2015 / 09</t>
  </si>
  <si>
    <t>27 Şubat - 05 Mart 2015</t>
  </si>
  <si>
    <t>2015 / 10</t>
  </si>
  <si>
    <t>06 - 12 Mart 2015</t>
  </si>
  <si>
    <t>IN FEAR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</si>
</sst>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8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7" fontId="6" fillId="0" borderId="24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167" fontId="6" fillId="0" borderId="25" xfId="0" applyNumberFormat="1" applyFont="1" applyFill="1" applyBorder="1" applyAlignment="1" applyProtection="1">
      <alignment horizontal="center" vertical="center" wrapText="1"/>
    </xf>
    <xf numFmtId="165" fontId="6" fillId="0" borderId="26" xfId="0" applyNumberFormat="1" applyFont="1" applyFill="1" applyBorder="1" applyAlignment="1" applyProtection="1">
      <alignment horizontal="center" vertical="center" wrapText="1"/>
    </xf>
    <xf numFmtId="166" fontId="6" fillId="0" borderId="24" xfId="0" applyNumberFormat="1" applyFont="1" applyFill="1" applyBorder="1" applyAlignment="1" applyProtection="1">
      <alignment horizontal="center" vertical="center" wrapText="1"/>
    </xf>
    <xf numFmtId="3" fontId="4" fillId="0" borderId="28" xfId="2" applyNumberFormat="1" applyFont="1" applyFill="1" applyBorder="1" applyAlignment="1" applyProtection="1">
      <alignment horizontal="right" vertical="center" shrinkToFit="1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66" fontId="4" fillId="0" borderId="37" xfId="2" applyNumberFormat="1" applyFont="1" applyFill="1" applyBorder="1" applyAlignment="1" applyProtection="1">
      <alignment horizontal="right" vertical="center" shrinkToFit="1"/>
    </xf>
    <xf numFmtId="3" fontId="4" fillId="0" borderId="35" xfId="2" applyNumberFormat="1" applyFont="1" applyFill="1" applyBorder="1" applyAlignment="1" applyProtection="1">
      <alignment horizontal="right" vertical="center" shrinkToFit="1"/>
    </xf>
    <xf numFmtId="167" fontId="8" fillId="3" borderId="35" xfId="2" applyNumberFormat="1" applyFont="1" applyFill="1" applyBorder="1" applyAlignment="1">
      <alignment horizontal="right" vertical="center" shrinkToFit="1"/>
    </xf>
    <xf numFmtId="165" fontId="8" fillId="3" borderId="38" xfId="2" applyNumberFormat="1" applyFont="1" applyFill="1" applyBorder="1" applyAlignment="1">
      <alignment vertical="center" shrinkToFit="1"/>
    </xf>
    <xf numFmtId="166" fontId="8" fillId="0" borderId="37" xfId="0" applyNumberFormat="1" applyFont="1" applyFill="1" applyBorder="1" applyAlignment="1">
      <alignment vertical="center" shrinkToFit="1"/>
    </xf>
    <xf numFmtId="167" fontId="8" fillId="0" borderId="35" xfId="2" applyNumberFormat="1" applyFont="1" applyFill="1" applyBorder="1" applyAlignment="1" applyProtection="1">
      <alignment vertical="center" shrinkToFit="1"/>
      <protection locked="0"/>
    </xf>
    <xf numFmtId="166" fontId="8" fillId="3" borderId="3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6" fontId="4" fillId="0" borderId="14" xfId="2" applyNumberFormat="1" applyFont="1" applyFill="1" applyBorder="1" applyAlignment="1" applyProtection="1">
      <alignment horizontal="right" vertical="center" shrinkToFit="1"/>
    </xf>
    <xf numFmtId="3" fontId="4" fillId="0" borderId="11" xfId="2" applyNumberFormat="1" applyFont="1" applyFill="1" applyBorder="1" applyAlignment="1" applyProtection="1">
      <alignment horizontal="right" vertical="center" shrinkToFit="1"/>
    </xf>
    <xf numFmtId="166" fontId="8" fillId="0" borderId="14" xfId="0" applyNumberFormat="1" applyFont="1" applyFill="1" applyBorder="1" applyAlignment="1">
      <alignment vertical="center" shrinkToFit="1"/>
    </xf>
    <xf numFmtId="167" fontId="8" fillId="0" borderId="11" xfId="2" applyNumberFormat="1" applyFont="1" applyFill="1" applyBorder="1" applyAlignment="1" applyProtection="1">
      <alignment vertical="center" shrinkToFit="1"/>
      <protection locked="0"/>
    </xf>
    <xf numFmtId="168" fontId="8" fillId="3" borderId="10" xfId="0" applyNumberFormat="1" applyFont="1" applyFill="1" applyBorder="1" applyAlignment="1">
      <alignment horizontal="left" vertical="center" shrinkToFit="1"/>
    </xf>
    <xf numFmtId="164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7" fontId="8" fillId="3" borderId="11" xfId="2" applyNumberFormat="1" applyFont="1" applyFill="1" applyBorder="1" applyAlignment="1">
      <alignment horizontal="right" vertical="center" shrinkToFit="1"/>
    </xf>
    <xf numFmtId="165" fontId="8" fillId="3" borderId="15" xfId="2" applyNumberFormat="1" applyFont="1" applyFill="1" applyBorder="1" applyAlignment="1">
      <alignment vertical="center" shrinkToFit="1"/>
    </xf>
    <xf numFmtId="166" fontId="8" fillId="3" borderId="15" xfId="0" applyNumberFormat="1" applyFont="1" applyFill="1" applyBorder="1" applyAlignment="1">
      <alignment vertical="center" shrinkToFit="1"/>
    </xf>
    <xf numFmtId="168" fontId="8" fillId="3" borderId="31" xfId="0" applyNumberFormat="1" applyFont="1" applyFill="1" applyBorder="1" applyAlignment="1">
      <alignment horizontal="left" vertical="center" shrinkToFit="1"/>
    </xf>
    <xf numFmtId="164" fontId="8" fillId="3" borderId="28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67" fontId="8" fillId="3" borderId="28" xfId="2" applyNumberFormat="1" applyFont="1" applyFill="1" applyBorder="1" applyAlignment="1">
      <alignment horizontal="right" vertical="center" shrinkToFit="1"/>
    </xf>
    <xf numFmtId="165" fontId="8" fillId="3" borderId="29" xfId="2" applyNumberFormat="1" applyFont="1" applyFill="1" applyBorder="1" applyAlignment="1">
      <alignment vertical="center" shrinkToFit="1"/>
    </xf>
    <xf numFmtId="166" fontId="4" fillId="0" borderId="27" xfId="2" applyNumberFormat="1" applyFont="1" applyFill="1" applyBorder="1" applyAlignment="1" applyProtection="1">
      <alignment horizontal="right" vertical="center" shrinkToFit="1"/>
    </xf>
    <xf numFmtId="166" fontId="8" fillId="0" borderId="27" xfId="0" applyNumberFormat="1" applyFont="1" applyFill="1" applyBorder="1" applyAlignment="1">
      <alignment vertical="center" shrinkToFit="1"/>
    </xf>
    <xf numFmtId="167" fontId="8" fillId="0" borderId="28" xfId="2" applyNumberFormat="1" applyFont="1" applyFill="1" applyBorder="1" applyAlignment="1" applyProtection="1">
      <alignment vertical="center" shrinkToFit="1"/>
      <protection locked="0"/>
    </xf>
    <xf numFmtId="166" fontId="8" fillId="3" borderId="29" xfId="0" applyNumberFormat="1" applyFont="1" applyFill="1" applyBorder="1" applyAlignment="1">
      <alignment vertical="center" shrinkToFit="1"/>
    </xf>
    <xf numFmtId="168" fontId="8" fillId="3" borderId="39" xfId="0" applyNumberFormat="1" applyFont="1" applyFill="1" applyBorder="1" applyAlignment="1">
      <alignment horizontal="left" vertical="center" shrinkToFit="1"/>
    </xf>
    <xf numFmtId="164" fontId="8" fillId="3" borderId="40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66" fontId="4" fillId="0" borderId="44" xfId="2" applyNumberFormat="1" applyFont="1" applyFill="1" applyBorder="1" applyAlignment="1" applyProtection="1">
      <alignment horizontal="right" vertical="center" shrinkToFit="1"/>
    </xf>
    <xf numFmtId="3" fontId="4" fillId="0" borderId="42" xfId="2" applyNumberFormat="1" applyFont="1" applyFill="1" applyBorder="1" applyAlignment="1" applyProtection="1">
      <alignment horizontal="right" vertical="center" shrinkToFit="1"/>
    </xf>
    <xf numFmtId="167" fontId="8" fillId="3" borderId="42" xfId="2" applyNumberFormat="1" applyFont="1" applyFill="1" applyBorder="1" applyAlignment="1">
      <alignment horizontal="right" vertical="center" shrinkToFit="1"/>
    </xf>
    <xf numFmtId="165" fontId="8" fillId="3" borderId="45" xfId="2" applyNumberFormat="1" applyFont="1" applyFill="1" applyBorder="1" applyAlignment="1">
      <alignment vertical="center" shrinkToFit="1"/>
    </xf>
    <xf numFmtId="166" fontId="8" fillId="0" borderId="44" xfId="0" applyNumberFormat="1" applyFont="1" applyFill="1" applyBorder="1" applyAlignment="1">
      <alignment vertical="center" shrinkToFit="1"/>
    </xf>
    <xf numFmtId="167" fontId="8" fillId="0" borderId="42" xfId="2" applyNumberFormat="1" applyFont="1" applyFill="1" applyBorder="1" applyAlignment="1" applyProtection="1">
      <alignment vertical="center" shrinkToFit="1"/>
      <protection locked="0"/>
    </xf>
    <xf numFmtId="166" fontId="8" fillId="3" borderId="45" xfId="0" applyNumberFormat="1" applyFont="1" applyFill="1" applyBorder="1" applyAlignment="1">
      <alignment vertical="center" shrinkToFit="1"/>
    </xf>
    <xf numFmtId="166" fontId="4" fillId="4" borderId="37" xfId="2" applyNumberFormat="1" applyFont="1" applyFill="1" applyBorder="1" applyAlignment="1" applyProtection="1">
      <alignment horizontal="right" vertical="center" shrinkToFit="1"/>
    </xf>
    <xf numFmtId="3" fontId="4" fillId="4" borderId="35" xfId="2" applyNumberFormat="1" applyFont="1" applyFill="1" applyBorder="1" applyAlignment="1" applyProtection="1">
      <alignment horizontal="right" vertical="center" shrinkToFit="1"/>
    </xf>
    <xf numFmtId="166" fontId="8" fillId="4" borderId="37" xfId="0" applyNumberFormat="1" applyFont="1" applyFill="1" applyBorder="1" applyAlignment="1">
      <alignment vertical="center" shrinkToFit="1"/>
    </xf>
    <xf numFmtId="167" fontId="8" fillId="4" borderId="35" xfId="2" applyNumberFormat="1" applyFont="1" applyFill="1" applyBorder="1" applyAlignment="1" applyProtection="1">
      <alignment vertical="center" shrinkToFit="1"/>
      <protection locked="0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1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53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54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10</v>
      </c>
      <c r="I6" s="50">
        <v>4</v>
      </c>
      <c r="J6" s="53">
        <v>7196</v>
      </c>
      <c r="K6" s="16">
        <v>1626</v>
      </c>
      <c r="L6" s="51">
        <f>K6/H6</f>
        <v>162.6</v>
      </c>
      <c r="M6" s="52">
        <f>+J6/K6</f>
        <v>4.4255842558425584</v>
      </c>
      <c r="N6" s="54">
        <f>217416+133447+36039+7196</f>
        <v>394098</v>
      </c>
      <c r="O6" s="55">
        <f>15610+9137+2226+1626</f>
        <v>28599</v>
      </c>
      <c r="P6" s="56">
        <f t="shared" ref="P6:P16" si="0">N6/O6</f>
        <v>13.780132172453582</v>
      </c>
      <c r="Q6" s="29"/>
      <c r="R6" s="29"/>
    </row>
    <row r="7" spans="1:18" s="3" customFormat="1" ht="22.5" customHeight="1" x14ac:dyDescent="0.25">
      <c r="B7" s="18">
        <f t="shared" ref="B7:B16" si="1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16</v>
      </c>
      <c r="J7" s="21">
        <v>4091.5</v>
      </c>
      <c r="K7" s="22">
        <v>486</v>
      </c>
      <c r="L7" s="23">
        <f>K7/H7</f>
        <v>97.2</v>
      </c>
      <c r="M7" s="24">
        <f>+J7/K7</f>
        <v>8.4187242798353914</v>
      </c>
      <c r="N7" s="25">
        <f>1099708.11+593370.74+224185+52839.5+17039.5+9578+7414+5098+4983.5+10660.5+14194.5+2400+3550+2380.5+7656.5+4091.5</f>
        <v>2059149.85</v>
      </c>
      <c r="O7" s="26">
        <f>102148+56106+22339+5539+1692+934+809+597+525+1619+1502+226+582+302+1163+486</f>
        <v>196569</v>
      </c>
      <c r="P7" s="27">
        <f t="shared" si="0"/>
        <v>10.475455692403177</v>
      </c>
      <c r="Q7" s="29"/>
      <c r="R7" s="29"/>
    </row>
    <row r="8" spans="1:18" s="3" customFormat="1" ht="22.5" customHeight="1" x14ac:dyDescent="0.25">
      <c r="B8" s="18">
        <f t="shared" si="1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7</v>
      </c>
      <c r="I8" s="20">
        <v>4</v>
      </c>
      <c r="J8" s="21">
        <v>2960.5</v>
      </c>
      <c r="K8" s="22">
        <v>406</v>
      </c>
      <c r="L8" s="23">
        <f>K8/H8</f>
        <v>58</v>
      </c>
      <c r="M8" s="24">
        <f>+J8/K8</f>
        <v>7.291871921182266</v>
      </c>
      <c r="N8" s="25">
        <f>129506.8+46365.5+5111+2960.5</f>
        <v>183943.8</v>
      </c>
      <c r="O8" s="26">
        <f>12756+4851+538+406</f>
        <v>18551</v>
      </c>
      <c r="P8" s="27">
        <f t="shared" si="0"/>
        <v>9.9155732844590574</v>
      </c>
      <c r="Q8" s="29"/>
      <c r="R8" s="29"/>
    </row>
    <row r="9" spans="1:18" s="3" customFormat="1" ht="22.5" customHeight="1" x14ac:dyDescent="0.25">
      <c r="B9" s="18">
        <f t="shared" si="1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4</v>
      </c>
      <c r="I9" s="20">
        <v>7</v>
      </c>
      <c r="J9" s="21">
        <v>2140</v>
      </c>
      <c r="K9" s="22">
        <v>269</v>
      </c>
      <c r="L9" s="23">
        <f>K9/H9</f>
        <v>67.25</v>
      </c>
      <c r="M9" s="24">
        <f>+J9/K9</f>
        <v>7.955390334572491</v>
      </c>
      <c r="N9" s="25">
        <f>4241+362258.96+222136.17+49398.98+7963+5272.5+3175+2140</f>
        <v>656585.61</v>
      </c>
      <c r="O9" s="26">
        <f>748+36807+24128+5499+982+687+504+269</f>
        <v>69624</v>
      </c>
      <c r="P9" s="27">
        <f t="shared" si="0"/>
        <v>9.4304494139951736</v>
      </c>
      <c r="Q9" s="29"/>
      <c r="R9" s="29"/>
    </row>
    <row r="10" spans="1:18" s="3" customFormat="1" ht="22.5" customHeight="1" x14ac:dyDescent="0.25">
      <c r="B10" s="18">
        <f t="shared" si="1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18</v>
      </c>
      <c r="J10" s="21">
        <v>2067.5</v>
      </c>
      <c r="K10" s="22">
        <v>177</v>
      </c>
      <c r="L10" s="23">
        <f>K10/H10</f>
        <v>177</v>
      </c>
      <c r="M10" s="24">
        <f>+J10/K10</f>
        <v>11.680790960451978</v>
      </c>
      <c r="N10" s="25">
        <f>73428.48+65677.81+40435.99+20437+22258.56+12040.44+17815.52+6634+2166+2694+5184+2502+3981+1205+69+696+782+2067.5</f>
        <v>280074.29999999993</v>
      </c>
      <c r="O10" s="26">
        <f>7463+6959+4805+2294+2518+1280+2169+965+358+347+662+324+455+143+13+136+154+177</f>
        <v>31222</v>
      </c>
      <c r="P10" s="27">
        <f>N10/O10</f>
        <v>8.9704150919223604</v>
      </c>
      <c r="Q10" s="29"/>
      <c r="R10" s="29"/>
    </row>
    <row r="11" spans="1:18" s="3" customFormat="1" ht="22.5" customHeight="1" x14ac:dyDescent="0.25">
      <c r="B11" s="18">
        <f t="shared" si="1"/>
        <v>6</v>
      </c>
      <c r="C11" s="57" t="s">
        <v>28</v>
      </c>
      <c r="D11" s="58">
        <v>41866</v>
      </c>
      <c r="E11" s="59" t="s">
        <v>9</v>
      </c>
      <c r="F11" s="60" t="s">
        <v>29</v>
      </c>
      <c r="G11" s="61">
        <v>31</v>
      </c>
      <c r="H11" s="19">
        <v>2</v>
      </c>
      <c r="I11" s="20">
        <v>23</v>
      </c>
      <c r="J11" s="21">
        <v>2046.8</v>
      </c>
      <c r="K11" s="22">
        <v>408</v>
      </c>
      <c r="L11" s="23">
        <f>K11/H11</f>
        <v>204</v>
      </c>
      <c r="M11" s="24">
        <f>+J11/K11</f>
        <v>5.0166666666666666</v>
      </c>
      <c r="N11" s="25">
        <f>166393.25+120953.88+26778.83+15413.16+8141+9655+7141+22668+12148+7305+4200+124+102+212+223+1619+804+2201+992+1988+3344+6211+2046.8</f>
        <v>420663.92</v>
      </c>
      <c r="O11" s="26">
        <f>16398+11920+2425+1471+815+935+859+2615+1401+831+549+16+14+27+29+174+87+240+98+249+365+643+408</f>
        <v>42569</v>
      </c>
      <c r="P11" s="27">
        <f>N11/O11</f>
        <v>9.8819309826399486</v>
      </c>
      <c r="Q11" s="29"/>
      <c r="R11" s="29"/>
    </row>
    <row r="12" spans="1:18" s="3" customFormat="1" ht="22.5" customHeight="1" x14ac:dyDescent="0.25">
      <c r="B12" s="18">
        <f t="shared" si="1"/>
        <v>7</v>
      </c>
      <c r="C12" s="57" t="s">
        <v>50</v>
      </c>
      <c r="D12" s="58">
        <v>41796</v>
      </c>
      <c r="E12" s="59" t="s">
        <v>9</v>
      </c>
      <c r="F12" s="60" t="s">
        <v>9</v>
      </c>
      <c r="G12" s="61">
        <v>22</v>
      </c>
      <c r="H12" s="19">
        <v>1</v>
      </c>
      <c r="I12" s="20">
        <v>28</v>
      </c>
      <c r="J12" s="21">
        <v>1635</v>
      </c>
      <c r="K12" s="22">
        <v>137</v>
      </c>
      <c r="L12" s="23">
        <f>K12/H12</f>
        <v>137</v>
      </c>
      <c r="M12" s="24">
        <f>+J12/K12</f>
        <v>11.934306569343066</v>
      </c>
      <c r="N12" s="25">
        <f>166025.28+97326.52+57686.96+13701.5+11079.5+6936+18694.5+12272.5+7080.5+9304+8779+4785.44+5102.63+3908.66+4837+3724+3492+9632.5+4839+5360.5+615.5+83+1425.6+1525+121+1722.5+1737.5+1635</f>
        <v>463433.08999999997</v>
      </c>
      <c r="O12" s="26">
        <f>15114+9515+5786+1430+1181+648+1199+1400+830+999+900+603+561+474+557+436+370+1189+567+607+105+10+285+117+12+138+141+137</f>
        <v>45311</v>
      </c>
      <c r="P12" s="27">
        <f>N12/O12</f>
        <v>10.227827459115888</v>
      </c>
      <c r="Q12" s="29"/>
      <c r="R12" s="29"/>
    </row>
    <row r="13" spans="1:18" s="3" customFormat="1" ht="22.5" customHeight="1" x14ac:dyDescent="0.25">
      <c r="B13" s="18">
        <f t="shared" si="1"/>
        <v>8</v>
      </c>
      <c r="C13" s="57" t="s">
        <v>40</v>
      </c>
      <c r="D13" s="58">
        <v>41747</v>
      </c>
      <c r="E13" s="59" t="s">
        <v>9</v>
      </c>
      <c r="F13" s="60" t="s">
        <v>9</v>
      </c>
      <c r="G13" s="61">
        <v>27</v>
      </c>
      <c r="H13" s="19">
        <v>1</v>
      </c>
      <c r="I13" s="20">
        <v>29</v>
      </c>
      <c r="J13" s="21">
        <v>1425.6</v>
      </c>
      <c r="K13" s="22">
        <v>285</v>
      </c>
      <c r="L13" s="23">
        <f>K13/H13</f>
        <v>285</v>
      </c>
      <c r="M13" s="24">
        <f>+J13/K13</f>
        <v>5.0021052631578948</v>
      </c>
      <c r="N13" s="25">
        <f>186153.66+73200.86+7974.97+3137.5+2235.5+2569.5+1951+3923.5+2028.5+2570+1951+851+280.5+1284+387.5+714.5+19.5+377+84.5+528+2376+200+244+2451+7128+1425.6+1782+1425.6+1425.6</f>
        <v>310680.28999999992</v>
      </c>
      <c r="O13" s="26">
        <f>17828+6634+897+384+272+355+277+539+259+316+258+106+40+183+51+100+3+58+13+44+475+38+48+490+1426+285+356+285+285</f>
        <v>32305</v>
      </c>
      <c r="P13" s="27">
        <f>N13/O13</f>
        <v>9.6170961151524512</v>
      </c>
      <c r="Q13" s="29"/>
      <c r="R13" s="29"/>
    </row>
    <row r="14" spans="1:18" s="3" customFormat="1" ht="22.5" customHeight="1" x14ac:dyDescent="0.25">
      <c r="B14" s="18">
        <f t="shared" si="1"/>
        <v>9</v>
      </c>
      <c r="C14" s="57" t="s">
        <v>23</v>
      </c>
      <c r="D14" s="58">
        <v>41985</v>
      </c>
      <c r="E14" s="59" t="s">
        <v>9</v>
      </c>
      <c r="F14" s="60" t="s">
        <v>9</v>
      </c>
      <c r="G14" s="61">
        <v>6</v>
      </c>
      <c r="H14" s="19">
        <v>1</v>
      </c>
      <c r="I14" s="20">
        <v>10</v>
      </c>
      <c r="J14" s="21">
        <v>1194</v>
      </c>
      <c r="K14" s="22">
        <v>372</v>
      </c>
      <c r="L14" s="23">
        <f>K14/H14</f>
        <v>372</v>
      </c>
      <c r="M14" s="24">
        <f>+J14/K14</f>
        <v>3.2096774193548385</v>
      </c>
      <c r="N14" s="25">
        <f>8510.8+3886.5+2097.5+617+108+1288+1217+2387+1022+1194</f>
        <v>22327.8</v>
      </c>
      <c r="O14" s="26">
        <f>645+331+220+36+14+161+265+494+209+372</f>
        <v>2747</v>
      </c>
      <c r="P14" s="27">
        <f>N14/O14</f>
        <v>8.128066982162359</v>
      </c>
      <c r="Q14" s="29"/>
      <c r="R14" s="29"/>
    </row>
    <row r="15" spans="1:18" s="3" customFormat="1" ht="22.5" customHeight="1" x14ac:dyDescent="0.25">
      <c r="B15" s="18">
        <f t="shared" si="1"/>
        <v>10</v>
      </c>
      <c r="C15" s="57" t="s">
        <v>30</v>
      </c>
      <c r="D15" s="58">
        <v>41782</v>
      </c>
      <c r="E15" s="59" t="s">
        <v>9</v>
      </c>
      <c r="F15" s="60" t="s">
        <v>9</v>
      </c>
      <c r="G15" s="61">
        <v>30</v>
      </c>
      <c r="H15" s="19">
        <v>1</v>
      </c>
      <c r="I15" s="20">
        <v>24</v>
      </c>
      <c r="J15" s="21">
        <v>774</v>
      </c>
      <c r="K15" s="22">
        <v>96</v>
      </c>
      <c r="L15" s="23">
        <f>K15/H15</f>
        <v>96</v>
      </c>
      <c r="M15" s="24">
        <f>+J15/K15</f>
        <v>8.0625</v>
      </c>
      <c r="N15" s="25">
        <f>95967.35+76227.39+34644.5+27256+29590.5+12797.63+9801.17+8948.5+7152.5+16352.94+12150.29+7448.1+8486.06+7400.64+5579.56+3486.52+760+1010+454+162+694+385+790+774</f>
        <v>368318.64999999997</v>
      </c>
      <c r="O15" s="26">
        <f>9552+7384+3615+3071+3349+1439+1120+971+812+1886+1381+880+989+926+692+485+91+116+49+24+62+55+154+96</f>
        <v>39199</v>
      </c>
      <c r="P15" s="27">
        <f>N15/O15</f>
        <v>9.3961236256026925</v>
      </c>
      <c r="Q15" s="29"/>
      <c r="R15" s="29"/>
    </row>
    <row r="16" spans="1:18" s="3" customFormat="1" ht="22.5" customHeight="1" thickBot="1" x14ac:dyDescent="0.3">
      <c r="B16" s="4">
        <f t="shared" si="1"/>
        <v>11</v>
      </c>
      <c r="C16" s="36" t="s">
        <v>19</v>
      </c>
      <c r="D16" s="37">
        <v>41831</v>
      </c>
      <c r="E16" s="38" t="s">
        <v>9</v>
      </c>
      <c r="F16" s="39" t="s">
        <v>20</v>
      </c>
      <c r="G16" s="40">
        <v>35</v>
      </c>
      <c r="H16" s="62">
        <v>1</v>
      </c>
      <c r="I16" s="63">
        <v>18</v>
      </c>
      <c r="J16" s="64">
        <v>712.8</v>
      </c>
      <c r="K16" s="65">
        <v>143</v>
      </c>
      <c r="L16" s="66">
        <f>K16/H16</f>
        <v>143</v>
      </c>
      <c r="M16" s="67">
        <f>+J16/K16</f>
        <v>4.9846153846153847</v>
      </c>
      <c r="N16" s="68">
        <f>204425.4+130339.21+47866.4+41040.53+24854.45+10673+4557.5+1594+1611.5+4273+260+202.5+1010+8553.6+1425.6+1425.6+600+712.8</f>
        <v>485425.08999999997</v>
      </c>
      <c r="O16" s="69">
        <f>19421+12650+4370+3566+2047+958+545+202+192+659+33+26+109+1176+285+285+49+143</f>
        <v>46716</v>
      </c>
      <c r="P16" s="70">
        <f t="shared" si="0"/>
        <v>10.390981462453977</v>
      </c>
      <c r="Q16" s="29"/>
      <c r="R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24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25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7</v>
      </c>
      <c r="J6" s="53">
        <v>7414</v>
      </c>
      <c r="K6" s="16">
        <v>809</v>
      </c>
      <c r="L6" s="51">
        <f t="shared" ref="L6:L10" si="0">K6/H6</f>
        <v>161.80000000000001</v>
      </c>
      <c r="M6" s="52">
        <f t="shared" ref="M6:M10" si="1">+J6/K6</f>
        <v>9.1644004944375776</v>
      </c>
      <c r="N6" s="54">
        <f>1099708.11+593370.74+224185+52839.5+17039.5+9578+7414</f>
        <v>2004134.85</v>
      </c>
      <c r="O6" s="55">
        <f>102148+56106+22339+5539+1692+934+809</f>
        <v>189567</v>
      </c>
      <c r="P6" s="56">
        <f t="shared" ref="P6:P10" si="2">N6/O6</f>
        <v>10.572171580496606</v>
      </c>
      <c r="Q6" s="29"/>
      <c r="R6" s="5"/>
    </row>
    <row r="7" spans="1:18" s="3" customFormat="1" ht="22.5" customHeight="1" x14ac:dyDescent="0.25">
      <c r="B7" s="18">
        <f t="shared" ref="B7:B10" si="3">B6+1</f>
        <v>2</v>
      </c>
      <c r="C7" s="57" t="s">
        <v>19</v>
      </c>
      <c r="D7" s="58">
        <v>41831</v>
      </c>
      <c r="E7" s="59" t="s">
        <v>9</v>
      </c>
      <c r="F7" s="60" t="s">
        <v>20</v>
      </c>
      <c r="G7" s="61">
        <v>35</v>
      </c>
      <c r="H7" s="19">
        <v>1</v>
      </c>
      <c r="I7" s="20">
        <v>15</v>
      </c>
      <c r="J7" s="21">
        <v>1425.6</v>
      </c>
      <c r="K7" s="22">
        <v>285</v>
      </c>
      <c r="L7" s="23">
        <f>K7/H7</f>
        <v>285</v>
      </c>
      <c r="M7" s="24">
        <f>+J7/K7</f>
        <v>5.0021052631578948</v>
      </c>
      <c r="N7" s="25">
        <f>204425.4+130339.21+47866.4+41040.53+24854.45+10673+4557.5+1594+1611.5+4273+260+202.5+1010+8553.6+1425.6</f>
        <v>482686.69</v>
      </c>
      <c r="O7" s="26">
        <f>19421+12650+4370+3566+2047+958+545+202+192+659+33+26+109+1176+285</f>
        <v>46239</v>
      </c>
      <c r="P7" s="27">
        <f>N7/O7</f>
        <v>10.43895175068665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17</v>
      </c>
      <c r="D8" s="58">
        <v>41824</v>
      </c>
      <c r="E8" s="59" t="s">
        <v>9</v>
      </c>
      <c r="F8" s="60" t="s">
        <v>18</v>
      </c>
      <c r="G8" s="61">
        <v>32</v>
      </c>
      <c r="H8" s="19">
        <v>1</v>
      </c>
      <c r="I8" s="20">
        <v>17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32706.88+12882.41+6333.12+6483.62+4511.26+5741+4355+3243+1066.5+593+509+337+113+162+78+76+950.4</f>
        <v>80141.19</v>
      </c>
      <c r="O8" s="26">
        <f>3102+1318+704+809+562+700+596+539+215+94+84+50+17+29+10+10+190</f>
        <v>9029</v>
      </c>
      <c r="P8" s="27">
        <f t="shared" ref="P8" si="6">N8/O8</f>
        <v>8.8759762985934216</v>
      </c>
      <c r="Q8" s="29"/>
      <c r="R8" s="5"/>
    </row>
    <row r="9" spans="1:18" s="3" customFormat="1" ht="22.5" customHeight="1" x14ac:dyDescent="0.25">
      <c r="B9" s="18">
        <f t="shared" si="3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4</v>
      </c>
      <c r="J9" s="21">
        <v>617</v>
      </c>
      <c r="K9" s="22">
        <v>36</v>
      </c>
      <c r="L9" s="23">
        <f>K9/H9</f>
        <v>36</v>
      </c>
      <c r="M9" s="24">
        <f>+J9/K9</f>
        <v>17.138888888888889</v>
      </c>
      <c r="N9" s="25">
        <f>8510.8+3886.5+2097.5+617</f>
        <v>15111.8</v>
      </c>
      <c r="O9" s="26">
        <f>645+331+220+36</f>
        <v>1232</v>
      </c>
      <c r="P9" s="27">
        <f>N9/O9</f>
        <v>12.266071428571427</v>
      </c>
      <c r="Q9" s="29"/>
      <c r="R9" s="5"/>
    </row>
    <row r="10" spans="1:18" s="3" customFormat="1" ht="22.5" customHeight="1" thickBot="1" x14ac:dyDescent="0.3">
      <c r="B10" s="4">
        <f t="shared" si="3"/>
        <v>5</v>
      </c>
      <c r="C10" s="36" t="s">
        <v>21</v>
      </c>
      <c r="D10" s="37">
        <v>41915</v>
      </c>
      <c r="E10" s="38" t="s">
        <v>9</v>
      </c>
      <c r="F10" s="39" t="s">
        <v>20</v>
      </c>
      <c r="G10" s="40">
        <v>52</v>
      </c>
      <c r="H10" s="30">
        <v>2</v>
      </c>
      <c r="I10" s="31">
        <v>14</v>
      </c>
      <c r="J10" s="32">
        <v>592</v>
      </c>
      <c r="K10" s="33">
        <v>75</v>
      </c>
      <c r="L10" s="41">
        <f t="shared" si="0"/>
        <v>37.5</v>
      </c>
      <c r="M10" s="42">
        <f t="shared" si="1"/>
        <v>7.8933333333333335</v>
      </c>
      <c r="N10" s="34">
        <f>917082.76+408148.93+229733.98+293566.8+49586.5+3383+1551.5+689+116+162+2648+22.5+69+592</f>
        <v>1907351.97</v>
      </c>
      <c r="O10" s="35">
        <f>78453+36692+20370+24581+3906+438+199+89+14+20+350+3+10+75</f>
        <v>165200</v>
      </c>
      <c r="P10" s="43">
        <f t="shared" si="2"/>
        <v>11.545714104116223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/>
  </sheetViews>
  <sheetFormatPr defaultRowHeight="15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51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52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13</v>
      </c>
      <c r="I6" s="50">
        <v>3</v>
      </c>
      <c r="J6" s="53">
        <v>36039</v>
      </c>
      <c r="K6" s="16">
        <v>2226</v>
      </c>
      <c r="L6" s="51">
        <f t="shared" ref="L6:L11" si="0">K6/H6</f>
        <v>171.23076923076923</v>
      </c>
      <c r="M6" s="52">
        <f t="shared" ref="M6:M11" si="1">+J6/K6</f>
        <v>16.190026954177899</v>
      </c>
      <c r="N6" s="54">
        <f>217416+133447+36039</f>
        <v>386902</v>
      </c>
      <c r="O6" s="55">
        <f>15610+9137+2226</f>
        <v>26973</v>
      </c>
      <c r="P6" s="56">
        <f t="shared" ref="P6:P11" si="2">N6/O6</f>
        <v>14.344047751455159</v>
      </c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15</v>
      </c>
      <c r="J7" s="21">
        <v>7656.5</v>
      </c>
      <c r="K7" s="22">
        <v>1163</v>
      </c>
      <c r="L7" s="23">
        <f t="shared" si="0"/>
        <v>193.83333333333334</v>
      </c>
      <c r="M7" s="24">
        <f t="shared" si="1"/>
        <v>6.5834049871023215</v>
      </c>
      <c r="N7" s="25">
        <f>1099708.11+593370.74+224185+52839.5+17039.5+9578+7414+5098+4983.5+10660.5+14194.5+2400+3550+2380.5+7656.5</f>
        <v>2055058.35</v>
      </c>
      <c r="O7" s="26">
        <f>102148+56106+22339+5539+1692+934+809+597+525+1619+1502+226+582+302+1163</f>
        <v>196083</v>
      </c>
      <c r="P7" s="27">
        <f t="shared" si="2"/>
        <v>10.480553388106058</v>
      </c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8</v>
      </c>
      <c r="I8" s="20">
        <v>3</v>
      </c>
      <c r="J8" s="71">
        <v>5111</v>
      </c>
      <c r="K8" s="72">
        <v>538</v>
      </c>
      <c r="L8" s="23">
        <f t="shared" si="0"/>
        <v>67.25</v>
      </c>
      <c r="M8" s="24">
        <f t="shared" si="1"/>
        <v>9.5</v>
      </c>
      <c r="N8" s="73">
        <f>129506.8+46365.5+5111</f>
        <v>180983.3</v>
      </c>
      <c r="O8" s="74">
        <f>12756+4851+538</f>
        <v>18145</v>
      </c>
      <c r="P8" s="27">
        <f t="shared" si="2"/>
        <v>9.974279415817028</v>
      </c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9</v>
      </c>
      <c r="I9" s="20">
        <v>6</v>
      </c>
      <c r="J9" s="21">
        <v>3175</v>
      </c>
      <c r="K9" s="22">
        <v>504</v>
      </c>
      <c r="L9" s="23">
        <f t="shared" si="0"/>
        <v>56</v>
      </c>
      <c r="M9" s="24">
        <f t="shared" si="1"/>
        <v>6.2996031746031749</v>
      </c>
      <c r="N9" s="25">
        <f>4241+362258.96+222136.17+49398.98+7963+5272.5+3175</f>
        <v>654445.61</v>
      </c>
      <c r="O9" s="26">
        <f>748+36807+24128+5499+982+687+504</f>
        <v>69355</v>
      </c>
      <c r="P9" s="27">
        <f t="shared" si="2"/>
        <v>9.4361705716963442</v>
      </c>
      <c r="R9" s="29"/>
    </row>
    <row r="10" spans="1:18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27</v>
      </c>
      <c r="J10" s="21">
        <v>1737.5</v>
      </c>
      <c r="K10" s="22">
        <v>141</v>
      </c>
      <c r="L10" s="23">
        <f t="shared" si="0"/>
        <v>141</v>
      </c>
      <c r="M10" s="24">
        <f t="shared" si="1"/>
        <v>12.322695035460994</v>
      </c>
      <c r="N10" s="25">
        <f>166025.28+97326.52+57686.96+13701.5+11079.5+6936+18694.5+12272.5+7080.5+9304+8779+4785.44+5102.63+3908.66+4837+3724+3492+9632.5+4839+5360.5+615.5+83+1425.6+1525+121+1722.5+1737.5</f>
        <v>461798.08999999997</v>
      </c>
      <c r="O10" s="26">
        <f>15114+9515+5786+1430+1181+648+1199+1400+830+999+900+603+561+474+557+436+370+1189+567+607+105+10+285+117+12+138+141</f>
        <v>45174</v>
      </c>
      <c r="P10" s="27">
        <f t="shared" si="2"/>
        <v>10.222652189312436</v>
      </c>
      <c r="R10" s="29"/>
    </row>
    <row r="11" spans="1:18" s="3" customFormat="1" ht="22.5" customHeight="1" thickBot="1" x14ac:dyDescent="0.3">
      <c r="B11" s="4">
        <f t="shared" si="3"/>
        <v>6</v>
      </c>
      <c r="C11" s="36" t="s">
        <v>19</v>
      </c>
      <c r="D11" s="37">
        <v>41831</v>
      </c>
      <c r="E11" s="38" t="s">
        <v>9</v>
      </c>
      <c r="F11" s="39" t="s">
        <v>20</v>
      </c>
      <c r="G11" s="40">
        <v>35</v>
      </c>
      <c r="H11" s="62">
        <v>1</v>
      </c>
      <c r="I11" s="63">
        <v>17</v>
      </c>
      <c r="J11" s="64">
        <v>600</v>
      </c>
      <c r="K11" s="65">
        <v>49</v>
      </c>
      <c r="L11" s="66">
        <f t="shared" si="0"/>
        <v>49</v>
      </c>
      <c r="M11" s="67">
        <f t="shared" si="1"/>
        <v>12.244897959183673</v>
      </c>
      <c r="N11" s="68">
        <f>204425.4+130339.21+47866.4+41040.53+24854.45+10673+4557.5+1594+1611.5+4273+260+202.5+1010+8553.6+1425.6+1425.6+600</f>
        <v>484712.29</v>
      </c>
      <c r="O11" s="69">
        <f>19421+12650+4370+3566+2047+958+545+202+192+659+33+26+109+1176+285+285+49</f>
        <v>46573</v>
      </c>
      <c r="P11" s="70">
        <f t="shared" si="2"/>
        <v>10.407581431301397</v>
      </c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48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49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28</v>
      </c>
      <c r="I6" s="50">
        <v>2</v>
      </c>
      <c r="J6" s="53">
        <v>133447</v>
      </c>
      <c r="K6" s="16">
        <v>9137</v>
      </c>
      <c r="L6" s="51">
        <f>K6/H6</f>
        <v>326.32142857142856</v>
      </c>
      <c r="M6" s="52">
        <f>+J6/K6</f>
        <v>14.605122031301303</v>
      </c>
      <c r="N6" s="54">
        <f>217416+133447</f>
        <v>350863</v>
      </c>
      <c r="O6" s="55">
        <f>15610+9137</f>
        <v>24747</v>
      </c>
      <c r="P6" s="56">
        <f>N6/O6</f>
        <v>14.178001373903907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48</v>
      </c>
      <c r="I7" s="20">
        <v>2</v>
      </c>
      <c r="J7" s="21">
        <v>46365.5</v>
      </c>
      <c r="K7" s="22">
        <v>4851</v>
      </c>
      <c r="L7" s="23">
        <f>K7/H7</f>
        <v>101.0625</v>
      </c>
      <c r="M7" s="24">
        <f>+J7/K7</f>
        <v>9.5579262007833439</v>
      </c>
      <c r="N7" s="25">
        <f>129506.8+46365.5</f>
        <v>175872.3</v>
      </c>
      <c r="O7" s="26">
        <f>12756+4851</f>
        <v>17607</v>
      </c>
      <c r="P7" s="27">
        <f>N7/O7</f>
        <v>9.9887715113307198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15</v>
      </c>
      <c r="I8" s="20">
        <v>5</v>
      </c>
      <c r="J8" s="21">
        <v>5272.5</v>
      </c>
      <c r="K8" s="22">
        <v>687</v>
      </c>
      <c r="L8" s="23">
        <f>K8/H8</f>
        <v>45.8</v>
      </c>
      <c r="M8" s="24">
        <f>+J8/K8</f>
        <v>7.6746724890829698</v>
      </c>
      <c r="N8" s="25">
        <f>4241+362258.96+222136.17+49398.98+7963+5272.5</f>
        <v>651270.61</v>
      </c>
      <c r="O8" s="26">
        <f>748+36807+24128+5499+982+687</f>
        <v>68851</v>
      </c>
      <c r="P8" s="27">
        <f>N8/O8</f>
        <v>9.4591307315797888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14</v>
      </c>
      <c r="J9" s="21">
        <v>2380.5</v>
      </c>
      <c r="K9" s="22">
        <v>302</v>
      </c>
      <c r="L9" s="23">
        <f>K9/H9</f>
        <v>100.66666666666667</v>
      </c>
      <c r="M9" s="24">
        <f>+J9/K9</f>
        <v>7.8824503311258276</v>
      </c>
      <c r="N9" s="25">
        <f>1099708.11+593370.74+224185+52839.5+17039.5+9578+7414+5098+4983.5+10660.5+14194.5+2400+3550+2380.5</f>
        <v>2047401.85</v>
      </c>
      <c r="O9" s="26">
        <f>102148+56106+22339+5539+1692+934+809+597+525+1619+1502+226+582+302</f>
        <v>194920</v>
      </c>
      <c r="P9" s="27">
        <f>N9/O9</f>
        <v>10.503805920377591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50</v>
      </c>
      <c r="D10" s="37">
        <v>41796</v>
      </c>
      <c r="E10" s="38" t="s">
        <v>9</v>
      </c>
      <c r="F10" s="39" t="s">
        <v>9</v>
      </c>
      <c r="G10" s="40">
        <v>22</v>
      </c>
      <c r="H10" s="62">
        <v>1</v>
      </c>
      <c r="I10" s="63">
        <v>26</v>
      </c>
      <c r="J10" s="64">
        <v>1722.5</v>
      </c>
      <c r="K10" s="65">
        <v>138</v>
      </c>
      <c r="L10" s="66">
        <f>K10/H10</f>
        <v>138</v>
      </c>
      <c r="M10" s="67">
        <f>+J10/K10</f>
        <v>12.481884057971014</v>
      </c>
      <c r="N10" s="68">
        <f>166025.28+97326.52+57686.96+13701.5+11079.5+6936+18694.5+12272.5+7080.5+9304+8779+4785.44+5102.63+3908.66+4837+3724+3492+9632.5+4839+5360.5+615.5+83+1425.6+1525+121+1722.5</f>
        <v>460060.58999999997</v>
      </c>
      <c r="O10" s="69">
        <f>15114+9515+5786+1430+1181+648+1199+1400+830+999+900+603+561+474+557+436+370+1189+567+607+105+10+285+117+12+138</f>
        <v>45033</v>
      </c>
      <c r="P10" s="70">
        <f>N10/O10</f>
        <v>10.216076876956897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43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44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33</v>
      </c>
      <c r="I6" s="50">
        <v>1</v>
      </c>
      <c r="J6" s="53">
        <v>217416</v>
      </c>
      <c r="K6" s="16">
        <v>15610</v>
      </c>
      <c r="L6" s="51">
        <f>K6/H6</f>
        <v>473.030303030303</v>
      </c>
      <c r="M6" s="52">
        <f>+J6/K6</f>
        <v>13.927994875080078</v>
      </c>
      <c r="N6" s="54">
        <f>217416</f>
        <v>217416</v>
      </c>
      <c r="O6" s="55">
        <f>15610</f>
        <v>15610</v>
      </c>
      <c r="P6" s="56">
        <f>N6/O6</f>
        <v>13.927994875080078</v>
      </c>
      <c r="Q6" s="29"/>
      <c r="R6" s="5"/>
    </row>
    <row r="7" spans="1:18" s="3" customFormat="1" ht="22.5" customHeight="1" x14ac:dyDescent="0.25">
      <c r="B7" s="18">
        <f t="shared" ref="B7:B9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56</v>
      </c>
      <c r="I7" s="20">
        <v>1</v>
      </c>
      <c r="J7" s="21">
        <v>129506.8</v>
      </c>
      <c r="K7" s="22">
        <v>12756</v>
      </c>
      <c r="L7" s="23">
        <f>K7/H7</f>
        <v>227.78571428571428</v>
      </c>
      <c r="M7" s="24">
        <f>+J7/K7</f>
        <v>10.152618375666354</v>
      </c>
      <c r="N7" s="25">
        <f>129506.8</f>
        <v>129506.8</v>
      </c>
      <c r="O7" s="26">
        <f>12756</f>
        <v>12756</v>
      </c>
      <c r="P7" s="27">
        <f>N7/O7</f>
        <v>10.152618375666354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27</v>
      </c>
      <c r="I8" s="20">
        <v>4</v>
      </c>
      <c r="J8" s="21">
        <v>7963</v>
      </c>
      <c r="K8" s="22">
        <v>982</v>
      </c>
      <c r="L8" s="23">
        <f>K8/H8</f>
        <v>36.370370370370374</v>
      </c>
      <c r="M8" s="24">
        <f>+J8/K8</f>
        <v>8.1089613034623209</v>
      </c>
      <c r="N8" s="25">
        <f>4241+362258.96+222136.17+49398.98+7963</f>
        <v>645998.11</v>
      </c>
      <c r="O8" s="26">
        <f>748+36807+24128+5499+982</f>
        <v>68164</v>
      </c>
      <c r="P8" s="27">
        <f>N8/O8</f>
        <v>9.4771156328853934</v>
      </c>
      <c r="Q8" s="29"/>
      <c r="R8" s="5"/>
    </row>
    <row r="9" spans="1:18" s="3" customFormat="1" ht="22.5" customHeight="1" thickBot="1" x14ac:dyDescent="0.3">
      <c r="B9" s="4">
        <f t="shared" si="0"/>
        <v>4</v>
      </c>
      <c r="C9" s="36" t="s">
        <v>22</v>
      </c>
      <c r="D9" s="37">
        <v>41964</v>
      </c>
      <c r="E9" s="38" t="s">
        <v>9</v>
      </c>
      <c r="F9" s="39" t="s">
        <v>9</v>
      </c>
      <c r="G9" s="40">
        <v>58</v>
      </c>
      <c r="H9" s="62">
        <v>4</v>
      </c>
      <c r="I9" s="63">
        <v>13</v>
      </c>
      <c r="J9" s="64">
        <v>3550</v>
      </c>
      <c r="K9" s="65">
        <v>582</v>
      </c>
      <c r="L9" s="66">
        <f>K9/H9</f>
        <v>145.5</v>
      </c>
      <c r="M9" s="67">
        <f>+J9/K9</f>
        <v>6.0996563573883158</v>
      </c>
      <c r="N9" s="68">
        <f>1099708.11+593370.74+224185+52839.5+17039.5+9578+7414+5098+4983.5+10660.5+14194.5+2400+3550</f>
        <v>2045021.35</v>
      </c>
      <c r="O9" s="69">
        <f>102148+56106+22339+5539+1692+934+809+597+525+1619+1502+226+582</f>
        <v>194618</v>
      </c>
      <c r="P9" s="70">
        <f>N9/O9</f>
        <v>10.507873629366246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41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42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66</v>
      </c>
      <c r="I6" s="50">
        <v>3</v>
      </c>
      <c r="J6" s="53">
        <v>49398.98</v>
      </c>
      <c r="K6" s="16">
        <v>5499</v>
      </c>
      <c r="L6" s="51">
        <f>K6/H6</f>
        <v>83.318181818181813</v>
      </c>
      <c r="M6" s="52">
        <f>+J6/K6</f>
        <v>8.9832660483724318</v>
      </c>
      <c r="N6" s="54">
        <f>4241+362258.96+222136.17+49398.98</f>
        <v>638035.11</v>
      </c>
      <c r="O6" s="55">
        <f>748+36807+24128+5499</f>
        <v>67182</v>
      </c>
      <c r="P6" s="56">
        <f>N6/O6</f>
        <v>9.4971139590961862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12</v>
      </c>
      <c r="J7" s="21">
        <v>2400</v>
      </c>
      <c r="K7" s="22">
        <v>226</v>
      </c>
      <c r="L7" s="23">
        <f>K7/H7</f>
        <v>56.5</v>
      </c>
      <c r="M7" s="24">
        <f>+J7/K7</f>
        <v>10.619469026548673</v>
      </c>
      <c r="N7" s="25">
        <f>1099708.11+593370.74+224185+52839.5+17039.5+9578+7414+5098+4983.5+10660.5+14194.5+2400</f>
        <v>2041471.35</v>
      </c>
      <c r="O7" s="26">
        <f>102148+56106+22339+5539+1692+934+809+597+525+1619+1502+226</f>
        <v>194036</v>
      </c>
      <c r="P7" s="27">
        <f>N7/O7</f>
        <v>10.521095827578389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40</v>
      </c>
      <c r="D8" s="58">
        <v>41747</v>
      </c>
      <c r="E8" s="59" t="s">
        <v>9</v>
      </c>
      <c r="F8" s="60" t="s">
        <v>9</v>
      </c>
      <c r="G8" s="61">
        <v>27</v>
      </c>
      <c r="H8" s="19">
        <v>1</v>
      </c>
      <c r="I8" s="20">
        <v>28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186153.66+73200.86+7974.97+3137.5+2235.5+2569.5+1951+3923.5+2028.5+2570+1951+851+280.5+1284+387.5+714.5+19.5+377+84.5+528+2376+200+244+2451+7128+1425.6+1782+1425.6</f>
        <v>309254.68999999994</v>
      </c>
      <c r="O8" s="26">
        <f>17828+6634+897+384+272+355+277+539+259+316+258+106+40+183+51+100+3+58+13+44+475+38+48+490+1426+285+356+285</f>
        <v>32020</v>
      </c>
      <c r="P8" s="27">
        <f>N8/O8</f>
        <v>9.6581727045596484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15</v>
      </c>
      <c r="J9" s="21">
        <v>1095</v>
      </c>
      <c r="K9" s="22">
        <v>86</v>
      </c>
      <c r="L9" s="23">
        <f>K9/H9</f>
        <v>86</v>
      </c>
      <c r="M9" s="24">
        <f>+J9/K9</f>
        <v>12.732558139534884</v>
      </c>
      <c r="N9" s="25">
        <f>86853.81+54964.43+34022.66+23560.33+8123.41+7604.5+3529.5+2609+1898+2251.6+1218+977.5+1040+1455+1095</f>
        <v>231202.74</v>
      </c>
      <c r="O9" s="26">
        <f>7232+4293+2509+1779+817+649+331+264+501+432+243+78+73+113+86</f>
        <v>19400</v>
      </c>
      <c r="P9" s="27">
        <f>N9/O9</f>
        <v>11.917667010309279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23</v>
      </c>
      <c r="D10" s="37">
        <v>41985</v>
      </c>
      <c r="E10" s="38" t="s">
        <v>9</v>
      </c>
      <c r="F10" s="39" t="s">
        <v>9</v>
      </c>
      <c r="G10" s="40">
        <v>6</v>
      </c>
      <c r="H10" s="62">
        <v>1</v>
      </c>
      <c r="I10" s="63">
        <v>9</v>
      </c>
      <c r="J10" s="64">
        <v>1022</v>
      </c>
      <c r="K10" s="65">
        <v>209</v>
      </c>
      <c r="L10" s="66">
        <f>K10/H10</f>
        <v>209</v>
      </c>
      <c r="M10" s="67">
        <f>+J10/K10</f>
        <v>4.8899521531100483</v>
      </c>
      <c r="N10" s="68">
        <f>8510.8+3886.5+2097.5+617+108+1288+1217+2387+1022</f>
        <v>21133.8</v>
      </c>
      <c r="O10" s="69">
        <f>645+331+220+36+14+161+265+494+209</f>
        <v>2375</v>
      </c>
      <c r="P10" s="70">
        <f>N10/O10</f>
        <v>8.8984421052631575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38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39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100</v>
      </c>
      <c r="I6" s="50">
        <v>2</v>
      </c>
      <c r="J6" s="53">
        <v>222136.17</v>
      </c>
      <c r="K6" s="16">
        <v>24128</v>
      </c>
      <c r="L6" s="51">
        <f>K6/H6</f>
        <v>241.28</v>
      </c>
      <c r="M6" s="52">
        <f>+J6/K6</f>
        <v>9.2065720324933693</v>
      </c>
      <c r="N6" s="54">
        <f>4241+362258.96+222136.17</f>
        <v>588636.13</v>
      </c>
      <c r="O6" s="55">
        <f>748+36807+24128</f>
        <v>61683</v>
      </c>
      <c r="P6" s="56">
        <f>N6/O6</f>
        <v>9.542923171700469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11</v>
      </c>
      <c r="J7" s="21">
        <v>14194.5</v>
      </c>
      <c r="K7" s="22">
        <v>1502</v>
      </c>
      <c r="L7" s="23">
        <f>K7/H7</f>
        <v>250.33333333333334</v>
      </c>
      <c r="M7" s="24">
        <f>+J7/K7</f>
        <v>9.4503994673768315</v>
      </c>
      <c r="N7" s="25">
        <f>1099708.11+593370.74+224185+52839.5+17039.5+9578+7414+5098+4983.5+10660.5+14194.5</f>
        <v>2039071.35</v>
      </c>
      <c r="O7" s="26">
        <f>102148+56106+22339+5539+1692+934+809+597+525+1619+1502</f>
        <v>193810</v>
      </c>
      <c r="P7" s="27">
        <f>N7/O7</f>
        <v>10.520981115525515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23</v>
      </c>
      <c r="D8" s="58">
        <v>41985</v>
      </c>
      <c r="E8" s="59" t="s">
        <v>9</v>
      </c>
      <c r="F8" s="60" t="s">
        <v>9</v>
      </c>
      <c r="G8" s="61">
        <v>6</v>
      </c>
      <c r="H8" s="19">
        <v>2</v>
      </c>
      <c r="I8" s="20">
        <v>8</v>
      </c>
      <c r="J8" s="21">
        <v>2387</v>
      </c>
      <c r="K8" s="22">
        <v>494</v>
      </c>
      <c r="L8" s="23">
        <f>K8/H8</f>
        <v>247</v>
      </c>
      <c r="M8" s="24">
        <f>+J8/K8</f>
        <v>4.831983805668016</v>
      </c>
      <c r="N8" s="25">
        <f>8510.8+3886.5+2097.5+617+108+1288+1217+2387</f>
        <v>20111.8</v>
      </c>
      <c r="O8" s="26">
        <f>645+331+220+36+14+161+265+494</f>
        <v>2166</v>
      </c>
      <c r="P8" s="27">
        <f>N8/O8</f>
        <v>9.2852262234533693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40</v>
      </c>
      <c r="D9" s="58">
        <v>41747</v>
      </c>
      <c r="E9" s="59" t="s">
        <v>9</v>
      </c>
      <c r="F9" s="60" t="s">
        <v>9</v>
      </c>
      <c r="G9" s="61">
        <v>27</v>
      </c>
      <c r="H9" s="19">
        <v>1</v>
      </c>
      <c r="I9" s="20">
        <v>27</v>
      </c>
      <c r="J9" s="21">
        <v>1782</v>
      </c>
      <c r="K9" s="22">
        <v>356</v>
      </c>
      <c r="L9" s="23">
        <f t="shared" ref="L9" si="1">K9/H9</f>
        <v>356</v>
      </c>
      <c r="M9" s="24">
        <f t="shared" ref="M9" si="2">+J9/K9</f>
        <v>5.0056179775280896</v>
      </c>
      <c r="N9" s="25">
        <f>186153.66+73200.86+7974.97+3137.5+2235.5+2569.5+1951+3923.5+2028.5+2570+1951+851+280.5+1284+387.5+714.5+19.5+377+84.5+528+2376+200+244+2451+7128+1425.6+1782</f>
        <v>307829.08999999997</v>
      </c>
      <c r="O9" s="26">
        <f>17828+6634+897+384+272+355+277+539+259+316+258+106+40+183+51+100+3+58+13+44+475+38+48+490+1426+285+356</f>
        <v>31735</v>
      </c>
      <c r="P9" s="27">
        <f t="shared" ref="P9" si="3">N9/O9</f>
        <v>9.6999870805104766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14</v>
      </c>
      <c r="J10" s="64">
        <v>1455</v>
      </c>
      <c r="K10" s="65">
        <v>113</v>
      </c>
      <c r="L10" s="66">
        <f>K10/H10</f>
        <v>113</v>
      </c>
      <c r="M10" s="67">
        <f>+J10/K10</f>
        <v>12.876106194690266</v>
      </c>
      <c r="N10" s="68">
        <f>86853.81+54964.43+34022.66+23560.33+8123.41+7604.5+3529.5+2609+1898+2251.6+1218+977.5+1040+1455</f>
        <v>230107.74</v>
      </c>
      <c r="O10" s="69">
        <f>7232+4293+2509+1779+817+649+331+264+501+432+243+78+73+113</f>
        <v>19314</v>
      </c>
      <c r="P10" s="70">
        <f>N10/O10</f>
        <v>11.914038521279901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35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36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115</v>
      </c>
      <c r="I6" s="50">
        <v>1</v>
      </c>
      <c r="J6" s="53">
        <v>362258.96</v>
      </c>
      <c r="K6" s="16">
        <v>36807</v>
      </c>
      <c r="L6" s="51">
        <f>K6/H6</f>
        <v>320.06086956521739</v>
      </c>
      <c r="M6" s="52">
        <f>+J6/K6</f>
        <v>9.8421213356155093</v>
      </c>
      <c r="N6" s="54">
        <f>4241+362258.96</f>
        <v>366499.96</v>
      </c>
      <c r="O6" s="55">
        <f>748+36807</f>
        <v>37555</v>
      </c>
      <c r="P6" s="56">
        <f>N6/O6</f>
        <v>9.7590190387431779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10</v>
      </c>
      <c r="J7" s="21">
        <v>10660.5</v>
      </c>
      <c r="K7" s="22">
        <v>1619</v>
      </c>
      <c r="L7" s="23">
        <f>K7/H7</f>
        <v>323.8</v>
      </c>
      <c r="M7" s="24">
        <f>+J7/K7</f>
        <v>6.5846201358863494</v>
      </c>
      <c r="N7" s="25">
        <f>1099708.11+593370.74+224185+52839.5+17039.5+9578+7414+5098+4983.5+10660.5</f>
        <v>2024876.85</v>
      </c>
      <c r="O7" s="26">
        <f>102148+56106+22339+5539+1692+934+809+597+525+1619</f>
        <v>192308</v>
      </c>
      <c r="P7" s="27">
        <f>N7/O7</f>
        <v>10.529342773051564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19</v>
      </c>
      <c r="D8" s="58">
        <v>41831</v>
      </c>
      <c r="E8" s="59" t="s">
        <v>9</v>
      </c>
      <c r="F8" s="60" t="s">
        <v>20</v>
      </c>
      <c r="G8" s="61">
        <v>35</v>
      </c>
      <c r="H8" s="19">
        <v>1</v>
      </c>
      <c r="I8" s="20">
        <v>16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204425.4+130339.21+47866.4+41040.53+24854.45+10673+4557.5+1594+1611.5+4273+260+202.5+1010+8553.6+1425.6+1425.6</f>
        <v>484112.29</v>
      </c>
      <c r="O8" s="26">
        <f>19421+12650+4370+3566+2047+958+545+202+192+659+33+26+109+1176+285+285</f>
        <v>46524</v>
      </c>
      <c r="P8" s="27">
        <f>N8/O8</f>
        <v>10.405646333075401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7</v>
      </c>
      <c r="J9" s="21">
        <v>1217</v>
      </c>
      <c r="K9" s="22">
        <v>265</v>
      </c>
      <c r="L9" s="23">
        <f>K9/H9</f>
        <v>265</v>
      </c>
      <c r="M9" s="24">
        <f>+J9/K9</f>
        <v>4.5924528301886793</v>
      </c>
      <c r="N9" s="25">
        <f>8510.8+3886.5+2097.5+617+108+1288+1217</f>
        <v>17724.8</v>
      </c>
      <c r="O9" s="26">
        <f>645+331+220+36+14+161+265</f>
        <v>1672</v>
      </c>
      <c r="P9" s="27">
        <f>N9/O9</f>
        <v>10.600956937799042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13</v>
      </c>
      <c r="J10" s="64">
        <v>1040</v>
      </c>
      <c r="K10" s="65">
        <v>73</v>
      </c>
      <c r="L10" s="66">
        <f>K10/H10</f>
        <v>73</v>
      </c>
      <c r="M10" s="67">
        <f>+J10/K10</f>
        <v>14.246575342465754</v>
      </c>
      <c r="N10" s="68">
        <f>86853.81+54964.43+34022.66+23560.33+8123.41+7604.5+3529.5+2609+1898+2251.6+1218+977.5+1040</f>
        <v>228652.74</v>
      </c>
      <c r="O10" s="69">
        <f>7232+4293+2509+1779+817+649+331+264+501+432+243+78+73</f>
        <v>19201</v>
      </c>
      <c r="P10" s="70">
        <f>N10/O10</f>
        <v>11.908376647049632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31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32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28</v>
      </c>
      <c r="D6" s="45">
        <v>41866</v>
      </c>
      <c r="E6" s="46" t="s">
        <v>9</v>
      </c>
      <c r="F6" s="47" t="s">
        <v>29</v>
      </c>
      <c r="G6" s="48">
        <v>31</v>
      </c>
      <c r="H6" s="49">
        <v>2</v>
      </c>
      <c r="I6" s="50">
        <v>22</v>
      </c>
      <c r="J6" s="53">
        <v>6211</v>
      </c>
      <c r="K6" s="16">
        <v>643</v>
      </c>
      <c r="L6" s="51">
        <f>K6/H6</f>
        <v>321.5</v>
      </c>
      <c r="M6" s="52">
        <f>+J6/K6</f>
        <v>9.6594090202177298</v>
      </c>
      <c r="N6" s="54">
        <f>166393.25+120953.88+26778.83+15413.16+8141+9655+7141+22668+12148+7305+4200+124+102+212+223+1619+804+2201+992+1988+3344+6211</f>
        <v>418617.12</v>
      </c>
      <c r="O6" s="55">
        <f>16398+11920+2425+1471+815+935+859+2615+1401+831+549+16+14+27+29+174+87+240+98+249+365+643</f>
        <v>42161</v>
      </c>
      <c r="P6" s="56">
        <f>N6/O6</f>
        <v>9.9290130689499776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9</v>
      </c>
      <c r="J7" s="21">
        <v>4983.5</v>
      </c>
      <c r="K7" s="22">
        <v>525</v>
      </c>
      <c r="L7" s="23">
        <f>K7/H7</f>
        <v>131.25</v>
      </c>
      <c r="M7" s="24">
        <f>+J7/K7</f>
        <v>9.4923809523809517</v>
      </c>
      <c r="N7" s="25">
        <f>1099708.11+593370.74+224185+52839.5+17039.5+9578+7414+5098+4983.5</f>
        <v>2014216.35</v>
      </c>
      <c r="O7" s="26">
        <f>102148+56106+22339+5539+1692+934+809+597+525</f>
        <v>190689</v>
      </c>
      <c r="P7" s="27">
        <f>N7/O7</f>
        <v>10.562834510642984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21</v>
      </c>
      <c r="D8" s="58">
        <v>41915</v>
      </c>
      <c r="E8" s="59" t="s">
        <v>9</v>
      </c>
      <c r="F8" s="60" t="s">
        <v>20</v>
      </c>
      <c r="G8" s="61">
        <v>52</v>
      </c>
      <c r="H8" s="19">
        <v>1</v>
      </c>
      <c r="I8" s="20">
        <v>15</v>
      </c>
      <c r="J8" s="21">
        <v>2376</v>
      </c>
      <c r="K8" s="22">
        <v>475</v>
      </c>
      <c r="L8" s="23">
        <f>K8/H8</f>
        <v>475</v>
      </c>
      <c r="M8" s="24">
        <f>+J8/K8</f>
        <v>5.0021052631578948</v>
      </c>
      <c r="N8" s="25">
        <f>917082.76+408148.93+229733.98+293566.8+49586.5+3383+1551.5+689+116+162+2648+22.5+69+592+2376</f>
        <v>1909727.97</v>
      </c>
      <c r="O8" s="26">
        <f>78453+36692+20370+24581+3906+438+199+89+14+20+350+3+10+75+475</f>
        <v>165675</v>
      </c>
      <c r="P8" s="27">
        <f>N8/O8</f>
        <v>11.526953191489362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6</v>
      </c>
      <c r="J9" s="21">
        <v>1288</v>
      </c>
      <c r="K9" s="22">
        <v>161</v>
      </c>
      <c r="L9" s="23">
        <f>K9/H9</f>
        <v>161</v>
      </c>
      <c r="M9" s="24">
        <f>+J9/K9</f>
        <v>8</v>
      </c>
      <c r="N9" s="25">
        <f>8510.8+3886.5+2097.5+617+108+1288</f>
        <v>16507.8</v>
      </c>
      <c r="O9" s="26">
        <f>645+331+220+36+14+161</f>
        <v>1407</v>
      </c>
      <c r="P9" s="27">
        <f>N9/O9</f>
        <v>11.732622601279317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12</v>
      </c>
      <c r="J10" s="64">
        <v>977.5</v>
      </c>
      <c r="K10" s="65">
        <v>78</v>
      </c>
      <c r="L10" s="66">
        <f>K10/H10</f>
        <v>78</v>
      </c>
      <c r="M10" s="67">
        <f>+J10/K10</f>
        <v>12.532051282051283</v>
      </c>
      <c r="N10" s="68">
        <f>86853.81+54964.43+34022.66+23560.33+8123.41+7604.5+3529.5+2609+1898+2251.6+1218+977.5</f>
        <v>227612.74</v>
      </c>
      <c r="O10" s="69">
        <f>7232+4293+2509+1779+817+649+331+264+501+432+243+78</f>
        <v>19128</v>
      </c>
      <c r="P10" s="70">
        <f>N10/O10</f>
        <v>11.899453157674612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A8" sqref="A8:XFD8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26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27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8</v>
      </c>
      <c r="J6" s="53">
        <v>5098</v>
      </c>
      <c r="K6" s="16">
        <v>597</v>
      </c>
      <c r="L6" s="51">
        <f t="shared" ref="L6" si="0">K6/H6</f>
        <v>119.4</v>
      </c>
      <c r="M6" s="52">
        <f t="shared" ref="M6" si="1">+J6/K6</f>
        <v>8.5393634840871027</v>
      </c>
      <c r="N6" s="54">
        <f>1099708.11+593370.74+224185+52839.5+17039.5+9578+7414+5098</f>
        <v>2009232.85</v>
      </c>
      <c r="O6" s="55">
        <f>102148+56106+22339+5539+1692+934+809+597</f>
        <v>190164</v>
      </c>
      <c r="P6" s="56">
        <f t="shared" ref="P6" si="2">N6/O6</f>
        <v>10.565789791969038</v>
      </c>
      <c r="Q6" s="29"/>
      <c r="R6" s="5"/>
    </row>
    <row r="7" spans="1:18" s="3" customFormat="1" ht="22.5" customHeight="1" x14ac:dyDescent="0.25">
      <c r="B7" s="18">
        <f t="shared" ref="B7:B9" si="3">B6+1</f>
        <v>2</v>
      </c>
      <c r="C7" s="57" t="s">
        <v>28</v>
      </c>
      <c r="D7" s="58">
        <v>41866</v>
      </c>
      <c r="E7" s="59" t="s">
        <v>9</v>
      </c>
      <c r="F7" s="60" t="s">
        <v>29</v>
      </c>
      <c r="G7" s="61">
        <v>31</v>
      </c>
      <c r="H7" s="19">
        <v>3</v>
      </c>
      <c r="I7" s="20">
        <v>21</v>
      </c>
      <c r="J7" s="21">
        <v>3344</v>
      </c>
      <c r="K7" s="22">
        <v>365</v>
      </c>
      <c r="L7" s="23">
        <f>K7/H7</f>
        <v>121.66666666666667</v>
      </c>
      <c r="M7" s="24">
        <f>+J7/K7</f>
        <v>9.161643835616438</v>
      </c>
      <c r="N7" s="25">
        <f>166393.25+120953.88+26778.83+15413.16+8141+9655+7141+22668+12148+7305+4200+124+102+212+223+1619+804+2201+992+1988+3344</f>
        <v>412406.12</v>
      </c>
      <c r="O7" s="26">
        <f>16398+11920+2425+1471+815+935+859+2615+1401+831+549+16+14+27+29+174+87+240+98+249+365</f>
        <v>41518</v>
      </c>
      <c r="P7" s="27">
        <f>N7/O7</f>
        <v>9.9331884965557098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23</v>
      </c>
      <c r="J8" s="21">
        <v>790</v>
      </c>
      <c r="K8" s="22">
        <v>154</v>
      </c>
      <c r="L8" s="23">
        <f>K8/H8</f>
        <v>154</v>
      </c>
      <c r="M8" s="24">
        <f>+J8/K8</f>
        <v>5.1298701298701301</v>
      </c>
      <c r="N8" s="25">
        <f>95967.35+76227.39+34644.5+27256+29590.5+12797.63+9801.17+8948.5+7152.5+16352.94+12150.29+7448.1+8486.06+7400.64+5579.56+3486.52+760+1010+454+162+694+385+790</f>
        <v>367544.64999999997</v>
      </c>
      <c r="O8" s="26">
        <f>9552+7384+3615+3071+3349+1439+1120+971+812+1886+1381+880+989+926+692+485+91+116+49+24+62+55+154</f>
        <v>39103</v>
      </c>
      <c r="P8" s="27">
        <f>N8/O8</f>
        <v>9.3993977444185859</v>
      </c>
      <c r="Q8" s="29"/>
      <c r="R8" s="5"/>
    </row>
    <row r="9" spans="1:18" s="3" customFormat="1" ht="22.5" customHeight="1" thickBot="1" x14ac:dyDescent="0.3">
      <c r="B9" s="4">
        <f t="shared" si="3"/>
        <v>4</v>
      </c>
      <c r="C9" s="36" t="s">
        <v>23</v>
      </c>
      <c r="D9" s="37">
        <v>41985</v>
      </c>
      <c r="E9" s="38" t="s">
        <v>9</v>
      </c>
      <c r="F9" s="39" t="s">
        <v>9</v>
      </c>
      <c r="G9" s="40">
        <v>6</v>
      </c>
      <c r="H9" s="62">
        <v>3</v>
      </c>
      <c r="I9" s="63">
        <v>5</v>
      </c>
      <c r="J9" s="64">
        <v>108</v>
      </c>
      <c r="K9" s="65">
        <v>14</v>
      </c>
      <c r="L9" s="66">
        <f>K9/H9</f>
        <v>4.666666666666667</v>
      </c>
      <c r="M9" s="67">
        <f>+J9/K9</f>
        <v>7.7142857142857144</v>
      </c>
      <c r="N9" s="68">
        <f>8510.8+3886.5+2097.5+617+108</f>
        <v>15219.8</v>
      </c>
      <c r="O9" s="69">
        <f>645+331+220+36+14</f>
        <v>1246</v>
      </c>
      <c r="P9" s="70">
        <f>N9/O9</f>
        <v>12.214927768860353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2015_10_06-12.03</vt:lpstr>
      <vt:lpstr>2015_09_27.02-05.03</vt:lpstr>
      <vt:lpstr>2015_08_20-26.02</vt:lpstr>
      <vt:lpstr>2015_07_13-19.02</vt:lpstr>
      <vt:lpstr>2015_06_06-12.02</vt:lpstr>
      <vt:lpstr>2015_05_30.01-05.02</vt:lpstr>
      <vt:lpstr>2015_04_23-29.01</vt:lpstr>
      <vt:lpstr>2015_03_16-22.01</vt:lpstr>
      <vt:lpstr>2015_02_09-15.01</vt:lpstr>
      <vt:lpstr>2015_01_02-08.01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2015-02-27T14:16:27Z</cp:lastPrinted>
  <dcterms:created xsi:type="dcterms:W3CDTF">2014-02-17T12:24:16Z</dcterms:created>
  <dcterms:modified xsi:type="dcterms:W3CDTF">2015-03-13T10:47:04Z</dcterms:modified>
</cp:coreProperties>
</file>