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25140" windowHeight="8115" tabRatio="914" activeTab="0"/>
  </bookViews>
  <sheets>
    <sheet name="30.8-5.9.2013 (week)" sheetId="1" r:id="rId1"/>
    <sheet name="Haftasonu (İLK 20)" sheetId="2" r:id="rId2"/>
    <sheet name="Hafta (İLK 20)" sheetId="3" r:id="rId3"/>
    <sheet name="Önceki yıllar 2012" sheetId="4" r:id="rId4"/>
    <sheet name="2013 filmleri (yeni)" sheetId="5" r:id="rId5"/>
    <sheet name="Yeni Türkiye Yapımları 2013" sheetId="6" r:id="rId6"/>
    <sheet name="Görünüm" sheetId="7" r:id="rId7"/>
  </sheets>
  <definedNames>
    <definedName name="_xlnm.Print_Area" localSheetId="0">'30.8-5.9.2013 (week)'!$A$1:$AU$8</definedName>
  </definedNames>
  <calcPr fullCalcOnLoad="1"/>
</workbook>
</file>

<file path=xl/sharedStrings.xml><?xml version="1.0" encoding="utf-8"?>
<sst xmlns="http://schemas.openxmlformats.org/spreadsheetml/2006/main" count="6757" uniqueCount="1220">
  <si>
    <t>Last Weekend</t>
  </si>
  <si>
    <t>Distributor</t>
  </si>
  <si>
    <t>Friday</t>
  </si>
  <si>
    <t>Saturday</t>
  </si>
  <si>
    <t>Sunday</t>
  </si>
  <si>
    <t>Change</t>
  </si>
  <si>
    <t>Adm.</t>
  </si>
  <si>
    <t>G.B.O.</t>
  </si>
  <si>
    <t>PİNEMA</t>
  </si>
  <si>
    <t>Title</t>
  </si>
  <si>
    <t>WARNER BROS. TÜRKİYE</t>
  </si>
  <si>
    <t>Weekend Total</t>
  </si>
  <si>
    <t>UIP TÜRKİYE</t>
  </si>
  <si>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</si>
  <si>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</si>
  <si>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</si>
  <si>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</si>
  <si>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</si>
  <si>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</si>
  <si>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</si>
  <si>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</si>
  <si>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</si>
  <si>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</si>
  <si>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</si>
  <si>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</si>
  <si>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</si>
  <si>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</si>
  <si>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</si>
  <si>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</si>
  <si>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</si>
  <si>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</si>
  <si>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</si>
  <si>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</si>
  <si>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</si>
  <si>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</si>
  <si>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Hasılat</t>
  </si>
  <si>
    <t>Değişim</t>
  </si>
  <si>
    <t>Haftasonu / İçi</t>
  </si>
  <si>
    <t>Weekend / Week</t>
  </si>
  <si>
    <t>Screen adm.</t>
  </si>
  <si>
    <t>Haftasonu toplam</t>
  </si>
  <si>
    <t>On 1 screen</t>
  </si>
  <si>
    <t>Bir salonda</t>
  </si>
  <si>
    <t>http://www.antraktsinema.com</t>
  </si>
  <si>
    <t>Last Week</t>
  </si>
  <si>
    <t>Geçen hafta  %</t>
  </si>
  <si>
    <t>MEDYAVİZYON</t>
  </si>
  <si>
    <t>ÖZEN FİLM</t>
  </si>
  <si>
    <t>L</t>
  </si>
  <si>
    <t>A</t>
  </si>
  <si>
    <t>SON DURAK 5</t>
  </si>
  <si>
    <t>ARABALAR 2</t>
  </si>
  <si>
    <t>ŞİRİNLER</t>
  </si>
  <si>
    <t>Filmin ingilizce ya da orijinal adı</t>
  </si>
  <si>
    <t>Turkish working title</t>
  </si>
  <si>
    <t>Filmin Türkçe adı</t>
  </si>
  <si>
    <t>English or original title</t>
  </si>
  <si>
    <t>PARANORMAL ACTIVITY 3</t>
  </si>
  <si>
    <t>ANADOLU KARTALLARI</t>
  </si>
  <si>
    <t>TİGLON</t>
  </si>
  <si>
    <t>GELECEK UZUN SÜRER</t>
  </si>
  <si>
    <t>ALLAH'IN SADIK KULU</t>
  </si>
  <si>
    <t>Yapım</t>
  </si>
  <si>
    <t>Production company</t>
  </si>
  <si>
    <t>İthalat</t>
  </si>
  <si>
    <t>Kalinos</t>
  </si>
  <si>
    <t>Universal</t>
  </si>
  <si>
    <t>Fida Film</t>
  </si>
  <si>
    <t>Nar Film</t>
  </si>
  <si>
    <t>Tiglon</t>
  </si>
  <si>
    <t>Paramount</t>
  </si>
  <si>
    <t>Walt Disney</t>
  </si>
  <si>
    <t>UIP Türkiye</t>
  </si>
  <si>
    <t>Warner Bros. Türkiye</t>
  </si>
  <si>
    <t>Import</t>
  </si>
  <si>
    <t>Medyavizyon</t>
  </si>
  <si>
    <t>KUNG FU PANDA 2</t>
  </si>
  <si>
    <t>DEDEMİN İNSANLARI</t>
  </si>
  <si>
    <t>Galata Film</t>
  </si>
  <si>
    <t>Tmc  Film</t>
  </si>
  <si>
    <t>Fox</t>
  </si>
  <si>
    <t>Bir Film</t>
  </si>
  <si>
    <t>Özen Film</t>
  </si>
  <si>
    <t>ACIMASIZ TANRI</t>
  </si>
  <si>
    <t>SÜMELA'NIN ŞİFRESİ - TEMEL</t>
  </si>
  <si>
    <t>Üçgen Film</t>
  </si>
  <si>
    <t>ALVIN AND THE CHIPMUNKS: CHIPWRECKED</t>
  </si>
  <si>
    <t>ALVİN VE SİNCAPLAR: EĞLENCE ADASI</t>
  </si>
  <si>
    <t>NAR</t>
  </si>
  <si>
    <t>LABİRENT</t>
  </si>
  <si>
    <t>I RYMDEN TINNS INGA KANSLOR - SIMPLE SIMON</t>
  </si>
  <si>
    <t>AŞKIN FORMÜLÜ YOK</t>
  </si>
  <si>
    <t>D Productions</t>
  </si>
  <si>
    <t>Ekip Film</t>
  </si>
  <si>
    <t>D</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</si>
  <si>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</si>
  <si>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Basic data of movies - Filmin genel bilgileri</t>
  </si>
  <si>
    <t>Weekly - Haftalık</t>
  </si>
  <si>
    <t>Weekend admissions and box office data - Haftasonu seyirci ve hasılat verileri</t>
  </si>
  <si>
    <t>All week - Bütün hafta</t>
  </si>
  <si>
    <t>Profit - Dağılım</t>
  </si>
  <si>
    <t>Average - Ortalama</t>
  </si>
  <si>
    <t>Cumulative data - Toplam veriler</t>
  </si>
  <si>
    <t>BİR AYRILIK</t>
  </si>
  <si>
    <t>JOAEIYE NADER AZ SIMIN - A SEPARATION</t>
  </si>
  <si>
    <t>EX</t>
  </si>
  <si>
    <t>ARTHUR ET LES MINIMOYS</t>
  </si>
  <si>
    <t>ARTHUR VE MİNİMOYLAR</t>
  </si>
  <si>
    <t>UZAK İHTİMAL</t>
  </si>
  <si>
    <t>Filma</t>
  </si>
  <si>
    <t>Hokus Fokus</t>
  </si>
  <si>
    <t>ÜÇ SİLAHŞÖRLER</t>
  </si>
  <si>
    <t>S</t>
  </si>
  <si>
    <t>Last</t>
  </si>
  <si>
    <t>Attempt</t>
  </si>
  <si>
    <t>Son</t>
  </si>
  <si>
    <t>Hareket</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</si>
  <si>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</si>
  <si>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</si>
  <si>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</si>
  <si>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</si>
  <si>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</si>
  <si>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</si>
  <si>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</si>
  <si>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</si>
  <si>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</si>
  <si>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</si>
  <si>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</si>
  <si>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</si>
  <si>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</si>
  <si>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</si>
  <si>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</si>
  <si>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</si>
  <si>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</si>
  <si>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</si>
  <si>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</si>
  <si>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</si>
  <si>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</si>
  <si>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</si>
  <si>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M3 FİLM</t>
  </si>
  <si>
    <t>DONKEY XOTE</t>
  </si>
  <si>
    <t>DON KİŞOT</t>
  </si>
  <si>
    <t>DIARY OF A WIMPY KID: RODRICK RULES</t>
  </si>
  <si>
    <t>Bkm</t>
  </si>
  <si>
    <t>SAFTİRİK GREG'İN GÜNLÜĞÜ: RODRICK KURALLARI</t>
  </si>
  <si>
    <t>KAR BEYAZ</t>
  </si>
  <si>
    <t>PLANET 51</t>
  </si>
  <si>
    <t>GEZEGEN 51</t>
  </si>
  <si>
    <t>AŞIRICILAR</t>
  </si>
  <si>
    <t>Ağustos</t>
  </si>
  <si>
    <t>KARI-GURASHI NO ARIETTI - THE BORROWERS</t>
  </si>
  <si>
    <t>CHANTIER FILMS</t>
  </si>
  <si>
    <t>73</t>
  </si>
  <si>
    <t>46</t>
  </si>
  <si>
    <t>EYYVAH EYVAH 2</t>
  </si>
  <si>
    <t>Les Films</t>
  </si>
  <si>
    <t>Son haftasonu</t>
  </si>
  <si>
    <t>PUSS IN BOOTS</t>
  </si>
  <si>
    <t>ÇİZMELİ KEDİ 3D</t>
  </si>
  <si>
    <t>THE IRON LADY</t>
  </si>
  <si>
    <t>DEMİR LEYDİ</t>
  </si>
  <si>
    <t>Film 4</t>
  </si>
  <si>
    <t>KAYBEDENLER KULÜBÜ</t>
  </si>
  <si>
    <t>JANE EYRE</t>
  </si>
  <si>
    <t>53</t>
  </si>
  <si>
    <t>63</t>
  </si>
  <si>
    <t>GNOMEO &amp; JULIET</t>
  </si>
  <si>
    <t>IMPY'S WONDERLAND</t>
  </si>
  <si>
    <t>MR POPPER'S PENGUINS</t>
  </si>
  <si>
    <t>NIKO &amp; THE WAY TO THE STARS</t>
  </si>
  <si>
    <t>GNOMES AND TROLLS: THE SECRET CHAMBER</t>
  </si>
  <si>
    <t>BABAMIN PENGUENLERİ</t>
  </si>
  <si>
    <t>NİKO: YILDIZLARA YOLCULUK</t>
  </si>
  <si>
    <t>CÜCELER DEVLERE KARŞI: GİZLİ ODA</t>
  </si>
  <si>
    <t>20th Century</t>
  </si>
  <si>
    <t>SEVİMLİ DİNOZOR TATİLDE</t>
  </si>
  <si>
    <t>ASTERIX ET LES VIKINGS</t>
  </si>
  <si>
    <t>ASTERİKS VİKİNGLER'E KARŞI</t>
  </si>
  <si>
    <t>SEVİMLİ CÜCELER CİNO VE JÜLYET</t>
  </si>
  <si>
    <t>39</t>
  </si>
  <si>
    <t>49</t>
  </si>
  <si>
    <t>51</t>
  </si>
  <si>
    <t>56</t>
  </si>
  <si>
    <t>58</t>
  </si>
  <si>
    <t>60</t>
  </si>
  <si>
    <t>61</t>
  </si>
  <si>
    <t>62</t>
  </si>
  <si>
    <t>65</t>
  </si>
  <si>
    <t>67</t>
  </si>
  <si>
    <t>71</t>
  </si>
  <si>
    <t>İLK YENİLMEZ: KAPTAN AMERİKA</t>
  </si>
  <si>
    <t>BİZİM BÜYÜK ÇARESİZLİĞİMİZ</t>
  </si>
  <si>
    <t>Bulut Film</t>
  </si>
  <si>
    <t>BERLİN KAPLANI</t>
  </si>
  <si>
    <t>84</t>
  </si>
  <si>
    <t>OCAK</t>
  </si>
  <si>
    <t>KURTLAR VADİSİ FİLİSTİN</t>
  </si>
  <si>
    <t>ZEFİR</t>
  </si>
  <si>
    <t>AŞK TESADÜFLERİ SEVER</t>
  </si>
  <si>
    <t>ŞUBAT</t>
  </si>
  <si>
    <t>THE MUPPETS</t>
  </si>
  <si>
    <t>MUPPETS</t>
  </si>
  <si>
    <t>FETİH 1453</t>
  </si>
  <si>
    <t>KARAYİP KORSANLARI: GİZEMLİ DENİZLERDE</t>
  </si>
  <si>
    <t>ORLA FROSNAPPER - FREDDIE FROGFACE</t>
  </si>
  <si>
    <t>AFACAN VE KURBAĞA SURAT</t>
  </si>
  <si>
    <t>YA SONRA</t>
  </si>
  <si>
    <t>MART</t>
  </si>
  <si>
    <t>MAX MACERALARI: KRALIN DOĞUŞU</t>
  </si>
  <si>
    <t>PADDLE POP ADVENTURES - MAX BEGINS</t>
  </si>
  <si>
    <t>KOLPAÇİNO BOMBA</t>
  </si>
  <si>
    <t>3 AY</t>
  </si>
  <si>
    <t>UMUT SANAT</t>
  </si>
  <si>
    <t>EL YAZISI</t>
  </si>
  <si>
    <t>Terminal</t>
  </si>
  <si>
    <t>AÇLIK OYUNLARI</t>
  </si>
  <si>
    <t>64</t>
  </si>
  <si>
    <t>69</t>
  </si>
  <si>
    <t>TİTANLARIN ÖFKESİ</t>
  </si>
  <si>
    <t>NİSAN</t>
  </si>
  <si>
    <t>72</t>
  </si>
  <si>
    <t>76</t>
  </si>
  <si>
    <t>77</t>
  </si>
  <si>
    <t>78</t>
  </si>
  <si>
    <t>RİO</t>
  </si>
  <si>
    <t>MK2</t>
  </si>
  <si>
    <t>81</t>
  </si>
  <si>
    <t>DR.SEUSS' THE LORAX</t>
  </si>
  <si>
    <t>YERALTI</t>
  </si>
  <si>
    <t>LISSI UND DER WILDE KAISER</t>
  </si>
  <si>
    <t>PRENSES LISSI VE KAR ADAMI YETİ</t>
  </si>
  <si>
    <t>4 AY</t>
  </si>
  <si>
    <t>BATTLESHIP</t>
  </si>
  <si>
    <t>THE OUTBACK</t>
  </si>
  <si>
    <t>Digiart</t>
  </si>
  <si>
    <t>SEVİMLİ KAHRAMAN</t>
  </si>
  <si>
    <t>Chantier Films</t>
  </si>
  <si>
    <t>Relativity</t>
  </si>
  <si>
    <t>GAKE NO UE NO PONYO</t>
  </si>
  <si>
    <t>KÜÇÜK DENİZ KIZI PONYO</t>
  </si>
  <si>
    <t>Mars Entertainment</t>
  </si>
  <si>
    <t>Mars Entertainment, R Film.</t>
  </si>
  <si>
    <t>SEEFOOD</t>
  </si>
  <si>
    <t>SEVİMLİ BALIK PUPİ</t>
  </si>
  <si>
    <t>DUKA FİLM</t>
  </si>
  <si>
    <t>PARİS'TE ÇILGIN MACERA</t>
  </si>
  <si>
    <t>Europacorp</t>
  </si>
  <si>
    <t>A MONSTER IN PARIS</t>
  </si>
  <si>
    <t>82</t>
  </si>
  <si>
    <t>83</t>
  </si>
  <si>
    <t>88</t>
  </si>
  <si>
    <t>92</t>
  </si>
  <si>
    <t>95</t>
  </si>
  <si>
    <t>HIZLI VE ÖFKELİ 5: RİO SOYGUNU</t>
  </si>
  <si>
    <t>MAYIS</t>
  </si>
  <si>
    <t>5 AY</t>
  </si>
  <si>
    <t>Kurmaca</t>
  </si>
  <si>
    <t>YENİLMEZLER</t>
  </si>
  <si>
    <t>CAN</t>
  </si>
  <si>
    <t>Defne</t>
  </si>
  <si>
    <t>CAN DOSTUM</t>
  </si>
  <si>
    <t>Lakeshore</t>
  </si>
  <si>
    <t>93</t>
  </si>
  <si>
    <t>Constantin</t>
  </si>
  <si>
    <t>Ustaoğlu Film</t>
  </si>
  <si>
    <t>Re Prodüksiyon</t>
  </si>
  <si>
    <t>Columbia</t>
  </si>
  <si>
    <t>Warner Bros. Pictures</t>
  </si>
  <si>
    <t>DR. SEUSS LORAKS</t>
  </si>
  <si>
    <t>TATİL KİTABI</t>
  </si>
  <si>
    <t>85</t>
  </si>
  <si>
    <t>86</t>
  </si>
  <si>
    <t>87</t>
  </si>
  <si>
    <t>91</t>
  </si>
  <si>
    <t>THE INTOUCHABLES</t>
  </si>
  <si>
    <t>SİYAH GİYEN ADAMLAR 3</t>
  </si>
  <si>
    <t>SEVİMLİ KEDİ İŞ BAŞINDA</t>
  </si>
  <si>
    <t>DON GATO Y SU PANDILLA -  TOP CAT</t>
  </si>
  <si>
    <t>PROMETHEUS</t>
  </si>
  <si>
    <t>Mandarin</t>
  </si>
  <si>
    <t>PAMUK PRENSES VE AVCI</t>
  </si>
  <si>
    <t>HAZİRAN</t>
  </si>
  <si>
    <t>M3 Film</t>
  </si>
  <si>
    <t>Filmax</t>
  </si>
  <si>
    <t>Duka</t>
  </si>
  <si>
    <t>Silver Ant</t>
  </si>
  <si>
    <t>MADAGASCAR 3: EUROPE'S MOST WANTED</t>
  </si>
  <si>
    <t>Dreamworks A</t>
  </si>
  <si>
    <t>CESARE DEVE MORIRE</t>
  </si>
  <si>
    <t>SEZAR ÖLMELİ</t>
  </si>
  <si>
    <t>97</t>
  </si>
  <si>
    <t>MADAGASKAR 3: AVRUPA'NIN EN ÇOK ARANANLARI</t>
  </si>
  <si>
    <t>Rest of the week</t>
  </si>
  <si>
    <t>Haftaiçi</t>
  </si>
  <si>
    <t>LE FEMME DU VEME</t>
  </si>
  <si>
    <t>Mars Production, Bir Film</t>
  </si>
  <si>
    <t>GİZEMLİ KADIN</t>
  </si>
  <si>
    <t xml:space="preserve">WILL </t>
  </si>
  <si>
    <t>BABAM İÇİN</t>
  </si>
  <si>
    <t>DARLING COMPANION</t>
  </si>
  <si>
    <t>CAN YOLDAŞIM</t>
  </si>
  <si>
    <t>Kasdan Picture</t>
  </si>
  <si>
    <t>6 AY</t>
  </si>
  <si>
    <t>TRANSFORMERS: AYIN KARANLIK YÜZÜ</t>
  </si>
  <si>
    <t>108</t>
  </si>
  <si>
    <t>100</t>
  </si>
  <si>
    <t>101</t>
  </si>
  <si>
    <t>102</t>
  </si>
  <si>
    <t>107</t>
  </si>
  <si>
    <t>Filmnation</t>
  </si>
  <si>
    <t>BUZ DEVRİ 4: KITALAR AYRILIYOR</t>
  </si>
  <si>
    <t>ICE AGE: CONTINENTAL DRIFT</t>
  </si>
  <si>
    <t>Bluesky</t>
  </si>
  <si>
    <t>Calinos</t>
  </si>
  <si>
    <t>TEMMUZ</t>
  </si>
  <si>
    <t>7 AY</t>
  </si>
  <si>
    <t>ET MEINTENANT ON VA OU?</t>
  </si>
  <si>
    <t>PEKİ ŞİMDİ NEREYE?</t>
  </si>
  <si>
    <t>İNANILMAZ ÖRÜMCEK-ADAM</t>
  </si>
  <si>
    <t>AMAZING SPIDER-MAN</t>
  </si>
  <si>
    <t>110</t>
  </si>
  <si>
    <t>112</t>
  </si>
  <si>
    <t>114</t>
  </si>
  <si>
    <t>118</t>
  </si>
  <si>
    <t>123</t>
  </si>
  <si>
    <t>HARRY POTTER VE ÖLÜM YADİGARLARI 2</t>
  </si>
  <si>
    <t>SNOW WHITE AND THE HUNTSMAN</t>
  </si>
  <si>
    <t>PİNEMART</t>
  </si>
  <si>
    <t>Admission</t>
  </si>
  <si>
    <t>Village Roadshow</t>
  </si>
  <si>
    <t>Dreamworks</t>
  </si>
  <si>
    <t>Quad Production</t>
  </si>
  <si>
    <t>BBC Film</t>
  </si>
  <si>
    <t>Zentropa</t>
  </si>
  <si>
    <t>Summit</t>
  </si>
  <si>
    <t>Filmacass</t>
  </si>
  <si>
    <t>The Weinstein</t>
  </si>
  <si>
    <t>Mavi Film</t>
  </si>
  <si>
    <t>Lionsgate</t>
  </si>
  <si>
    <t>Monk</t>
  </si>
  <si>
    <t>Excel İletişim</t>
  </si>
  <si>
    <t>205: ZIMMER DER ANGST</t>
  </si>
  <si>
    <t>Neue Schönhauser</t>
  </si>
  <si>
    <t>205: KORKU ODASI</t>
  </si>
  <si>
    <t>SAHTE GELİN</t>
  </si>
  <si>
    <t>THE DECOY BRIDE</t>
  </si>
  <si>
    <t>Isle of Man</t>
  </si>
  <si>
    <t>Pinemart</t>
  </si>
  <si>
    <t>EN KONGELİG AFFAERE</t>
  </si>
  <si>
    <t>YASAK AŞK</t>
  </si>
  <si>
    <t>BARBARA</t>
  </si>
  <si>
    <t>Schramm Film</t>
  </si>
  <si>
    <t>Rai</t>
  </si>
  <si>
    <t>Hanway</t>
  </si>
  <si>
    <t>PADDLE POP ADVENTURES 2: JOURNEY INTO THE KINGDOM</t>
  </si>
  <si>
    <t>THE DARK NIGHT RISES</t>
  </si>
  <si>
    <t>KARA ŞÖVALYE YÜKSELİYOR</t>
  </si>
  <si>
    <t>AĞUSTOS</t>
  </si>
  <si>
    <t>8 AY</t>
  </si>
  <si>
    <t>DABBE: BİR CİN VAKASI</t>
  </si>
  <si>
    <t>Fono - J Plan</t>
  </si>
  <si>
    <t>MAX MACERALARI: KRALLIĞA YOLCULUK</t>
  </si>
  <si>
    <t>KOKURIKO ZAKA-KARA - FROM UP ON POPPY HILL</t>
  </si>
  <si>
    <t>TEPEDEKİ EV</t>
  </si>
  <si>
    <t>Studio Ghibli</t>
  </si>
  <si>
    <t>NEW</t>
  </si>
  <si>
    <t>126</t>
  </si>
  <si>
    <t>GERÇEĞE ÇAĞRI</t>
  </si>
  <si>
    <t>COSMOPOLIS</t>
  </si>
  <si>
    <t>Kinolgy</t>
  </si>
  <si>
    <t>HETJUR VALHALLAR: POR - LEGENDS OF VALHALL</t>
  </si>
  <si>
    <t>Magma</t>
  </si>
  <si>
    <t>VİKİNGLER EFSANESİ: THOR</t>
  </si>
  <si>
    <t>MA PREMIERE FOIS - MY FIRST LOVE</t>
  </si>
  <si>
    <t>İLK AŞKIM</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</si>
  <si>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</si>
  <si>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Disney</t>
  </si>
  <si>
    <t>Umut Sanat</t>
  </si>
  <si>
    <t>Sugarworkz</t>
  </si>
  <si>
    <t>Illusion Studios</t>
  </si>
  <si>
    <t>New Line</t>
  </si>
  <si>
    <t>Cinemateque</t>
  </si>
  <si>
    <t>Film Pop</t>
  </si>
  <si>
    <t>Naive</t>
  </si>
  <si>
    <t>New Regency Pictures</t>
  </si>
  <si>
    <t>Ruby</t>
  </si>
  <si>
    <t>Ashgar Farhadi</t>
  </si>
  <si>
    <t>Mars Prodüksiyon</t>
  </si>
  <si>
    <t>Studio Gibli</t>
  </si>
  <si>
    <t>Telepool</t>
  </si>
  <si>
    <t>Ilion Animation</t>
  </si>
  <si>
    <t>Endgame</t>
  </si>
  <si>
    <t>Wild Bunch</t>
  </si>
  <si>
    <t>Corazon</t>
  </si>
  <si>
    <t>128</t>
  </si>
  <si>
    <t>CEHENNEM MELEKLERİ 2</t>
  </si>
  <si>
    <t>Millenyum Films</t>
  </si>
  <si>
    <t>RET KİT: BATIYA HÜCUM</t>
  </si>
  <si>
    <t>TOUS A I'QUEST: UNE AVENTURE DE LUCKY LUKE</t>
  </si>
  <si>
    <t>Rai Cinema</t>
  </si>
  <si>
    <t>Pinema</t>
  </si>
  <si>
    <t>SINT</t>
  </si>
  <si>
    <t>Parachute</t>
  </si>
  <si>
    <t>Siyah Beyaz</t>
  </si>
  <si>
    <t>KORKU EFENDİSİ</t>
  </si>
  <si>
    <t>FAIRYTAIL</t>
  </si>
  <si>
    <t>KABUS</t>
  </si>
  <si>
    <t>LAL GECE</t>
  </si>
  <si>
    <t>Kaz Film</t>
  </si>
  <si>
    <t>MOMMO - KIZ KARDEŞİM</t>
  </si>
  <si>
    <t>At Yapım</t>
  </si>
  <si>
    <t>MOMMO: KIZ KARDEŞİM</t>
  </si>
  <si>
    <t>STORAGE 24</t>
  </si>
  <si>
    <t>KORKU KAPANI</t>
  </si>
  <si>
    <t>Unstoppable</t>
  </si>
  <si>
    <t>SAFTİRİK: İŞTE ŞİMDİ YANDIK</t>
  </si>
  <si>
    <t>DIARY OF A WIMPY KID: DOG DAYS</t>
  </si>
  <si>
    <t>EYLÜL</t>
  </si>
  <si>
    <t>9 AY</t>
  </si>
  <si>
    <t>99</t>
  </si>
  <si>
    <t>90</t>
  </si>
  <si>
    <t>GERİYE KALAN</t>
  </si>
  <si>
    <t>Firuz Film</t>
  </si>
  <si>
    <t>BRAVE</t>
  </si>
  <si>
    <t>CESUR</t>
  </si>
  <si>
    <t>THE PACT</t>
  </si>
  <si>
    <t>Preferred</t>
  </si>
  <si>
    <t>RUH</t>
  </si>
  <si>
    <t>LE TABLEAU</t>
  </si>
  <si>
    <t>Be Film</t>
  </si>
  <si>
    <t>MUTLULUĞA BOYA BENİ</t>
  </si>
  <si>
    <t>96</t>
  </si>
  <si>
    <t>France 2</t>
  </si>
  <si>
    <t>80</t>
  </si>
  <si>
    <t>94</t>
  </si>
  <si>
    <t>RESIDENT EVİL 5: İNTİKAM</t>
  </si>
  <si>
    <t>ARAF</t>
  </si>
  <si>
    <t>L'AMOUR DURE TROIS ANS</t>
  </si>
  <si>
    <t>Europe</t>
  </si>
  <si>
    <t>Mars Prodüksiyon, R Film.</t>
  </si>
  <si>
    <t>AŞKIN ÖMRÜ ÜÇ YILDIR</t>
  </si>
  <si>
    <t>EKİM</t>
  </si>
  <si>
    <t>10 AY</t>
  </si>
  <si>
    <t>Medusa</t>
  </si>
  <si>
    <t>ROMA'YA SEVGİLERLE</t>
  </si>
  <si>
    <t>TO ROME WITH LOVE</t>
  </si>
  <si>
    <t>ÇANAKKALE ÇOCUKLARI</t>
  </si>
  <si>
    <t>Plato Film</t>
  </si>
  <si>
    <t>N'APCAZ ŞİMDİ?</t>
  </si>
  <si>
    <t>Özgür Yapım</t>
  </si>
  <si>
    <t>REC 3: DİRİLİŞ</t>
  </si>
  <si>
    <t>(REC) 3: GENESIS</t>
  </si>
  <si>
    <t>Kurmaca, Mars Prodüksiyon.</t>
  </si>
  <si>
    <t>109</t>
  </si>
  <si>
    <t>ASLAN KRAL</t>
  </si>
  <si>
    <t>SAMMY'S AVONTUREN 2</t>
  </si>
  <si>
    <t>SAMMY'NİN MACERALARI 2</t>
  </si>
  <si>
    <t>Nwave Pictures</t>
  </si>
  <si>
    <t>UTOMLENNYE SOLNTSEM 2</t>
  </si>
  <si>
    <t>GÜNEŞ YANIĞI 2</t>
  </si>
  <si>
    <t>Golden Eagle</t>
  </si>
  <si>
    <t>TAKEN 2</t>
  </si>
  <si>
    <t>TAKİP: İSTANBUL</t>
  </si>
  <si>
    <t>SHADOW DANCER</t>
  </si>
  <si>
    <t>GÖLGEDE DANS</t>
  </si>
  <si>
    <t>CENNETTEKİ ÇÖPLÜK</t>
  </si>
  <si>
    <t>DER MULL IM GARTEN EDEN</t>
  </si>
  <si>
    <t>TOT ALTIJD</t>
  </si>
  <si>
    <t>HAYATIMIN KARARI</t>
  </si>
  <si>
    <t>Eyeworks</t>
  </si>
  <si>
    <t>ÇILGIN, APTAL, AŞK.</t>
  </si>
  <si>
    <t>UZUN HİKAYE</t>
  </si>
  <si>
    <t>Sinegraf</t>
  </si>
  <si>
    <t>TETİKÇİLER</t>
  </si>
  <si>
    <t>LOOPER</t>
  </si>
  <si>
    <t>El Deseo</t>
  </si>
  <si>
    <t>OĞLUM BAK GİT</t>
  </si>
  <si>
    <t>Motec</t>
  </si>
  <si>
    <t>PARANORMAL ACTIVITY 4</t>
  </si>
  <si>
    <t>HYSTERIA</t>
  </si>
  <si>
    <t>MUTLU ET BENİ</t>
  </si>
  <si>
    <t>ÇANAKKALE 1915</t>
  </si>
  <si>
    <t>Informant</t>
  </si>
  <si>
    <t>THE ANGEL'S SHARE</t>
  </si>
  <si>
    <t>MELEKLERİN PAYI</t>
  </si>
  <si>
    <t>CLOUD ATLAS</t>
  </si>
  <si>
    <t>BULUT ATLASI</t>
  </si>
  <si>
    <t>FASLE KARGADAN</t>
  </si>
  <si>
    <t>Mij Film</t>
  </si>
  <si>
    <t>GERGEDAN MEVSİMİ</t>
  </si>
  <si>
    <t>74</t>
  </si>
  <si>
    <t>SKYFALL</t>
  </si>
  <si>
    <t>SKYFALL 007</t>
  </si>
  <si>
    <t>EVİM SENSİN</t>
  </si>
  <si>
    <t>BABAMIN SESİ</t>
  </si>
  <si>
    <t>HAYALİMDEKİ AŞK</t>
  </si>
  <si>
    <t>Avşar Film - Dnz Film</t>
  </si>
  <si>
    <t>Perişan Film</t>
  </si>
  <si>
    <t>RUBY SPARKS</t>
  </si>
  <si>
    <t>KASIM</t>
  </si>
  <si>
    <t>11 AY</t>
  </si>
  <si>
    <t>SESSİZ TEPE: KARABASAN</t>
  </si>
  <si>
    <t>SILENT HILL: REVELATION 3D</t>
  </si>
  <si>
    <t>FRIENDS WITH KIDS</t>
  </si>
  <si>
    <t>MÜKEMMEL PLAN</t>
  </si>
  <si>
    <t>Konami</t>
  </si>
  <si>
    <t>Locomotive</t>
  </si>
  <si>
    <t>THE MASTER</t>
  </si>
  <si>
    <t>DAĞ</t>
  </si>
  <si>
    <t>Çağlar Arts, Mars Entertainment.</t>
  </si>
  <si>
    <t>GÖZETLEME KULESİ</t>
  </si>
  <si>
    <t>ALACAKARANLIK EFSANESİ: ŞAFAK VAKTİ BÖLÜM 2</t>
  </si>
  <si>
    <t>THE TWILIGHT SAGA: BREAKING DAWN - PART II</t>
  </si>
  <si>
    <t>ALACAKARANLIK EFSANESİ: ŞAFAK VAKTİ BÖLÜM 1</t>
  </si>
  <si>
    <t>Mediapro</t>
  </si>
  <si>
    <t>Sine Film</t>
  </si>
  <si>
    <t>MUTLULUK ASLA YALNIZ GELMEZ</t>
  </si>
  <si>
    <t>UN BONHEUR N'ARRIVE JAMAIS SEUL</t>
  </si>
  <si>
    <t>TF1 Films</t>
  </si>
  <si>
    <t>MOSKOVA'NIN ŞİFRESİ TEMEL</t>
  </si>
  <si>
    <t>MOSKOVA'NIN ŞİFRESİ: TEMEL</t>
  </si>
  <si>
    <t>HOTEL TRANSYLVANIA</t>
  </si>
  <si>
    <t>OTEL TRANSİLVANYA</t>
  </si>
  <si>
    <t>ARALIK</t>
  </si>
  <si>
    <t>12 AY</t>
  </si>
  <si>
    <t>ARGO</t>
  </si>
  <si>
    <t>OPERASYON: ARGO</t>
  </si>
  <si>
    <t>VAN GÖLÜ CANAVARI</t>
  </si>
  <si>
    <t>Adar Medya</t>
  </si>
  <si>
    <t>7 DIAS EN LA HABANA</t>
  </si>
  <si>
    <t>Morena</t>
  </si>
  <si>
    <t>HAVANA'DA 7 GÜN</t>
  </si>
  <si>
    <t>SİMURG</t>
  </si>
  <si>
    <t>Simurg Film</t>
  </si>
  <si>
    <t>GÖRÜNMEYENLER</t>
  </si>
  <si>
    <t>AC Yapım</t>
  </si>
  <si>
    <t>ÇAKALLARLA DANS 2: HASTASIYIZ DEDE</t>
  </si>
  <si>
    <t>UÇUŞ</t>
  </si>
  <si>
    <t>FLIGHT</t>
  </si>
  <si>
    <t>THE WORDS</t>
  </si>
  <si>
    <t>DINO TIME</t>
  </si>
  <si>
    <t>BENİM ANNEM BİR DİNOZOR</t>
  </si>
  <si>
    <t>ÇALINTI HAYAT</t>
  </si>
  <si>
    <t>Serena Films</t>
  </si>
  <si>
    <t>Mtriad Pictures</t>
  </si>
  <si>
    <t>AÇLIĞA DOYMAK</t>
  </si>
  <si>
    <t>ZS Film</t>
  </si>
  <si>
    <t>68</t>
  </si>
  <si>
    <t>HOBBIT: BEKLENMEDİK YOLCULUK</t>
  </si>
  <si>
    <t>THE HOBBIT: AN EXPECTED JOURNEY</t>
  </si>
  <si>
    <t>TEPENİN ARDI</t>
  </si>
  <si>
    <t>SEN DÜNYAYA GELMEDEN</t>
  </si>
  <si>
    <t>VENUTO AL MONDO</t>
  </si>
  <si>
    <t>LAZ VAMPİR TİRAKULA</t>
  </si>
  <si>
    <t>Machael</t>
  </si>
  <si>
    <t>BANA BİR SOYGUN YAZ</t>
  </si>
  <si>
    <t>Eser Yapım</t>
  </si>
  <si>
    <t>SÜMELA'NIN ŞİFRESİ: TEMEL</t>
  </si>
  <si>
    <t>BACHELORETTE</t>
  </si>
  <si>
    <t>BEKARLIĞA VEDA</t>
  </si>
  <si>
    <t>Gary Sanchez</t>
  </si>
  <si>
    <t>KILLING THEM SOFTLY</t>
  </si>
  <si>
    <t>KİBARCA ÖLDÜRMEK</t>
  </si>
  <si>
    <t>Plan B</t>
  </si>
  <si>
    <t>ELVEDA KATYA</t>
  </si>
  <si>
    <t>KOD ADI VENÜS</t>
  </si>
  <si>
    <t>24 Kare</t>
  </si>
  <si>
    <t>Yakın Doğu</t>
  </si>
  <si>
    <t>F TİPİ FİLM</t>
  </si>
  <si>
    <t>İdil K. M.</t>
  </si>
  <si>
    <t>JACK REACHER</t>
  </si>
  <si>
    <t>70</t>
  </si>
  <si>
    <t>AMOUR</t>
  </si>
  <si>
    <t>AŞK</t>
  </si>
  <si>
    <t>Wega</t>
  </si>
  <si>
    <t>MONSIEUR LAZHAR</t>
  </si>
  <si>
    <t>Kurmaca Film</t>
  </si>
  <si>
    <t>CANIM ÖĞRETMENİM</t>
  </si>
  <si>
    <t>Microscope</t>
  </si>
  <si>
    <t>RED LIGHTS</t>
  </si>
  <si>
    <t>Parlay</t>
  </si>
  <si>
    <t>MEDYUM</t>
  </si>
  <si>
    <t>HTR2B: DÖNÜŞÜM</t>
  </si>
  <si>
    <t>Kara Film, Fono Film.</t>
  </si>
  <si>
    <t>LIFE OF PI</t>
  </si>
  <si>
    <t>Pİ'NİN YAŞAMI</t>
  </si>
  <si>
    <t>KIYAMET GÜNÜ</t>
  </si>
  <si>
    <t>Telecinco</t>
  </si>
  <si>
    <t>LO IMPOSIBLE</t>
  </si>
  <si>
    <t>ANNA KARENINA</t>
  </si>
  <si>
    <t>-</t>
  </si>
  <si>
    <t>Türkiye Haftalık Bilet Satışı ve Hasılat Raporu</t>
  </si>
  <si>
    <r>
      <t xml:space="preserve">Hasılat </t>
    </r>
    <r>
      <rPr>
        <b/>
        <sz val="7"/>
        <color indexed="10"/>
        <rFont val="Wingdings 3"/>
        <family val="1"/>
      </rPr>
      <t>q</t>
    </r>
  </si>
  <si>
    <t>Bilet Satış</t>
  </si>
  <si>
    <t>1 Bilet</t>
  </si>
  <si>
    <t>G.B.O. / Hasılat</t>
  </si>
  <si>
    <t>Adm. / Bilet Satış</t>
  </si>
  <si>
    <t>Türkiye Bilet Satışı ve Hasılat Raporu</t>
  </si>
  <si>
    <t>Week total</t>
  </si>
  <si>
    <t>Hafta toplam</t>
  </si>
  <si>
    <t>Weekend total</t>
  </si>
  <si>
    <t>UMUT IŞIĞIM</t>
  </si>
  <si>
    <t>TRESPASS</t>
  </si>
  <si>
    <t>YAKIN TEHDİT</t>
  </si>
  <si>
    <t>Mars Productions</t>
  </si>
  <si>
    <t>Millennium</t>
  </si>
  <si>
    <t>CM101MMXI FUNDAMENTALS</t>
  </si>
  <si>
    <t>CEM YILMAZ'DAN GÖSTERİ</t>
  </si>
  <si>
    <t>Cmylmz Fikir Sanat</t>
  </si>
  <si>
    <t>BEASTS OF THE SOUTHERN WILD</t>
  </si>
  <si>
    <t>DÜŞLER DİYARI</t>
  </si>
  <si>
    <t>Journeyman Pictures</t>
  </si>
  <si>
    <t>ARBITRAGE</t>
  </si>
  <si>
    <t>LAWLESS</t>
  </si>
  <si>
    <t>ENTRİKA</t>
  </si>
  <si>
    <t>KANUNSUZLAR</t>
  </si>
  <si>
    <t>Green Room</t>
  </si>
  <si>
    <t>Red Wagon</t>
  </si>
  <si>
    <t>KARAOĞLAN</t>
  </si>
  <si>
    <t>Tmc Film</t>
  </si>
  <si>
    <t>RISE OF THE GUARDIANS</t>
  </si>
  <si>
    <t>EFSANE BEŞLİ</t>
  </si>
  <si>
    <t>BROKEN CITY</t>
  </si>
  <si>
    <t>BİTİK ŞEHİR</t>
  </si>
  <si>
    <t>CELAL İLE CEREN</t>
  </si>
  <si>
    <t>Çamaşırhane</t>
  </si>
  <si>
    <t>MAMA</t>
  </si>
  <si>
    <t>Toma 78</t>
  </si>
  <si>
    <t>SES</t>
  </si>
  <si>
    <t>G.D.O. KARAKEDİ</t>
  </si>
  <si>
    <t>Setra Film</t>
  </si>
  <si>
    <t>ZARAFA</t>
  </si>
  <si>
    <t>Pathe</t>
  </si>
  <si>
    <t>PARKER</t>
  </si>
  <si>
    <t>Sidney Kimmel</t>
  </si>
  <si>
    <t>MARCO MACACO</t>
  </si>
  <si>
    <t>KAHRAMAN MAYMUN</t>
  </si>
  <si>
    <t>Nice Ninja</t>
  </si>
  <si>
    <t>NO</t>
  </si>
  <si>
    <t>Fabula</t>
  </si>
  <si>
    <t>DJANGO UNCHAINED</t>
  </si>
  <si>
    <t>ZİNCİRSİZ</t>
  </si>
  <si>
    <t>MOVIE 43</t>
  </si>
  <si>
    <t>ÇATLAK FİLM</t>
  </si>
  <si>
    <t>HÜKÜMET KADIN</t>
  </si>
  <si>
    <t>HANSEL &amp; GRETEL: WITCH HUNTERS</t>
  </si>
  <si>
    <t>Bkm Film</t>
  </si>
  <si>
    <t>HANSEL VE GRETEL: CADI AVCILARI</t>
  </si>
  <si>
    <t>ZERO DARK THIRTY</t>
  </si>
  <si>
    <t>LINCOLN</t>
  </si>
  <si>
    <t>PENGUEN KING 3D</t>
  </si>
  <si>
    <t>PENGUIN KRAL</t>
  </si>
  <si>
    <t>Sky 3D</t>
  </si>
  <si>
    <t>MUTLU AİLE DEFTERİ</t>
  </si>
  <si>
    <t>Tim's</t>
  </si>
  <si>
    <t>DUPA DEALURI</t>
  </si>
  <si>
    <t>TEPELERİN ARDINDA</t>
  </si>
  <si>
    <t>Mobra</t>
  </si>
  <si>
    <t>BORNOVA BORNOVA</t>
  </si>
  <si>
    <t>Temelkuran Film</t>
  </si>
  <si>
    <t>OCEANWORLD 3D</t>
  </si>
  <si>
    <t>OKYANUS DÜNYASI 3D</t>
  </si>
  <si>
    <t>3D Entertainment</t>
  </si>
  <si>
    <t>TAŞ MEKTEP</t>
  </si>
  <si>
    <t>Statu Film</t>
  </si>
  <si>
    <t>ROMANTİK KOMEDİ 2: BEKARLIĞA VEDA</t>
  </si>
  <si>
    <t>Boyut Film</t>
  </si>
  <si>
    <t>A GOOD DAY TO DIE HARD</t>
  </si>
  <si>
    <t>ÖLMEK İÇİN GÜZEL BİR GÜN</t>
  </si>
  <si>
    <t>PIETA</t>
  </si>
  <si>
    <t>WRECK-IT RALPH</t>
  </si>
  <si>
    <t>OYUNBOZAN RALPH</t>
  </si>
  <si>
    <t>55</t>
  </si>
  <si>
    <t>THE SESSIONS</t>
  </si>
  <si>
    <t>AŞK SEANSLARI</t>
  </si>
  <si>
    <t>KELEBEĞİN RÜYASI</t>
  </si>
  <si>
    <t>Annapurna</t>
  </si>
  <si>
    <t>Such Much Films</t>
  </si>
  <si>
    <t>Good Film</t>
  </si>
  <si>
    <t>52</t>
  </si>
  <si>
    <t>HİTİTYA: MADALYONUN SIRRI</t>
  </si>
  <si>
    <t>Zincidi Film</t>
  </si>
  <si>
    <t>GANGSTER SQUAD</t>
  </si>
  <si>
    <t>SUÇ ÇETESİ</t>
  </si>
  <si>
    <t>BEAUTIFUL CREATURES</t>
  </si>
  <si>
    <t>MUHTEŞEM YARATIKLAR</t>
  </si>
  <si>
    <t>LES MISERABLES</t>
  </si>
  <si>
    <t>SEFİLLER</t>
  </si>
  <si>
    <t>MONSTER INC.</t>
  </si>
  <si>
    <t>THE ODD LIFE OF TIMOTHY GREEN</t>
  </si>
  <si>
    <t>SEVİMLİ CANAVARLAR</t>
  </si>
  <si>
    <t>XOCA</t>
  </si>
  <si>
    <t>Baki Film</t>
  </si>
  <si>
    <t>HOCA</t>
  </si>
  <si>
    <t>TIMOTHY GREEN'İN SIRADIŞI YAŞAMI</t>
  </si>
  <si>
    <t>UZUN BOYLU ESMER ADAM</t>
  </si>
  <si>
    <t>YOU WILL MEET A TALL DARK STRANGER</t>
  </si>
  <si>
    <t>,</t>
  </si>
  <si>
    <t>MONSTER-IN-LAW</t>
  </si>
  <si>
    <t>VAY KAYNANAM VAY</t>
  </si>
  <si>
    <t>ELLES</t>
  </si>
  <si>
    <t>KADINLAR</t>
  </si>
  <si>
    <t>TO THE WONDER</t>
  </si>
  <si>
    <t>AŞKIN İZLERİ</t>
  </si>
  <si>
    <t>GELMEYEN BAHAR</t>
  </si>
  <si>
    <t>Yağmur Yapım</t>
  </si>
  <si>
    <t>OZ THE GREAT AND THE POWERFUL</t>
  </si>
  <si>
    <t>MUHTEŞEM VE KUDRETLİ OZ</t>
  </si>
  <si>
    <t>EVE DÖNÜŞ: SARIKAMIŞ 1915</t>
  </si>
  <si>
    <t>Mars - Böcek - Bubi Film</t>
  </si>
  <si>
    <t>Redbud</t>
  </si>
  <si>
    <t>THE LONELIEST PLANET</t>
  </si>
  <si>
    <t>YALNIZ GEZEGEN</t>
  </si>
  <si>
    <t>JİN</t>
  </si>
  <si>
    <t>Atlantik</t>
  </si>
  <si>
    <t>LAS AVENTURAS DE TADEO JONES</t>
  </si>
  <si>
    <t>Lightbox</t>
  </si>
  <si>
    <t>HAZİNE AVCISININ MACERALARI</t>
  </si>
  <si>
    <t>THE BARRENS</t>
  </si>
  <si>
    <t>Empire Film</t>
  </si>
  <si>
    <t>ŞEYTANIN ORMANI</t>
  </si>
  <si>
    <t>AŞK KIRMIZI</t>
  </si>
  <si>
    <t>ÇANAKKALE: YOLUN SONU</t>
  </si>
  <si>
    <t>TT Film, Fono Film.</t>
  </si>
  <si>
    <t>Flying Moon</t>
  </si>
  <si>
    <t>JACK THE GIANT SLAYER</t>
  </si>
  <si>
    <t>DEV AVCISI JACK</t>
  </si>
  <si>
    <t>ON THE ROAD</t>
  </si>
  <si>
    <t>Bir Fİlm</t>
  </si>
  <si>
    <t>YOLDA</t>
  </si>
  <si>
    <t>MAHMUT İLE MERYEM</t>
  </si>
  <si>
    <t>THE IMPOSTER</t>
  </si>
  <si>
    <t>HAYAT AVCISI</t>
  </si>
  <si>
    <t>Randy Murray</t>
  </si>
  <si>
    <t>SABİT KANCA</t>
  </si>
  <si>
    <t>Muhteşem Film</t>
  </si>
  <si>
    <t>SEVEN PSYCHOPATS</t>
  </si>
  <si>
    <t>YEDİ PSİKOPAT</t>
  </si>
  <si>
    <t>PARTİ TIRTILLARI</t>
  </si>
  <si>
    <t>Sola Media</t>
  </si>
  <si>
    <t>SUNSHINE BARRY AND THE DISCO WORMS</t>
  </si>
  <si>
    <t>SELAM</t>
  </si>
  <si>
    <t>Neyir Film</t>
  </si>
  <si>
    <t>TRES METROS SOBRE EL CIELO</t>
  </si>
  <si>
    <t>Spot Film</t>
  </si>
  <si>
    <t>AŞKA YÜKSELİŞ</t>
  </si>
  <si>
    <t>Zeda</t>
  </si>
  <si>
    <t>HITCHCOCK</t>
  </si>
  <si>
    <t>SINISTER</t>
  </si>
  <si>
    <t>Alliance</t>
  </si>
  <si>
    <t>G.I. JOE: RETALIATION</t>
  </si>
  <si>
    <t>G.I. JOE: MİSİLLEME</t>
  </si>
  <si>
    <t>GLUCK</t>
  </si>
  <si>
    <t>MUTLULUK</t>
  </si>
  <si>
    <t>THE COLLECTION</t>
  </si>
  <si>
    <t>Horizon</t>
  </si>
  <si>
    <t>KOLEKSİYONCU 2</t>
  </si>
  <si>
    <t>WARM BODIES</t>
  </si>
  <si>
    <t>SICAK KALPLER</t>
  </si>
  <si>
    <t>NOW IS GOOD</t>
  </si>
  <si>
    <t>AŞK, ŞİMDİ</t>
  </si>
  <si>
    <t>Fortress</t>
  </si>
  <si>
    <t>BROKEN</t>
  </si>
  <si>
    <t>KOŞULSUZ SEVGİ</t>
  </si>
  <si>
    <t>PASSION</t>
  </si>
  <si>
    <t>ÖLDÜREN TUTKU</t>
  </si>
  <si>
    <t>Integral</t>
  </si>
  <si>
    <t>EL-CİN</t>
  </si>
  <si>
    <t>SNEZHNAYA KOROLEVA</t>
  </si>
  <si>
    <t>KARLAR KRALİÇESİ</t>
  </si>
  <si>
    <t>Fono Film, J Plan.</t>
  </si>
  <si>
    <t>Inlay</t>
  </si>
  <si>
    <t>THE PAPERBOY</t>
  </si>
  <si>
    <t>GAZETECİ ÇOCUK</t>
  </si>
  <si>
    <t>CROOD'S</t>
  </si>
  <si>
    <t>CROOD'LAR</t>
  </si>
  <si>
    <t>ATATÜRK'ÜN FEDAİSİ TOPAL OSMAN: CUMHURİYETE GİDEN YOL</t>
  </si>
  <si>
    <t>SCARY MOVIE 5</t>
  </si>
  <si>
    <t>ZERRE</t>
  </si>
  <si>
    <t>Kule Film</t>
  </si>
  <si>
    <t>Tanweer</t>
  </si>
  <si>
    <t>KORKUNÇ BİR FİLM 5</t>
  </si>
  <si>
    <t>OBLIVION</t>
  </si>
  <si>
    <t>Karakılıç Film</t>
  </si>
  <si>
    <t>Codex Medya</t>
  </si>
  <si>
    <t>THE REEF 2: HIGH TIDE</t>
  </si>
  <si>
    <t>CESUR BALIK 2</t>
  </si>
  <si>
    <t>WonderWorld</t>
  </si>
  <si>
    <t>YABANCI</t>
  </si>
  <si>
    <t>Filmoda</t>
  </si>
  <si>
    <t>TEKSAS KATLİAMI 3D</t>
  </si>
  <si>
    <t>TEXAS CHAINSEW MASSACARE 3D</t>
  </si>
  <si>
    <t>GEÇİT YOK</t>
  </si>
  <si>
    <t>Di Bonaventura</t>
  </si>
  <si>
    <t>FINDING NEMO</t>
  </si>
  <si>
    <t>KAYIP BALIK NEMO</t>
  </si>
  <si>
    <t>THE LAST STAND</t>
  </si>
  <si>
    <t>STOLEN</t>
  </si>
  <si>
    <t>SUÇ ORTAĞI</t>
  </si>
  <si>
    <t>Millenium</t>
  </si>
  <si>
    <t>EVIL DEAD</t>
  </si>
  <si>
    <t>KÖTÜ RUH</t>
  </si>
  <si>
    <t>TriStar</t>
  </si>
  <si>
    <t>BAHAR İSYANCIDIR</t>
  </si>
  <si>
    <t>Oyuncular P.</t>
  </si>
  <si>
    <t>OYUNCULAR P.</t>
  </si>
  <si>
    <t xml:space="preserve"> </t>
  </si>
  <si>
    <t>KUMA</t>
  </si>
  <si>
    <t>DEAD MAN DOWN</t>
  </si>
  <si>
    <t>HİLE YOLU</t>
  </si>
  <si>
    <t>Pancard</t>
  </si>
  <si>
    <t>Moviebox</t>
  </si>
  <si>
    <t>İNTİKAM BENİM</t>
  </si>
  <si>
    <t>Frequency Films</t>
  </si>
  <si>
    <t>Wega Film</t>
  </si>
  <si>
    <t>QÜFÜR</t>
  </si>
  <si>
    <t>7. Sanat Sinema</t>
  </si>
  <si>
    <t>SIDE EFFECTS</t>
  </si>
  <si>
    <t>ACI REÇETE</t>
  </si>
  <si>
    <t>YÜK</t>
  </si>
  <si>
    <t>TFT Yapım</t>
  </si>
  <si>
    <t>DJECA</t>
  </si>
  <si>
    <t>ÇOCUKLAR</t>
  </si>
  <si>
    <t>Film House</t>
  </si>
  <si>
    <t>STOKER</t>
  </si>
  <si>
    <t>LANETLİ KAN: MASUMİYETİN SONU</t>
  </si>
  <si>
    <t>GREAT EXPECTATION</t>
  </si>
  <si>
    <t>BÜYÜK UMUTLAR</t>
  </si>
  <si>
    <t>DE ROUILLE ET D'OS</t>
  </si>
  <si>
    <t>PAS VE KEMİK</t>
  </si>
  <si>
    <t>Why Not</t>
  </si>
  <si>
    <t>STAND UP GUYS</t>
  </si>
  <si>
    <t>ESKİ DOSTLAR</t>
  </si>
  <si>
    <t>DE L'AUTRE COTE DU PERIPH</t>
  </si>
  <si>
    <t>ZORAKİ İKİLİ</t>
  </si>
  <si>
    <t>IRON MAN 3</t>
  </si>
  <si>
    <t>BİR GEVREK BİR BOYOZ İKİ DE KUMRU</t>
  </si>
  <si>
    <t>Mostra Film</t>
  </si>
  <si>
    <t>MAX ADVENTURES: DINOTERRA</t>
  </si>
  <si>
    <t>MAX MACERALARI: DİNOTERRA</t>
  </si>
  <si>
    <t>Unilever</t>
  </si>
  <si>
    <t>The Monk</t>
  </si>
  <si>
    <t>MUHALİF BAŞKAN</t>
  </si>
  <si>
    <t>Cnm Film</t>
  </si>
  <si>
    <t>BEKAS</t>
  </si>
  <si>
    <t>NEREDESİN SÜPERMEN?</t>
  </si>
  <si>
    <t>Sonet</t>
  </si>
  <si>
    <t>BİR HİKAYEM VAR</t>
  </si>
  <si>
    <t>Kuzey Film</t>
  </si>
  <si>
    <t>İKİ DİL BİR BAVUL</t>
  </si>
  <si>
    <t>Perişan Film, Bulut Film.</t>
  </si>
  <si>
    <t>SPRING BREAKERS</t>
  </si>
  <si>
    <t>BAHAR TATİLİ</t>
  </si>
  <si>
    <t>Muse</t>
  </si>
  <si>
    <t>SON AYİN 2</t>
  </si>
  <si>
    <t>THE LAST EXORCISM PART II</t>
  </si>
  <si>
    <t>Arcade</t>
  </si>
  <si>
    <t>BARFI!</t>
  </si>
  <si>
    <t>BERNIE</t>
  </si>
  <si>
    <t>Majestic Film</t>
  </si>
  <si>
    <t>Castle Rock</t>
  </si>
  <si>
    <t>Bernie'nin Suçu Ne</t>
  </si>
  <si>
    <t>IDENTITY THIEF</t>
  </si>
  <si>
    <t>KİMLİK HIRSIZI</t>
  </si>
  <si>
    <t>LOS AMANTES PASAJEROS</t>
  </si>
  <si>
    <t>AKLIMI OYNATACAĞIM</t>
  </si>
  <si>
    <t>EKSK SYFLR</t>
  </si>
  <si>
    <t>İlter Yapım</t>
  </si>
  <si>
    <t>EKSİK SAYFALAR</t>
  </si>
  <si>
    <t>GİTME BABA</t>
  </si>
  <si>
    <t>OLYMPUS HAS FALLEN</t>
  </si>
  <si>
    <t>KOD ADI: OLYMPUS</t>
  </si>
  <si>
    <t>Utv Motion</t>
  </si>
  <si>
    <t>BARFİ: AŞKIN DİLE İHTİYACI YOKTUR</t>
  </si>
  <si>
    <t>Filmekibi</t>
  </si>
  <si>
    <t>Arte France</t>
  </si>
  <si>
    <t>Marathon</t>
  </si>
  <si>
    <t>Aksoy Yapım</t>
  </si>
  <si>
    <t>THE GREAT GATSBY</t>
  </si>
  <si>
    <t>MUHTEŞEM GATSBY</t>
  </si>
  <si>
    <t>NO ONE LIVES</t>
  </si>
  <si>
    <t>HERKES ÖLECEK</t>
  </si>
  <si>
    <t>HORROR STORIES</t>
  </si>
  <si>
    <t>UMUT ÜZÜMLERİ</t>
  </si>
  <si>
    <t>KORKU HİKAYELERİ</t>
  </si>
  <si>
    <t>Rönesans Film</t>
  </si>
  <si>
    <t>Mir Yapım</t>
  </si>
  <si>
    <t>Lotte</t>
  </si>
  <si>
    <t>21 AND OVER</t>
  </si>
  <si>
    <t>ÇILGIN DOĞUMGÜNÜ</t>
  </si>
  <si>
    <t>Mandeville</t>
  </si>
  <si>
    <t>KOĞUŞ AKADEMİSİ</t>
  </si>
  <si>
    <t>Kelebek Film Yapım</t>
  </si>
  <si>
    <t>THE QUARTET</t>
  </si>
  <si>
    <t>Headline</t>
  </si>
  <si>
    <t>Mars Entetrtainment</t>
  </si>
  <si>
    <t>DÖRTLÜ</t>
  </si>
  <si>
    <t>GÜZELLİĞİN ON PAR' ETMEZ…</t>
  </si>
  <si>
    <t>Marangoz Film</t>
  </si>
  <si>
    <t>IO E TE</t>
  </si>
  <si>
    <t>Fiction</t>
  </si>
  <si>
    <t>BEN VE SEN</t>
  </si>
  <si>
    <t>BAŞKALARININ HAYATI</t>
  </si>
  <si>
    <t>DAS LEBEN DER ANDEREN</t>
  </si>
  <si>
    <t>CELESTE &amp; JESSE FOREVER</t>
  </si>
  <si>
    <t>Envision</t>
  </si>
  <si>
    <t>VAZGEÇMEM SENDEN</t>
  </si>
  <si>
    <t>SEARCHING FOR SUGARMAN</t>
  </si>
  <si>
    <t>BİR ŞARKININ PEŞİNDE</t>
  </si>
  <si>
    <t>RedBox</t>
  </si>
  <si>
    <t>FAST &amp; FURIOUS 6</t>
  </si>
  <si>
    <t>HIZLI VE ÖFKELİ 6</t>
  </si>
  <si>
    <t>Etolon</t>
  </si>
  <si>
    <t>s</t>
  </si>
  <si>
    <t>KRAL YOLU</t>
  </si>
  <si>
    <t>A COEUR OVERT</t>
  </si>
  <si>
    <t>Zoom Out</t>
  </si>
  <si>
    <t>Manchester</t>
  </si>
  <si>
    <t>DEN SKALDEDE FRISOR</t>
  </si>
  <si>
    <t>THE RELUCTANT FUNDAMENTALIST</t>
  </si>
  <si>
    <t>CineMosaic</t>
  </si>
  <si>
    <t>ZORAKİ RADİKAL</t>
  </si>
  <si>
    <t>GÜNLERİN KÖPÜĞÜ</t>
  </si>
  <si>
    <t>LE'CUME DES COURS - MOOD INDIGO</t>
  </si>
  <si>
    <t>DANS LA MAISON - IN THE HOUSE</t>
  </si>
  <si>
    <t>EVDE</t>
  </si>
  <si>
    <t>Brio Films</t>
  </si>
  <si>
    <t>Constance</t>
  </si>
  <si>
    <t>SADECE AŞK</t>
  </si>
  <si>
    <t>THE HANGOVER PART III</t>
  </si>
  <si>
    <t>HANGOVER 3: FELEKTEN BİR GECE</t>
  </si>
  <si>
    <t>Legendary</t>
  </si>
  <si>
    <t>A GLIMPSE INSIDE THE MIND OF CHARLES SWAN III</t>
  </si>
  <si>
    <t>Erkek Aklı</t>
  </si>
  <si>
    <t>ERKEK AKLI</t>
  </si>
  <si>
    <t>American Zeotrope</t>
  </si>
  <si>
    <t>DARK SKIES</t>
  </si>
  <si>
    <t>KARANLIKTAN GELEN</t>
  </si>
  <si>
    <t>SİHİRBAZLAR ÇETESİ</t>
  </si>
  <si>
    <t>DOĞAL KAHRAMANLAR 3D</t>
  </si>
  <si>
    <t>EPIC 3D</t>
  </si>
  <si>
    <t>NOW YOU SEE ME</t>
  </si>
  <si>
    <t>DEVİR</t>
  </si>
  <si>
    <t>Focus</t>
  </si>
  <si>
    <t>BURN AFTER READING</t>
  </si>
  <si>
    <t>ARAMIZDA CASUS VAR</t>
  </si>
  <si>
    <t>DRIVE</t>
  </si>
  <si>
    <t>Bold Films</t>
  </si>
  <si>
    <t>SÜRÜCÜ</t>
  </si>
  <si>
    <t>EL SECRETO DE SUS OJOS</t>
  </si>
  <si>
    <t>Tornasol</t>
  </si>
  <si>
    <t>GÖZLERİNDEKİ SIR</t>
  </si>
  <si>
    <t>ELENA</t>
  </si>
  <si>
    <t>Non-Stop</t>
  </si>
  <si>
    <t>ENTELKÖY EFEKÖY'E KARŞI</t>
  </si>
  <si>
    <t>FAUST</t>
  </si>
  <si>
    <t>Proline</t>
  </si>
  <si>
    <t>HAEVNEN</t>
  </si>
  <si>
    <t>Trustnordisk</t>
  </si>
  <si>
    <t>DAHA İYİ BİR DÜNYADA</t>
  </si>
  <si>
    <t>HÜR ADAM</t>
  </si>
  <si>
    <t>KAOS: ÖRÜMCEK AĞI</t>
  </si>
  <si>
    <t>Dada Film</t>
  </si>
  <si>
    <t>Canal +</t>
  </si>
  <si>
    <t>Rectangle</t>
  </si>
  <si>
    <t>MAGNIFICA PRESENZA</t>
  </si>
  <si>
    <t>Fandango</t>
  </si>
  <si>
    <t>ŞAHANE MİSAFİR</t>
  </si>
  <si>
    <t>MELANCHOLIA</t>
  </si>
  <si>
    <t>TrusNordisc</t>
  </si>
  <si>
    <t>MELANKOLİ</t>
  </si>
  <si>
    <t>MOONRISE KINGDOM</t>
  </si>
  <si>
    <t>Scott Rudin</t>
  </si>
  <si>
    <t>NENE HATUN</t>
  </si>
  <si>
    <t>NEN HATUN</t>
  </si>
  <si>
    <t>Sony Pictures</t>
  </si>
  <si>
    <t>POULET AUX PRUNES - CHICKEN WITH PLUMS</t>
  </si>
  <si>
    <t>Celluloid Dreams</t>
  </si>
  <si>
    <t>AZRAİL'İ BEKLERKEN</t>
  </si>
  <si>
    <t>ROUTE IRISH</t>
  </si>
  <si>
    <t>TEHLİKELİ YOL</t>
  </si>
  <si>
    <t>SHAME</t>
  </si>
  <si>
    <t>UTANÇ</t>
  </si>
  <si>
    <t>TAMBIEN LA ILUVIA - EVEN THE RAIN</t>
  </si>
  <si>
    <t>YAĞMURU BİLE</t>
  </si>
  <si>
    <t>THE ARTIST</t>
  </si>
  <si>
    <t>ARTİST</t>
  </si>
  <si>
    <t>Studio Canal</t>
  </si>
  <si>
    <t>THE HUNGER GAMES</t>
  </si>
  <si>
    <t>TINKER TAILOR SOLDIER SPY</t>
  </si>
  <si>
    <t>KÖSTEBEK</t>
  </si>
  <si>
    <t>WE NEED TALK ABOUT KEVIN</t>
  </si>
  <si>
    <t>KEVIN HAKKINDA KONUŞMALIYIZ</t>
  </si>
  <si>
    <t>STAR TREK INTO DARKNESS</t>
  </si>
  <si>
    <t>BULLET TO THE HEAD</t>
  </si>
  <si>
    <t>IM GLOBAL</t>
  </si>
  <si>
    <t>İNTİKAM KURŞUNU</t>
  </si>
  <si>
    <t>SARI SİYAH</t>
  </si>
  <si>
    <t>Maskeli Film</t>
  </si>
  <si>
    <t>ARKADAŞIM MAX</t>
  </si>
  <si>
    <t>THE PATH</t>
  </si>
  <si>
    <t>Fokus Film</t>
  </si>
  <si>
    <t>PARANOYAK</t>
  </si>
  <si>
    <t>BENİM ÇOCUĞUM</t>
  </si>
  <si>
    <t>Surela Film</t>
  </si>
  <si>
    <t>THE PLACE BEYOND THE PINES</t>
  </si>
  <si>
    <t>BABADAN OĞULA</t>
  </si>
  <si>
    <t>Focus Features</t>
  </si>
  <si>
    <t>THE PERKS OF BEING A WALLFLOWER</t>
  </si>
  <si>
    <t>SAKSI OLMANIN FAYDALARI</t>
  </si>
  <si>
    <t>MAN OF STEEL</t>
  </si>
  <si>
    <t>AMOUR &amp; TURBULANCES</t>
  </si>
  <si>
    <t>Reverence</t>
  </si>
  <si>
    <t>HAVADA AŞK VAR</t>
  </si>
  <si>
    <t>TRANCE</t>
  </si>
  <si>
    <t>TRANS</t>
  </si>
  <si>
    <t>ADMISSION</t>
  </si>
  <si>
    <t>BAŞVURU: KABUL</t>
  </si>
  <si>
    <t>SNITCH</t>
  </si>
  <si>
    <t>MUHBİR</t>
  </si>
  <si>
    <t>Depth of Field</t>
  </si>
  <si>
    <t>EL QUINTO MANDAMIENTO</t>
  </si>
  <si>
    <t>BEŞİNCİ EMİR: ÖLÜM</t>
  </si>
  <si>
    <t>Cyclus</t>
  </si>
  <si>
    <t>HYPNOTİSÖREN</t>
  </si>
  <si>
    <t>HİPNOZCU</t>
  </si>
  <si>
    <t>RÜZGARLAR</t>
  </si>
  <si>
    <t>Evci Film</t>
  </si>
  <si>
    <t>Micro_Scoup</t>
  </si>
  <si>
    <t>INCH'ALLAH</t>
  </si>
  <si>
    <t>İNŞALLAH</t>
  </si>
  <si>
    <t>DÜNYA SAVAŞI Z</t>
  </si>
  <si>
    <t>SEVİMLİ CANAVARLAR ÜNİVERSİTESİ</t>
  </si>
  <si>
    <t>WORLD WAR Z</t>
  </si>
  <si>
    <t>MONSTERS UNIVERSITY</t>
  </si>
  <si>
    <t>38 TEMOINS</t>
  </si>
  <si>
    <t>38 ŞAHİT</t>
  </si>
  <si>
    <t>Agats Film</t>
  </si>
  <si>
    <t>Codex Media</t>
  </si>
  <si>
    <t>SILENT HOUSE</t>
  </si>
  <si>
    <t>SESSİZ EV</t>
  </si>
  <si>
    <t>Tazora Films</t>
  </si>
  <si>
    <t>Europa Crop.</t>
  </si>
  <si>
    <t>113</t>
  </si>
  <si>
    <t>AFTER EARTH</t>
  </si>
  <si>
    <t>DÜNYA-YENİ BİR BAŞLANGIÇ</t>
  </si>
  <si>
    <t>LA STRATEGIE DE LA POUSSETTE</t>
  </si>
  <si>
    <t>Mars Entertainment Group</t>
  </si>
  <si>
    <t>AŞK TAKTİKLERİ</t>
  </si>
  <si>
    <t>Sombrero</t>
  </si>
  <si>
    <t>PROMISED LAND</t>
  </si>
  <si>
    <t>KAYIP UMUTLAR</t>
  </si>
  <si>
    <t>ÖLÜM KAPANI</t>
  </si>
  <si>
    <t>DONT CLICK - Mİ-HWAK-IN-DONG-YEONG-SANG</t>
  </si>
  <si>
    <t>Phuoc Sang</t>
  </si>
  <si>
    <t>PROMOCION FANTASMA</t>
  </si>
  <si>
    <t>Ciskul</t>
  </si>
  <si>
    <t>HAYALET ÖĞRENCİLER</t>
  </si>
  <si>
    <t>MORE THAN HONEY</t>
  </si>
  <si>
    <t>BALDAN ACI</t>
  </si>
  <si>
    <t>DEHŞET KASETİ</t>
  </si>
  <si>
    <t>Zero One</t>
  </si>
  <si>
    <t>The Collective</t>
  </si>
  <si>
    <t>V/H/S/2</t>
  </si>
  <si>
    <t>104</t>
  </si>
  <si>
    <t>SUPERSTAR</t>
  </si>
  <si>
    <t>SÜPERSTAR</t>
  </si>
  <si>
    <t>Lifelike Pictures</t>
  </si>
  <si>
    <t>CİNNET</t>
  </si>
  <si>
    <t>KOLLARIMDA KAL</t>
  </si>
  <si>
    <t>MASKELİ SÜVARİ</t>
  </si>
  <si>
    <t>LONE RANGER</t>
  </si>
  <si>
    <t>ONLY GOD FORGIVES</t>
  </si>
  <si>
    <t>SADECE TANRI AFFEDER</t>
  </si>
  <si>
    <t>2 DAYS IN NEW YORK</t>
  </si>
  <si>
    <t>NEW YORK'TA 2 GÜN</t>
  </si>
  <si>
    <t>THE CALL</t>
  </si>
  <si>
    <t>ACİL ARAMA</t>
  </si>
  <si>
    <t>Troika Pictures</t>
  </si>
  <si>
    <t>MODUS ANOMALI</t>
  </si>
  <si>
    <t>Polaris Films</t>
  </si>
  <si>
    <t>Castefiore</t>
  </si>
  <si>
    <t>106</t>
  </si>
  <si>
    <t>BİLİNMEZE DOĞRU: STAR TREK</t>
  </si>
  <si>
    <t>WHITE HOUSE DOWN</t>
  </si>
  <si>
    <t>BEYAZ SARAY DÜŞTÜ</t>
  </si>
  <si>
    <t>Centropolis</t>
  </si>
  <si>
    <t>THE INTERNSHIP</t>
  </si>
  <si>
    <t>ESCAPE FROM THE PLANET EARTH</t>
  </si>
  <si>
    <t>KAHRAMAN UZAYLILAR</t>
  </si>
  <si>
    <t>Blue Yonder</t>
  </si>
  <si>
    <t>GE(N)Ç ÇIRAKLAR</t>
  </si>
  <si>
    <t>LA VALLEE DES LARMES</t>
  </si>
  <si>
    <t>VADİMDEKİ GÖZYAŞI</t>
  </si>
  <si>
    <t>Mia Productions</t>
  </si>
  <si>
    <t>Ser Film</t>
  </si>
  <si>
    <t>Posta Film</t>
  </si>
  <si>
    <t>PAIN &amp; GAIN</t>
  </si>
  <si>
    <t>ZOR KAZANÇ</t>
  </si>
  <si>
    <t>TATLI CADI LİLİ: MANDOLAN'A YOLCULUK</t>
  </si>
  <si>
    <t>Blue Eyes</t>
  </si>
  <si>
    <t>HEXE LILLI: DIE REISE NACH MANDOLAN</t>
  </si>
  <si>
    <t>BİR KADININ GÖZ YAŞI</t>
  </si>
  <si>
    <t>THERESE DESQUEYROUX</t>
  </si>
  <si>
    <t>BEFORE MIDNIGHT</t>
  </si>
  <si>
    <t>GECEYARISINDAN ÖNCE</t>
  </si>
  <si>
    <t>EL CUERPO</t>
  </si>
  <si>
    <t>CESET</t>
  </si>
  <si>
    <t>ONE SMALL HITCH</t>
  </si>
  <si>
    <t>GÖNLÜMÜ ÇALDIN</t>
  </si>
  <si>
    <t>Principle</t>
  </si>
  <si>
    <t>NOT FADE AWAY</t>
  </si>
  <si>
    <t>SEN GİTMEDEN ÖNCE</t>
  </si>
  <si>
    <t>PACIFIC RIM</t>
  </si>
  <si>
    <t>PASİFİK SAVAŞI</t>
  </si>
  <si>
    <t>MANIAC</t>
  </si>
  <si>
    <t>MANYAK</t>
  </si>
  <si>
    <t>SILVER LININGS PLAYBOOK</t>
  </si>
  <si>
    <t>AŞKIN 10 KURALI</t>
  </si>
  <si>
    <t>10 REGOLE PER FARE INNAMORARE</t>
  </si>
  <si>
    <t>Orisa</t>
  </si>
  <si>
    <t>DISCONNECT</t>
  </si>
  <si>
    <t>SANAL HAYATLAR</t>
  </si>
  <si>
    <t>Wonderful</t>
  </si>
  <si>
    <t>SÜPER İNCİR</t>
  </si>
  <si>
    <t>Makas Film</t>
  </si>
  <si>
    <t>KARANLIK CİNAYETLER</t>
  </si>
  <si>
    <t>THE FROZEN GROUND</t>
  </si>
  <si>
    <t>Amber</t>
  </si>
  <si>
    <t>THE WOLVERINE</t>
  </si>
  <si>
    <t>WOLVERİNE</t>
  </si>
  <si>
    <t>SON KONSER</t>
  </si>
  <si>
    <t>Opening Night</t>
  </si>
  <si>
    <t>CAMILLE CLAUDEL, 1915</t>
  </si>
  <si>
    <t>3B Produciton</t>
  </si>
  <si>
    <t>A LATE QUARTET</t>
  </si>
  <si>
    <t>SMURFS 2</t>
  </si>
  <si>
    <t>ŞİRİNLER 2</t>
  </si>
  <si>
    <t>105</t>
  </si>
  <si>
    <t>2 GUNS</t>
  </si>
  <si>
    <t>Red Hill</t>
  </si>
  <si>
    <t>ZORLU İKİLİ</t>
  </si>
  <si>
    <t>Pamdora</t>
  </si>
  <si>
    <t>KUTSAL MOTORLAR</t>
  </si>
  <si>
    <t>HOLY MOTORS</t>
  </si>
  <si>
    <t>DABBE: CİN ÇARPMASI</t>
  </si>
  <si>
    <t>DABBE: CİN ÇAPRMASI</t>
  </si>
  <si>
    <t>RED 2</t>
  </si>
  <si>
    <t>Etelon</t>
  </si>
  <si>
    <t>SAFETY NOT GUARANTEED</t>
  </si>
  <si>
    <t>ZAMAN YOLCULARI</t>
  </si>
  <si>
    <t>Big Beach</t>
  </si>
  <si>
    <t>IMAGINE</t>
  </si>
  <si>
    <t>HAYALLERİN ÖTESİNDE</t>
  </si>
  <si>
    <t>Cando Films</t>
  </si>
  <si>
    <t>EVDEKİ YABANCILAR</t>
  </si>
  <si>
    <t>Biz Film</t>
  </si>
  <si>
    <t>THE HEAT</t>
  </si>
  <si>
    <t>ATEŞLİ AYNASIZLAR</t>
  </si>
  <si>
    <t>Foz</t>
  </si>
  <si>
    <t>JURASSIC PARK 3D</t>
  </si>
  <si>
    <t>ELYSIUM</t>
  </si>
  <si>
    <t>ELYSIUM: YENİ CENNET</t>
  </si>
  <si>
    <t>Marv</t>
  </si>
  <si>
    <t>KICK-ASS 2</t>
  </si>
  <si>
    <t>GÖSTER GÜNÜNÜ 2</t>
  </si>
  <si>
    <t>PERCY JAKSON: SEA OF MONSTERS</t>
  </si>
  <si>
    <t>PERCY JAKSON: CANAVARLAR DENİZİ</t>
  </si>
  <si>
    <t>AT ANY PRICE</t>
  </si>
  <si>
    <t>AİLEM İÇİN</t>
  </si>
  <si>
    <t>Black Bear</t>
  </si>
  <si>
    <t>LORE</t>
  </si>
  <si>
    <t>Rohfilm</t>
  </si>
  <si>
    <t>SAVAŞIN GÖLGESİNDE</t>
  </si>
  <si>
    <t>JOBS</t>
  </si>
  <si>
    <t>Devoted</t>
  </si>
  <si>
    <t>FREELANCERS</t>
  </si>
  <si>
    <t>KİRLİ OYUN</t>
  </si>
  <si>
    <t>Cheetah</t>
  </si>
  <si>
    <t>TEPE'NİN UŞAKLARI</t>
  </si>
  <si>
    <t>Hamsimedya</t>
  </si>
  <si>
    <t>Distribution company</t>
  </si>
  <si>
    <t>Dağıtım</t>
  </si>
  <si>
    <t>GROWN UPS 2</t>
  </si>
  <si>
    <t>BÜYÜKLER 2</t>
  </si>
  <si>
    <t>PLANES</t>
  </si>
  <si>
    <t>Disneytoon Studios</t>
  </si>
  <si>
    <t>UÇAKLAR</t>
  </si>
  <si>
    <t>I GIVE IT YEAR</t>
  </si>
  <si>
    <t>BU AŞK FAZLA SÜRMEZ</t>
  </si>
  <si>
    <t>Paradis Films</t>
  </si>
  <si>
    <t>THE COMPANY YOU KEEP</t>
  </si>
  <si>
    <t>GEÇMİŞİN SIRLARI</t>
  </si>
  <si>
    <t>ŞEYTAN TOHUMU</t>
  </si>
  <si>
    <t>THE POSSESSION</t>
  </si>
  <si>
    <t>Ghost House</t>
  </si>
  <si>
    <t>R Film, Mars Production.</t>
  </si>
  <si>
    <t>Box Office Antrakt -30 Ağustos-5 Eylül  2013 -35. Hafta Gişe Verileri</t>
  </si>
  <si>
    <t>Box Office Antrakt - 30 Ağustos - 1 Eylül 2013 - 35. Haftasonu Gişe Verileri</t>
  </si>
  <si>
    <t>THIS IS US</t>
  </si>
  <si>
    <t>ONE DIRECTION: THIS IS US</t>
  </si>
  <si>
    <t>THE CONJURING</t>
  </si>
  <si>
    <t>KORKU SEANSI</t>
  </si>
  <si>
    <t>THE MORTAL INSTRUMENTS: CITY OF BONES</t>
  </si>
  <si>
    <t>ÖLÜMCÜL OYUNCAKLAR: KEMİKLER ŞEHRİ</t>
  </si>
  <si>
    <t>TESIS SOBRE UN HOMICIDIO</t>
  </si>
  <si>
    <t>CİNAYET TEZİ</t>
  </si>
  <si>
    <t>Burman</t>
  </si>
  <si>
    <t>CLOSED CIRCUIT</t>
  </si>
  <si>
    <t>KAPALI DEVRE</t>
  </si>
  <si>
    <t>APARTMENT 1303</t>
  </si>
  <si>
    <t>DAİRE 1303</t>
  </si>
  <si>
    <t>Monte Cristo</t>
  </si>
  <si>
    <t>BAIT</t>
  </si>
  <si>
    <t>YEM 3D</t>
  </si>
  <si>
    <t>Arclight</t>
  </si>
  <si>
    <t>Box Office Antrakt - 30 Ağustos - 5 Eylül 2013 - 35. Hafta Gişe Verileri</t>
  </si>
  <si>
    <t>2013'S EX YEARS RELASES - 2013'DE GÖSTERİLEN ÖNCEKİ YILLARIN VİZYON FİLMLERİ / 4.1.2013-5.9.2013</t>
  </si>
  <si>
    <t>2013'S NEW RELASES - 2013'DE GÖSTERİME İLK KEZ ÇIKAN VİZYON FİLMLERİ / 4.1.2013-5.9.2013</t>
  </si>
  <si>
    <t>2013'S NEW TURKISH FILM RELASES - 2013'DE GÖSTERİME İLK KEZ ÇIKAN TÜRKİYE YAPIMI VİZYON FİLMLERİ / 4.1.2013-5.9.2013</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</si>
</sst>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 numFmtId="214" formatCode="#,##0_);\(#,##0\)"/>
    <numFmt numFmtId="215" formatCode="#,##0.000"/>
  </numFmts>
  <fonts count="128">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sz val="8"/>
      <name val="Verdana"/>
      <family val="2"/>
    </font>
    <font>
      <b/>
      <sz val="10"/>
      <name val="Administer"/>
      <family val="0"/>
    </font>
    <font>
      <sz val="10"/>
      <name val="Calibri"/>
      <family val="2"/>
    </font>
    <font>
      <b/>
      <sz val="10"/>
      <name val="Arial"/>
      <family val="2"/>
    </font>
    <font>
      <b/>
      <sz val="10"/>
      <color indexed="30"/>
      <name val="Arial"/>
      <family val="2"/>
    </font>
    <font>
      <b/>
      <sz val="10"/>
      <color indexed="10"/>
      <name val="Arial"/>
      <family val="2"/>
    </font>
    <font>
      <b/>
      <sz val="10"/>
      <color indexed="62"/>
      <name val="Arial"/>
      <family val="2"/>
    </font>
    <font>
      <sz val="8"/>
      <name val="Corbel"/>
      <family val="2"/>
    </font>
    <font>
      <b/>
      <sz val="8"/>
      <name val="Corbel"/>
      <family val="2"/>
    </font>
    <font>
      <u val="single"/>
      <sz val="8"/>
      <name val="Corbel"/>
      <family val="2"/>
    </font>
    <font>
      <sz val="8"/>
      <name val="Trebuchet MS"/>
      <family val="2"/>
    </font>
    <font>
      <b/>
      <sz val="7"/>
      <name val="Corbel"/>
      <family val="2"/>
    </font>
    <font>
      <sz val="7"/>
      <name val="Arial"/>
      <family val="2"/>
    </font>
    <font>
      <sz val="7"/>
      <name val="Corbel"/>
      <family val="2"/>
    </font>
    <font>
      <b/>
      <sz val="7"/>
      <color indexed="10"/>
      <name val="Wingdings 3"/>
      <family val="1"/>
    </font>
    <font>
      <i/>
      <sz val="7"/>
      <name val="Calibri"/>
      <family val="2"/>
    </font>
    <font>
      <u val="single"/>
      <sz val="8"/>
      <name val="Arial"/>
      <family val="2"/>
    </font>
    <font>
      <i/>
      <sz val="7"/>
      <name val="Corbel"/>
      <family val="2"/>
    </font>
    <font>
      <b/>
      <sz val="7"/>
      <name val="Garamond"/>
      <family val="1"/>
    </font>
    <font>
      <b/>
      <u val="single"/>
      <sz val="7"/>
      <name val="Corbel"/>
      <family val="2"/>
    </font>
    <font>
      <b/>
      <i/>
      <sz val="7"/>
      <name val="Corbel"/>
      <family val="2"/>
    </font>
    <font>
      <b/>
      <sz val="7"/>
      <name val="Arial"/>
      <family val="2"/>
    </font>
    <font>
      <b/>
      <sz val="7"/>
      <name val="Verdana"/>
      <family val="2"/>
    </font>
    <font>
      <sz val="7"/>
      <name val="Verdana"/>
      <family val="2"/>
    </font>
    <font>
      <b/>
      <sz val="10"/>
      <name val="Calibri"/>
      <family val="2"/>
    </font>
    <font>
      <b/>
      <sz val="10"/>
      <color indexed="10"/>
      <name val="Calibri"/>
      <family val="2"/>
    </font>
    <font>
      <sz val="10"/>
      <color indexed="10"/>
      <name val="Calibri"/>
      <family val="2"/>
    </font>
    <font>
      <b/>
      <sz val="10"/>
      <color indexed="30"/>
      <name val="Calibri"/>
      <family val="2"/>
    </font>
    <font>
      <sz val="10"/>
      <color indexed="9"/>
      <name val="Calibri"/>
      <family val="2"/>
    </font>
    <font>
      <b/>
      <sz val="10"/>
      <color indexed="62"/>
      <name val="Calibri"/>
      <family val="2"/>
    </font>
    <font>
      <sz val="10"/>
      <color indexed="8"/>
      <name val="Calibri"/>
      <family val="2"/>
    </font>
    <font>
      <sz val="7"/>
      <name val="Tahoma"/>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8"/>
      <name val="Calibri"/>
      <family val="2"/>
    </font>
    <font>
      <b/>
      <sz val="8"/>
      <name val="Calibri"/>
      <family val="2"/>
    </font>
    <font>
      <sz val="8"/>
      <color indexed="10"/>
      <name val="Trebuchet MS"/>
      <family val="2"/>
    </font>
    <font>
      <b/>
      <sz val="8"/>
      <color indexed="10"/>
      <name val="Trebuchet MS"/>
      <family val="2"/>
    </font>
    <font>
      <sz val="12"/>
      <name val="Calibri"/>
      <family val="2"/>
    </font>
    <font>
      <sz val="8"/>
      <color indexed="9"/>
      <name val="Calibri"/>
      <family val="2"/>
    </font>
    <font>
      <b/>
      <sz val="12"/>
      <color indexed="9"/>
      <name val="Calibri"/>
      <family val="2"/>
    </font>
    <font>
      <sz val="12"/>
      <color indexed="9"/>
      <name val="Calibri"/>
      <family val="2"/>
    </font>
    <font>
      <b/>
      <sz val="12"/>
      <name val="Calibri"/>
      <family val="2"/>
    </font>
    <font>
      <sz val="12"/>
      <color indexed="10"/>
      <name val="Calibri"/>
      <family val="2"/>
    </font>
    <font>
      <sz val="7"/>
      <name val="Calibri"/>
      <family val="2"/>
    </font>
    <font>
      <b/>
      <sz val="7"/>
      <name val="Calibri"/>
      <family val="2"/>
    </font>
    <font>
      <sz val="10"/>
      <color indexed="10"/>
      <name val="Arial"/>
      <family val="2"/>
    </font>
    <font>
      <sz val="7"/>
      <color indexed="8"/>
      <name val="Calibri"/>
      <family val="2"/>
    </font>
    <font>
      <sz val="10"/>
      <color indexed="30"/>
      <name val="Calibri"/>
      <family val="2"/>
    </font>
    <font>
      <sz val="8"/>
      <name val="Cambria"/>
      <family val="1"/>
    </font>
    <font>
      <sz val="6"/>
      <name val="Calibri"/>
      <family val="2"/>
    </font>
    <font>
      <b/>
      <sz val="6"/>
      <name val="Calibri"/>
      <family val="2"/>
    </font>
    <font>
      <b/>
      <sz val="6"/>
      <color indexed="9"/>
      <name val="Calibri"/>
      <family val="2"/>
    </font>
    <font>
      <b/>
      <sz val="8"/>
      <color indexed="8"/>
      <name val="Calibri"/>
      <family val="2"/>
    </font>
    <font>
      <b/>
      <sz val="7"/>
      <color indexed="8"/>
      <name val="Calibri"/>
      <family val="2"/>
    </font>
    <font>
      <sz val="7"/>
      <color indexed="49"/>
      <name val="Corbel"/>
      <family val="2"/>
    </font>
    <font>
      <b/>
      <sz val="14"/>
      <name val="Calibri"/>
      <family val="2"/>
    </font>
    <font>
      <b/>
      <sz val="7"/>
      <color indexed="29"/>
      <name val="Calibri"/>
      <family val="2"/>
    </font>
    <font>
      <b/>
      <sz val="8"/>
      <color indexed="29"/>
      <name val="Calibri"/>
      <family val="2"/>
    </font>
    <font>
      <sz val="10"/>
      <color indexed="30"/>
      <name val="Arial"/>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12"/>
      <color indexed="8"/>
      <name val="Impact"/>
      <family val="2"/>
    </font>
    <font>
      <sz val="12"/>
      <color indexed="8"/>
      <name val="Verdana"/>
      <family val="2"/>
    </font>
    <font>
      <sz val="16"/>
      <color indexed="8"/>
      <name val="Garamond"/>
      <family val="1"/>
    </font>
    <font>
      <sz val="16"/>
      <color indexed="9"/>
      <name val="Garamond"/>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0"/>
      <color rgb="FF0070C0"/>
      <name val="Arial"/>
      <family val="2"/>
    </font>
    <font>
      <sz val="8"/>
      <color rgb="FFFF0000"/>
      <name val="Trebuchet MS"/>
      <family val="2"/>
    </font>
    <font>
      <b/>
      <sz val="8"/>
      <color rgb="FFFF0000"/>
      <name val="Trebuchet MS"/>
      <family val="2"/>
    </font>
    <font>
      <sz val="8"/>
      <color theme="0"/>
      <name val="Calibri"/>
      <family val="2"/>
    </font>
    <font>
      <b/>
      <sz val="12"/>
      <color theme="0"/>
      <name val="Calibri"/>
      <family val="2"/>
    </font>
    <font>
      <sz val="12"/>
      <color theme="0"/>
      <name val="Calibri"/>
      <family val="2"/>
    </font>
    <font>
      <sz val="12"/>
      <color rgb="FFFF0000"/>
      <name val="Calibri"/>
      <family val="2"/>
    </font>
    <font>
      <sz val="10"/>
      <color rgb="FFFF0000"/>
      <name val="Calibri"/>
      <family val="2"/>
    </font>
    <font>
      <b/>
      <sz val="10"/>
      <color rgb="FFFF0000"/>
      <name val="Calibri"/>
      <family val="2"/>
    </font>
    <font>
      <sz val="10"/>
      <color rgb="FFFF0000"/>
      <name val="Arial"/>
      <family val="2"/>
    </font>
    <font>
      <b/>
      <sz val="10"/>
      <color rgb="FF0070C0"/>
      <name val="Calibri"/>
      <family val="2"/>
    </font>
    <font>
      <sz val="7"/>
      <color theme="1"/>
      <name val="Calibri"/>
      <family val="2"/>
    </font>
    <font>
      <sz val="10"/>
      <color rgb="FF0070C0"/>
      <name val="Calibri"/>
      <family val="2"/>
    </font>
    <font>
      <b/>
      <sz val="6"/>
      <color theme="0"/>
      <name val="Calibri"/>
      <family val="2"/>
    </font>
    <font>
      <b/>
      <sz val="8"/>
      <color theme="1"/>
      <name val="Calibri"/>
      <family val="2"/>
    </font>
    <font>
      <b/>
      <sz val="7"/>
      <color theme="1"/>
      <name val="Calibri"/>
      <family val="2"/>
    </font>
    <font>
      <sz val="7"/>
      <color theme="3" tint="0.39998000860214233"/>
      <name val="Corbel"/>
      <family val="2"/>
    </font>
    <font>
      <b/>
      <sz val="7"/>
      <color theme="5" tint="0.39998000860214233"/>
      <name val="Calibri"/>
      <family val="2"/>
    </font>
    <font>
      <b/>
      <sz val="8"/>
      <color theme="5" tint="0.39998000860214233"/>
      <name val="Calibri"/>
      <family val="2"/>
    </font>
    <font>
      <sz val="10"/>
      <color rgb="FF0070C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indexed="22"/>
        <bgColor indexed="64"/>
      </patternFill>
    </fill>
    <fill>
      <patternFill patternType="solid">
        <fgColor indexed="62"/>
        <bgColor indexed="64"/>
      </patternFill>
    </fill>
    <fill>
      <patternFill patternType="solid">
        <fgColor indexed="11"/>
        <bgColor indexed="64"/>
      </patternFill>
    </fill>
    <fill>
      <patternFill patternType="solid">
        <fgColor indexed="19"/>
        <bgColor indexed="64"/>
      </patternFill>
    </fill>
    <fill>
      <patternFill patternType="solid">
        <fgColor indexed="23"/>
        <bgColor indexed="64"/>
      </patternFill>
    </fill>
    <fill>
      <patternFill patternType="solid">
        <fgColor indexed="63"/>
        <bgColor indexed="64"/>
      </patternFill>
    </fill>
    <fill>
      <patternFill patternType="solid">
        <fgColor theme="3" tint="-0.24997000396251678"/>
        <bgColor indexed="64"/>
      </patternFill>
    </fill>
    <fill>
      <patternFill patternType="solid">
        <fgColor theme="1" tint="0.15000000596046448"/>
        <bgColor indexed="64"/>
      </patternFill>
    </fill>
    <fill>
      <patternFill patternType="solid">
        <fgColor rgb="FF7030A0"/>
        <bgColor indexed="64"/>
      </patternFill>
    </fill>
  </fills>
  <borders count="3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1" applyNumberFormat="0" applyFill="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8" fillId="20" borderId="5" applyNumberFormat="0" applyAlignment="0" applyProtection="0"/>
    <xf numFmtId="0" fontId="99" fillId="21" borderId="6" applyNumberFormat="0" applyAlignment="0" applyProtection="0"/>
    <xf numFmtId="0" fontId="100" fillId="20" borderId="6" applyNumberFormat="0" applyAlignment="0" applyProtection="0"/>
    <xf numFmtId="0" fontId="101" fillId="22" borderId="7" applyNumberFormat="0" applyAlignment="0" applyProtection="0"/>
    <xf numFmtId="0" fontId="102"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0" fillId="0" borderId="0">
      <alignment/>
      <protection/>
    </xf>
    <xf numFmtId="0" fontId="0" fillId="25" borderId="8" applyNumberFormat="0" applyFont="0" applyAlignment="0" applyProtection="0"/>
    <xf numFmtId="0" fontId="10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75">
    <xf numFmtId="0" fontId="0" fillId="0" borderId="0" xfId="0" applyAlignment="1">
      <alignment/>
    </xf>
    <xf numFmtId="0" fontId="6"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3" fontId="5" fillId="33" borderId="0" xfId="0" applyNumberFormat="1" applyFont="1" applyFill="1" applyBorder="1" applyAlignment="1" applyProtection="1">
      <alignment horizontal="right" vertical="center"/>
      <protection/>
    </xf>
    <xf numFmtId="2" fontId="5" fillId="33" borderId="0" xfId="0" applyNumberFormat="1" applyFont="1" applyFill="1" applyBorder="1" applyAlignment="1" applyProtection="1">
      <alignment horizontal="right" vertical="center"/>
      <protection/>
    </xf>
    <xf numFmtId="9" fontId="10" fillId="0" borderId="0" xfId="0" applyNumberFormat="1" applyFont="1" applyFill="1" applyBorder="1" applyAlignment="1">
      <alignment horizontal="center" vertical="center" wrapText="1"/>
    </xf>
    <xf numFmtId="0" fontId="54" fillId="34" borderId="0" xfId="0" applyFont="1" applyFill="1" applyBorder="1" applyAlignment="1" applyProtection="1">
      <alignment horizontal="center" vertical="center"/>
      <protection/>
    </xf>
    <xf numFmtId="0" fontId="54" fillId="34" borderId="0" xfId="0" applyFont="1" applyFill="1" applyBorder="1" applyAlignment="1">
      <alignment/>
    </xf>
    <xf numFmtId="2" fontId="54" fillId="34" borderId="0" xfId="0" applyNumberFormat="1" applyFont="1" applyFill="1" applyBorder="1" applyAlignment="1" applyProtection="1">
      <alignment horizontal="right" vertical="center"/>
      <protection/>
    </xf>
    <xf numFmtId="0" fontId="54" fillId="34" borderId="0" xfId="0" applyFont="1" applyFill="1" applyBorder="1" applyAlignment="1" applyProtection="1">
      <alignment vertical="center"/>
      <protection/>
    </xf>
    <xf numFmtId="0" fontId="54" fillId="34" borderId="0" xfId="0" applyFont="1" applyFill="1" applyBorder="1" applyAlignment="1" applyProtection="1">
      <alignment horizontal="left" vertical="center"/>
      <protection/>
    </xf>
    <xf numFmtId="0" fontId="7" fillId="0" borderId="10" xfId="0" applyFont="1" applyBorder="1" applyAlignment="1">
      <alignment horizontal="center"/>
    </xf>
    <xf numFmtId="1" fontId="54" fillId="34" borderId="0" xfId="0" applyNumberFormat="1" applyFont="1" applyFill="1" applyBorder="1" applyAlignment="1">
      <alignment/>
    </xf>
    <xf numFmtId="9" fontId="107" fillId="0" borderId="0" xfId="0" applyNumberFormat="1" applyFont="1" applyFill="1" applyBorder="1" applyAlignment="1">
      <alignment horizontal="center" vertical="center" wrapText="1"/>
    </xf>
    <xf numFmtId="14" fontId="54" fillId="34" borderId="0" xfId="0" applyNumberFormat="1" applyFont="1" applyFill="1" applyBorder="1" applyAlignment="1">
      <alignment horizontal="center"/>
    </xf>
    <xf numFmtId="0" fontId="54" fillId="34" borderId="0" xfId="0" applyFont="1" applyFill="1" applyBorder="1" applyAlignment="1">
      <alignment horizontal="right"/>
    </xf>
    <xf numFmtId="9" fontId="108" fillId="0" borderId="0" xfId="0" applyNumberFormat="1" applyFont="1" applyFill="1" applyBorder="1" applyAlignment="1">
      <alignment horizontal="center" vertical="center" wrapText="1"/>
    </xf>
    <xf numFmtId="0" fontId="7" fillId="35" borderId="10" xfId="0" applyFont="1" applyFill="1" applyBorder="1" applyAlignment="1">
      <alignment horizontal="center"/>
    </xf>
    <xf numFmtId="3" fontId="54" fillId="34" borderId="0" xfId="0" applyNumberFormat="1" applyFont="1" applyFill="1" applyBorder="1" applyAlignment="1" applyProtection="1">
      <alignment horizontal="right" vertical="center"/>
      <protection/>
    </xf>
    <xf numFmtId="9" fontId="8" fillId="0" borderId="0" xfId="0" applyNumberFormat="1" applyFont="1" applyFill="1" applyBorder="1" applyAlignment="1">
      <alignment horizontal="center" vertical="center" wrapText="1"/>
    </xf>
    <xf numFmtId="0" fontId="55" fillId="34" borderId="0" xfId="0" applyFont="1" applyFill="1" applyAlignment="1">
      <alignment vertical="center"/>
    </xf>
    <xf numFmtId="0" fontId="12" fillId="34" borderId="0" xfId="0" applyFont="1" applyFill="1" applyBorder="1" applyAlignment="1" applyProtection="1">
      <alignment horizontal="center" vertical="center" wrapText="1"/>
      <protection/>
    </xf>
    <xf numFmtId="0" fontId="13" fillId="34" borderId="0" xfId="0" applyNumberFormat="1" applyFont="1"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1" fontId="14" fillId="34" borderId="0" xfId="54" applyNumberFormat="1" applyFont="1" applyFill="1" applyBorder="1" applyAlignment="1" applyProtection="1">
      <alignment horizontal="center" vertical="center"/>
      <protection/>
    </xf>
    <xf numFmtId="0" fontId="109" fillId="34" borderId="0" xfId="0" applyFont="1" applyFill="1" applyBorder="1" applyAlignment="1" applyProtection="1">
      <alignment horizontal="left" vertical="center"/>
      <protection/>
    </xf>
    <xf numFmtId="0" fontId="15" fillId="34" borderId="0" xfId="0" applyFont="1" applyFill="1" applyBorder="1" applyAlignment="1" applyProtection="1">
      <alignment horizontal="left" vertical="center"/>
      <protection/>
    </xf>
    <xf numFmtId="0" fontId="109" fillId="4" borderId="0" xfId="0" applyFont="1" applyFill="1" applyBorder="1" applyAlignment="1" applyProtection="1">
      <alignment horizontal="left" vertical="center"/>
      <protection/>
    </xf>
    <xf numFmtId="0" fontId="110" fillId="34" borderId="0" xfId="0" applyFont="1" applyFill="1" applyBorder="1" applyAlignment="1" applyProtection="1">
      <alignment horizontal="left" vertical="center"/>
      <protection/>
    </xf>
    <xf numFmtId="0" fontId="110" fillId="4" borderId="0" xfId="0" applyFont="1" applyFill="1" applyBorder="1" applyAlignment="1" applyProtection="1">
      <alignment horizontal="left" vertical="center"/>
      <protection/>
    </xf>
    <xf numFmtId="0" fontId="1" fillId="34" borderId="0" xfId="0" applyFont="1" applyFill="1" applyBorder="1" applyAlignment="1" applyProtection="1">
      <alignment vertical="center"/>
      <protection/>
    </xf>
    <xf numFmtId="0" fontId="16"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18" fillId="36" borderId="0" xfId="0" applyFont="1" applyFill="1" applyBorder="1" applyAlignment="1" applyProtection="1">
      <alignment horizontal="center" vertical="center" wrapText="1"/>
      <protection/>
    </xf>
    <xf numFmtId="4" fontId="16" fillId="36" borderId="0" xfId="0" applyNumberFormat="1" applyFont="1" applyFill="1" applyBorder="1" applyAlignment="1" applyProtection="1">
      <alignment horizontal="center" vertical="center" wrapText="1"/>
      <protection/>
    </xf>
    <xf numFmtId="3" fontId="16" fillId="36" borderId="0" xfId="0" applyNumberFormat="1" applyFont="1" applyFill="1" applyBorder="1" applyAlignment="1" applyProtection="1">
      <alignment horizontal="center" vertical="center" wrapText="1"/>
      <protection/>
    </xf>
    <xf numFmtId="0" fontId="18" fillId="34" borderId="0" xfId="0" applyFont="1" applyFill="1" applyBorder="1" applyAlignment="1" applyProtection="1">
      <alignment horizontal="center"/>
      <protection/>
    </xf>
    <xf numFmtId="0" fontId="58" fillId="34" borderId="0" xfId="0" applyFont="1" applyFill="1" applyBorder="1" applyAlignment="1">
      <alignment horizontal="left" vertical="center"/>
    </xf>
    <xf numFmtId="204" fontId="58" fillId="34" borderId="0" xfId="0" applyNumberFormat="1" applyFont="1" applyFill="1" applyBorder="1" applyAlignment="1">
      <alignment horizontal="left" vertical="center"/>
    </xf>
    <xf numFmtId="0" fontId="58" fillId="34" borderId="0" xfId="0" applyNumberFormat="1" applyFont="1" applyFill="1" applyBorder="1" applyAlignment="1" applyProtection="1">
      <alignment vertical="center"/>
      <protection locked="0"/>
    </xf>
    <xf numFmtId="0" fontId="58" fillId="34" borderId="0" xfId="0" applyNumberFormat="1" applyFont="1" applyFill="1" applyBorder="1" applyAlignment="1" applyProtection="1">
      <alignment horizontal="left" vertical="center"/>
      <protection locked="0"/>
    </xf>
    <xf numFmtId="0" fontId="58" fillId="34" borderId="0" xfId="0" applyNumberFormat="1" applyFont="1" applyFill="1" applyBorder="1" applyAlignment="1" applyProtection="1">
      <alignment horizontal="left" vertical="center"/>
      <protection/>
    </xf>
    <xf numFmtId="0" fontId="58" fillId="34" borderId="0" xfId="0" applyFont="1" applyFill="1" applyBorder="1" applyAlignment="1" applyProtection="1">
      <alignment horizontal="left" vertical="center"/>
      <protection/>
    </xf>
    <xf numFmtId="0" fontId="58" fillId="34" borderId="0" xfId="0" applyNumberFormat="1" applyFont="1" applyFill="1" applyBorder="1" applyAlignment="1">
      <alignment horizontal="left" vertical="center"/>
    </xf>
    <xf numFmtId="0" fontId="54"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vertical="center"/>
      <protection/>
    </xf>
    <xf numFmtId="0" fontId="111" fillId="34" borderId="0" xfId="0" applyFont="1" applyFill="1" applyBorder="1" applyAlignment="1" applyProtection="1">
      <alignment horizontal="left" vertical="center"/>
      <protection/>
    </xf>
    <xf numFmtId="0" fontId="54" fillId="37" borderId="0" xfId="0" applyFont="1" applyFill="1" applyBorder="1" applyAlignment="1" applyProtection="1">
      <alignment horizontal="center" vertical="center"/>
      <protection/>
    </xf>
    <xf numFmtId="43" fontId="29" fillId="37" borderId="0" xfId="40" applyFont="1" applyFill="1" applyBorder="1" applyAlignment="1" applyProtection="1">
      <alignment horizontal="center" vertical="center"/>
      <protection/>
    </xf>
    <xf numFmtId="1" fontId="54" fillId="37" borderId="11" xfId="0" applyNumberFormat="1" applyFont="1" applyFill="1" applyBorder="1" applyAlignment="1" applyProtection="1">
      <alignment horizontal="center" vertical="center" wrapText="1"/>
      <protection/>
    </xf>
    <xf numFmtId="0" fontId="54" fillId="37" borderId="12" xfId="0" applyFont="1" applyFill="1" applyBorder="1" applyAlignment="1" applyProtection="1">
      <alignment horizontal="center" vertical="center"/>
      <protection/>
    </xf>
    <xf numFmtId="43" fontId="29" fillId="37" borderId="12" xfId="40" applyFont="1" applyFill="1" applyBorder="1" applyAlignment="1" applyProtection="1">
      <alignment horizontal="center" vertical="center"/>
      <protection/>
    </xf>
    <xf numFmtId="0" fontId="29" fillId="37" borderId="12" xfId="0" applyFont="1" applyFill="1" applyBorder="1" applyAlignment="1" applyProtection="1">
      <alignment horizontal="center" vertical="center" wrapText="1"/>
      <protection/>
    </xf>
    <xf numFmtId="0" fontId="112" fillId="34" borderId="13" xfId="0" applyFont="1" applyFill="1" applyBorder="1" applyAlignment="1" applyProtection="1">
      <alignment vertical="center"/>
      <protection/>
    </xf>
    <xf numFmtId="0" fontId="112" fillId="34" borderId="0" xfId="0" applyFont="1" applyFill="1" applyBorder="1" applyAlignment="1">
      <alignment horizontal="left" vertical="center" indent="2"/>
    </xf>
    <xf numFmtId="0" fontId="113" fillId="34" borderId="0" xfId="0" applyFont="1" applyFill="1" applyBorder="1" applyAlignment="1" applyProtection="1">
      <alignment horizontal="left" vertical="center"/>
      <protection/>
    </xf>
    <xf numFmtId="0" fontId="113" fillId="34" borderId="0" xfId="0" applyNumberFormat="1" applyFont="1" applyFill="1" applyBorder="1" applyAlignment="1" applyProtection="1">
      <alignment horizontal="left" vertical="center"/>
      <protection locked="0"/>
    </xf>
    <xf numFmtId="4" fontId="112" fillId="34" borderId="0" xfId="42" applyNumberFormat="1" applyFont="1" applyFill="1" applyBorder="1" applyAlignment="1" applyProtection="1">
      <alignment horizontal="right" vertical="center"/>
      <protection locked="0"/>
    </xf>
    <xf numFmtId="3" fontId="112" fillId="34" borderId="14" xfId="42" applyNumberFormat="1" applyFont="1" applyFill="1" applyBorder="1" applyAlignment="1" applyProtection="1">
      <alignment horizontal="right" vertical="center"/>
      <protection locked="0"/>
    </xf>
    <xf numFmtId="0" fontId="58" fillId="36" borderId="0" xfId="0" applyFont="1" applyFill="1" applyBorder="1" applyAlignment="1">
      <alignment horizontal="left" vertical="center"/>
    </xf>
    <xf numFmtId="204" fontId="58" fillId="36" borderId="0" xfId="0" applyNumberFormat="1" applyFont="1" applyFill="1" applyBorder="1" applyAlignment="1">
      <alignment horizontal="left" vertical="center"/>
    </xf>
    <xf numFmtId="0" fontId="58" fillId="36" borderId="0" xfId="0" applyNumberFormat="1" applyFont="1" applyFill="1" applyBorder="1" applyAlignment="1" applyProtection="1">
      <alignment horizontal="left" vertical="center"/>
      <protection/>
    </xf>
    <xf numFmtId="0" fontId="58" fillId="36" borderId="0" xfId="0" applyFont="1" applyFill="1" applyBorder="1" applyAlignment="1" applyProtection="1">
      <alignment horizontal="left" vertical="center"/>
      <protection/>
    </xf>
    <xf numFmtId="0" fontId="58" fillId="36" borderId="0" xfId="0" applyNumberFormat="1" applyFont="1" applyFill="1" applyBorder="1" applyAlignment="1" applyProtection="1">
      <alignment horizontal="left" vertical="center"/>
      <protection locked="0"/>
    </xf>
    <xf numFmtId="0" fontId="58" fillId="36" borderId="12" xfId="0" applyFont="1" applyFill="1" applyBorder="1" applyAlignment="1" applyProtection="1">
      <alignment horizontal="left" vertical="center"/>
      <protection/>
    </xf>
    <xf numFmtId="0" fontId="58" fillId="36" borderId="12" xfId="0" applyNumberFormat="1" applyFont="1" applyFill="1" applyBorder="1" applyAlignment="1" applyProtection="1">
      <alignment horizontal="left" vertical="center"/>
      <protection locked="0"/>
    </xf>
    <xf numFmtId="4" fontId="62" fillId="34" borderId="0" xfId="0" applyNumberFormat="1" applyFont="1" applyFill="1" applyBorder="1" applyAlignment="1">
      <alignment horizontal="right" vertical="center" indent="1"/>
    </xf>
    <xf numFmtId="3" fontId="62" fillId="34" borderId="14" xfId="0" applyNumberFormat="1" applyFont="1" applyFill="1" applyBorder="1" applyAlignment="1">
      <alignment horizontal="right" vertical="center" indent="1"/>
    </xf>
    <xf numFmtId="4" fontId="62" fillId="36" borderId="0" xfId="0" applyNumberFormat="1" applyFont="1" applyFill="1" applyBorder="1" applyAlignment="1">
      <alignment horizontal="right" vertical="center" indent="1"/>
    </xf>
    <xf numFmtId="3" fontId="62" fillId="36" borderId="14" xfId="0" applyNumberFormat="1" applyFont="1" applyFill="1" applyBorder="1" applyAlignment="1">
      <alignment horizontal="right" vertical="center" indent="1"/>
    </xf>
    <xf numFmtId="4" fontId="62" fillId="34" borderId="0" xfId="42" applyNumberFormat="1" applyFont="1" applyFill="1" applyBorder="1" applyAlignment="1" applyProtection="1">
      <alignment horizontal="right" vertical="center" indent="1"/>
      <protection locked="0"/>
    </xf>
    <xf numFmtId="3" fontId="62" fillId="34" borderId="14" xfId="42" applyNumberFormat="1" applyFont="1" applyFill="1" applyBorder="1" applyAlignment="1" applyProtection="1">
      <alignment horizontal="right" vertical="center" indent="1"/>
      <protection locked="0"/>
    </xf>
    <xf numFmtId="4" fontId="62" fillId="36" borderId="0" xfId="42" applyNumberFormat="1" applyFont="1" applyFill="1" applyBorder="1" applyAlignment="1" applyProtection="1">
      <alignment horizontal="right" vertical="center" indent="1"/>
      <protection locked="0"/>
    </xf>
    <xf numFmtId="3" fontId="62" fillId="36" borderId="14" xfId="42" applyNumberFormat="1" applyFont="1" applyFill="1" applyBorder="1" applyAlignment="1" applyProtection="1">
      <alignment horizontal="right" vertical="center" indent="1"/>
      <protection locked="0"/>
    </xf>
    <xf numFmtId="4" fontId="62" fillId="36" borderId="0" xfId="43" applyNumberFormat="1" applyFont="1" applyFill="1" applyBorder="1" applyAlignment="1" applyProtection="1">
      <alignment horizontal="right" vertical="center" indent="1"/>
      <protection locked="0"/>
    </xf>
    <xf numFmtId="3" fontId="62" fillId="36" borderId="14" xfId="43" applyNumberFormat="1" applyFont="1" applyFill="1" applyBorder="1" applyAlignment="1" applyProtection="1">
      <alignment horizontal="right" vertical="center" indent="1"/>
      <protection locked="0"/>
    </xf>
    <xf numFmtId="4" fontId="62" fillId="34" borderId="0" xfId="43" applyNumberFormat="1" applyFont="1" applyFill="1" applyBorder="1" applyAlignment="1" applyProtection="1">
      <alignment horizontal="right" vertical="center" indent="1"/>
      <protection locked="0"/>
    </xf>
    <xf numFmtId="3" fontId="62" fillId="34" borderId="14" xfId="43" applyNumberFormat="1" applyFont="1" applyFill="1" applyBorder="1" applyAlignment="1" applyProtection="1">
      <alignment horizontal="right" vertical="center" indent="1"/>
      <protection locked="0"/>
    </xf>
    <xf numFmtId="4" fontId="62" fillId="36" borderId="12" xfId="42" applyNumberFormat="1" applyFont="1" applyFill="1" applyBorder="1" applyAlignment="1" applyProtection="1">
      <alignment horizontal="right" vertical="center" indent="1"/>
      <protection locked="0"/>
    </xf>
    <xf numFmtId="3" fontId="62" fillId="36" borderId="15" xfId="42" applyNumberFormat="1" applyFont="1" applyFill="1" applyBorder="1" applyAlignment="1" applyProtection="1">
      <alignment horizontal="right" vertical="center" indent="1"/>
      <protection locked="0"/>
    </xf>
    <xf numFmtId="0" fontId="62" fillId="34" borderId="0" xfId="0" applyFont="1" applyFill="1" applyBorder="1" applyAlignment="1" applyProtection="1">
      <alignment horizontal="right" vertical="center" indent="1"/>
      <protection/>
    </xf>
    <xf numFmtId="0" fontId="62" fillId="36" borderId="0" xfId="0" applyFont="1" applyFill="1" applyBorder="1" applyAlignment="1" applyProtection="1">
      <alignment horizontal="right" vertical="center" indent="1"/>
      <protection/>
    </xf>
    <xf numFmtId="0" fontId="62" fillId="36" borderId="12" xfId="0" applyFont="1" applyFill="1" applyBorder="1" applyAlignment="1" applyProtection="1">
      <alignment horizontal="right" vertical="center" indent="1"/>
      <protection/>
    </xf>
    <xf numFmtId="0" fontId="62" fillId="34" borderId="0" xfId="0" applyFont="1" applyFill="1" applyBorder="1" applyAlignment="1">
      <alignment horizontal="left" vertical="center" indent="1"/>
    </xf>
    <xf numFmtId="204" fontId="62" fillId="36" borderId="0" xfId="0" applyNumberFormat="1" applyFont="1" applyFill="1" applyBorder="1" applyAlignment="1">
      <alignment horizontal="left" vertical="center" indent="1"/>
    </xf>
    <xf numFmtId="204" fontId="62" fillId="34" borderId="0" xfId="0" applyNumberFormat="1" applyFont="1" applyFill="1" applyBorder="1" applyAlignment="1">
      <alignment horizontal="left" vertical="center" indent="1"/>
    </xf>
    <xf numFmtId="0" fontId="62" fillId="34" borderId="0" xfId="0" applyNumberFormat="1" applyFont="1" applyFill="1" applyBorder="1" applyAlignment="1" applyProtection="1">
      <alignment horizontal="left" vertical="center" indent="1"/>
      <protection locked="0"/>
    </xf>
    <xf numFmtId="0" fontId="62" fillId="36" borderId="0" xfId="0" applyFont="1" applyFill="1" applyBorder="1" applyAlignment="1">
      <alignment horizontal="left" vertical="center" indent="1"/>
    </xf>
    <xf numFmtId="0" fontId="62" fillId="36" borderId="0" xfId="0" applyNumberFormat="1" applyFont="1" applyFill="1" applyBorder="1" applyAlignment="1" applyProtection="1">
      <alignment horizontal="left" vertical="center" indent="1"/>
      <protection/>
    </xf>
    <xf numFmtId="0" fontId="62" fillId="34" borderId="0" xfId="0" applyNumberFormat="1" applyFont="1" applyFill="1" applyBorder="1" applyAlignment="1">
      <alignment horizontal="left" vertical="center" indent="1"/>
    </xf>
    <xf numFmtId="0" fontId="62" fillId="36" borderId="12" xfId="0" applyFont="1" applyFill="1" applyBorder="1" applyAlignment="1">
      <alignment horizontal="left" vertical="center" indent="1"/>
    </xf>
    <xf numFmtId="0" fontId="58" fillId="34" borderId="16" xfId="0" applyFont="1" applyFill="1" applyBorder="1" applyAlignment="1">
      <alignment horizontal="left" vertical="center"/>
    </xf>
    <xf numFmtId="204" fontId="58" fillId="34" borderId="16" xfId="0" applyNumberFormat="1" applyFont="1" applyFill="1" applyBorder="1" applyAlignment="1">
      <alignment horizontal="left" vertical="center"/>
    </xf>
    <xf numFmtId="49" fontId="62" fillId="34" borderId="0" xfId="0" applyNumberFormat="1" applyFont="1" applyFill="1" applyBorder="1" applyAlignment="1">
      <alignment horizontal="left" vertical="center" indent="1"/>
    </xf>
    <xf numFmtId="0" fontId="62" fillId="34" borderId="0" xfId="0" applyNumberFormat="1" applyFont="1" applyFill="1" applyBorder="1" applyAlignment="1" applyProtection="1">
      <alignment horizontal="left" vertical="center" indent="1"/>
      <protection/>
    </xf>
    <xf numFmtId="0" fontId="62" fillId="34" borderId="17" xfId="0" applyFont="1" applyFill="1" applyBorder="1" applyAlignment="1" applyProtection="1">
      <alignment horizontal="right" vertical="center" indent="1"/>
      <protection/>
    </xf>
    <xf numFmtId="0" fontId="62" fillId="34" borderId="13" xfId="0" applyFont="1" applyFill="1" applyBorder="1" applyAlignment="1" applyProtection="1">
      <alignment horizontal="right" vertical="center" indent="1"/>
      <protection/>
    </xf>
    <xf numFmtId="0" fontId="62" fillId="36" borderId="13" xfId="0" applyFont="1" applyFill="1" applyBorder="1" applyAlignment="1" applyProtection="1">
      <alignment horizontal="right" vertical="center" indent="1"/>
      <protection/>
    </xf>
    <xf numFmtId="0" fontId="62" fillId="36" borderId="0" xfId="0" applyNumberFormat="1" applyFont="1" applyFill="1" applyBorder="1" applyAlignment="1" applyProtection="1">
      <alignment horizontal="left" vertical="center" indent="1"/>
      <protection locked="0"/>
    </xf>
    <xf numFmtId="0" fontId="62" fillId="36" borderId="18" xfId="0" applyFont="1" applyFill="1" applyBorder="1" applyAlignment="1" applyProtection="1">
      <alignment horizontal="right" vertical="center" indent="1"/>
      <protection/>
    </xf>
    <xf numFmtId="0" fontId="62" fillId="36" borderId="12" xfId="0" applyNumberFormat="1" applyFont="1" applyFill="1" applyBorder="1" applyAlignment="1" applyProtection="1">
      <alignment horizontal="left" vertical="center" indent="1"/>
      <protection/>
    </xf>
    <xf numFmtId="0" fontId="58" fillId="36" borderId="12" xfId="0" applyFont="1" applyFill="1" applyBorder="1" applyAlignment="1">
      <alignment horizontal="left" vertical="center"/>
    </xf>
    <xf numFmtId="0" fontId="58" fillId="36" borderId="12" xfId="0" applyNumberFormat="1" applyFont="1" applyFill="1" applyBorder="1" applyAlignment="1" applyProtection="1">
      <alignment horizontal="left" vertical="center"/>
      <protection/>
    </xf>
    <xf numFmtId="4" fontId="62" fillId="36" borderId="12" xfId="0" applyNumberFormat="1" applyFont="1" applyFill="1" applyBorder="1" applyAlignment="1">
      <alignment horizontal="right" vertical="center" indent="1"/>
    </xf>
    <xf numFmtId="3" fontId="62" fillId="36" borderId="15" xfId="0" applyNumberFormat="1" applyFont="1" applyFill="1" applyBorder="1" applyAlignment="1">
      <alignment horizontal="right" vertical="center" indent="1"/>
    </xf>
    <xf numFmtId="0" fontId="58" fillId="33" borderId="0" xfId="0" applyFont="1" applyFill="1" applyBorder="1" applyAlignment="1" applyProtection="1">
      <alignment horizontal="left" vertical="center"/>
      <protection/>
    </xf>
    <xf numFmtId="0" fontId="114" fillId="33" borderId="0" xfId="0" applyFont="1" applyFill="1" applyBorder="1" applyAlignment="1" applyProtection="1">
      <alignment horizontal="left" vertical="center"/>
      <protection/>
    </xf>
    <xf numFmtId="0" fontId="18" fillId="34" borderId="0"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center" vertical="center"/>
      <protection/>
    </xf>
    <xf numFmtId="2" fontId="18" fillId="34" borderId="0" xfId="0" applyNumberFormat="1" applyFont="1" applyFill="1" applyBorder="1" applyAlignment="1" applyProtection="1">
      <alignment horizontal="center" vertical="center"/>
      <protection/>
    </xf>
    <xf numFmtId="0" fontId="64" fillId="34" borderId="19" xfId="0" applyNumberFormat="1" applyFont="1" applyFill="1" applyBorder="1" applyAlignment="1" applyProtection="1">
      <alignment vertical="center"/>
      <protection/>
    </xf>
    <xf numFmtId="0" fontId="65" fillId="34" borderId="0" xfId="0" applyFont="1" applyFill="1" applyBorder="1" applyAlignment="1" applyProtection="1">
      <alignment horizontal="right" vertical="center"/>
      <protection/>
    </xf>
    <xf numFmtId="0" fontId="64" fillId="34" borderId="0" xfId="0" applyFont="1" applyFill="1" applyBorder="1" applyAlignment="1" applyProtection="1">
      <alignment horizontal="center" vertical="center"/>
      <protection/>
    </xf>
    <xf numFmtId="190" fontId="64" fillId="34" borderId="0" xfId="0" applyNumberFormat="1" applyFont="1" applyFill="1" applyBorder="1" applyAlignment="1" applyProtection="1">
      <alignment horizontal="center" vertical="center"/>
      <protection/>
    </xf>
    <xf numFmtId="0" fontId="17" fillId="34" borderId="0" xfId="0" applyFont="1" applyFill="1" applyAlignment="1">
      <alignment horizontal="center" vertical="center"/>
    </xf>
    <xf numFmtId="4" fontId="22" fillId="34" borderId="0" xfId="0" applyNumberFormat="1"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wrapText="1"/>
      <protection/>
    </xf>
    <xf numFmtId="0" fontId="23" fillId="34" borderId="0" xfId="0" applyFont="1" applyFill="1" applyBorder="1" applyAlignment="1" applyProtection="1">
      <alignment horizontal="right" vertical="center" wrapText="1"/>
      <protection/>
    </xf>
    <xf numFmtId="3" fontId="22"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wrapText="1"/>
      <protection/>
    </xf>
    <xf numFmtId="0" fontId="17" fillId="34" borderId="0" xfId="0" applyFont="1" applyFill="1" applyBorder="1" applyAlignment="1" applyProtection="1">
      <alignment horizontal="left" vertical="center"/>
      <protection/>
    </xf>
    <xf numFmtId="0" fontId="17" fillId="34" borderId="0" xfId="0" applyFont="1" applyFill="1" applyBorder="1" applyAlignment="1" applyProtection="1">
      <alignment horizontal="center" vertical="center"/>
      <protection/>
    </xf>
    <xf numFmtId="0" fontId="17" fillId="34" borderId="0" xfId="0" applyFont="1" applyFill="1" applyBorder="1" applyAlignment="1" applyProtection="1">
      <alignment horizontal="right" vertical="center"/>
      <protection/>
    </xf>
    <xf numFmtId="0" fontId="17" fillId="34" borderId="0" xfId="0" applyFont="1" applyFill="1" applyBorder="1" applyAlignment="1" applyProtection="1">
      <alignment vertical="center"/>
      <protection/>
    </xf>
    <xf numFmtId="4" fontId="17" fillId="34" borderId="0" xfId="0" applyNumberFormat="1" applyFont="1" applyFill="1" applyBorder="1" applyAlignment="1" applyProtection="1">
      <alignment horizontal="right" vertical="center"/>
      <protection/>
    </xf>
    <xf numFmtId="3" fontId="17" fillId="34" borderId="0" xfId="0" applyNumberFormat="1" applyFont="1" applyFill="1" applyBorder="1" applyAlignment="1" applyProtection="1">
      <alignment horizontal="right" vertical="center"/>
      <protection/>
    </xf>
    <xf numFmtId="4" fontId="26" fillId="34" borderId="0" xfId="0" applyNumberFormat="1" applyFont="1" applyFill="1" applyBorder="1" applyAlignment="1" applyProtection="1">
      <alignment horizontal="right" vertical="center"/>
      <protection/>
    </xf>
    <xf numFmtId="3" fontId="26" fillId="34" borderId="0" xfId="0" applyNumberFormat="1" applyFont="1" applyFill="1" applyBorder="1" applyAlignment="1" applyProtection="1">
      <alignment horizontal="right" vertical="center"/>
      <protection/>
    </xf>
    <xf numFmtId="4" fontId="27" fillId="34" borderId="0" xfId="0" applyNumberFormat="1" applyFont="1" applyFill="1" applyBorder="1" applyAlignment="1" applyProtection="1">
      <alignment horizontal="right" vertical="center"/>
      <protection/>
    </xf>
    <xf numFmtId="3" fontId="27" fillId="34" borderId="0" xfId="0" applyNumberFormat="1" applyFont="1" applyFill="1" applyBorder="1" applyAlignment="1" applyProtection="1">
      <alignment horizontal="right" vertical="center"/>
      <protection/>
    </xf>
    <xf numFmtId="3" fontId="28" fillId="34" borderId="0" xfId="0" applyNumberFormat="1" applyFont="1" applyFill="1" applyBorder="1" applyAlignment="1" applyProtection="1">
      <alignment horizontal="right" vertical="center"/>
      <protection/>
    </xf>
    <xf numFmtId="4" fontId="28" fillId="34" borderId="0" xfId="0" applyNumberFormat="1" applyFont="1" applyFill="1" applyBorder="1" applyAlignment="1" applyProtection="1">
      <alignment horizontal="right" vertical="center"/>
      <protection/>
    </xf>
    <xf numFmtId="192" fontId="28" fillId="34" borderId="0" xfId="0" applyNumberFormat="1" applyFont="1" applyFill="1" applyBorder="1" applyAlignment="1" applyProtection="1">
      <alignment horizontal="right" vertical="center"/>
      <protection/>
    </xf>
    <xf numFmtId="192" fontId="17" fillId="34" borderId="0" xfId="0" applyNumberFormat="1" applyFont="1" applyFill="1" applyBorder="1" applyAlignment="1" applyProtection="1">
      <alignment horizontal="right" vertical="center"/>
      <protection/>
    </xf>
    <xf numFmtId="0" fontId="26" fillId="34" borderId="0" xfId="0" applyFont="1" applyFill="1" applyBorder="1" applyAlignment="1" applyProtection="1">
      <alignment horizontal="right" vertical="center"/>
      <protection/>
    </xf>
    <xf numFmtId="1" fontId="65" fillId="37" borderId="0" xfId="0" applyNumberFormat="1" applyFont="1" applyFill="1" applyBorder="1" applyAlignment="1" applyProtection="1">
      <alignment horizontal="center" vertical="center" wrapText="1"/>
      <protection/>
    </xf>
    <xf numFmtId="0" fontId="64" fillId="37" borderId="0" xfId="0" applyFont="1" applyFill="1" applyBorder="1" applyAlignment="1" applyProtection="1">
      <alignment horizontal="center" vertical="center" wrapText="1"/>
      <protection/>
    </xf>
    <xf numFmtId="0" fontId="16" fillId="37" borderId="0" xfId="0" applyFont="1" applyFill="1" applyBorder="1" applyAlignment="1" applyProtection="1">
      <alignment horizontal="center"/>
      <protection/>
    </xf>
    <xf numFmtId="190" fontId="16" fillId="37" borderId="0" xfId="0" applyNumberFormat="1" applyFont="1" applyFill="1" applyBorder="1" applyAlignment="1" applyProtection="1">
      <alignment horizontal="center"/>
      <protection/>
    </xf>
    <xf numFmtId="4" fontId="16" fillId="37" borderId="0" xfId="0" applyNumberFormat="1" applyFont="1" applyFill="1" applyBorder="1" applyAlignment="1" applyProtection="1">
      <alignment horizontal="center" vertical="center" wrapText="1"/>
      <protection/>
    </xf>
    <xf numFmtId="0" fontId="18" fillId="37" borderId="0" xfId="0" applyFont="1" applyFill="1" applyBorder="1" applyAlignment="1" applyProtection="1">
      <alignment horizontal="center" vertical="center" wrapText="1"/>
      <protection/>
    </xf>
    <xf numFmtId="3" fontId="16" fillId="37" borderId="0" xfId="0" applyNumberFormat="1" applyFont="1" applyFill="1" applyBorder="1" applyAlignment="1" applyProtection="1">
      <alignment horizontal="center" vertical="center" wrapText="1"/>
      <protection/>
    </xf>
    <xf numFmtId="0" fontId="65" fillId="37" borderId="0" xfId="0" applyFont="1" applyFill="1" applyBorder="1" applyAlignment="1" applyProtection="1">
      <alignment horizontal="center"/>
      <protection/>
    </xf>
    <xf numFmtId="43" fontId="16" fillId="37" borderId="0" xfId="40" applyFont="1" applyFill="1" applyBorder="1" applyAlignment="1" applyProtection="1">
      <alignment horizontal="center"/>
      <protection/>
    </xf>
    <xf numFmtId="0" fontId="16" fillId="37" borderId="0" xfId="0" applyFont="1" applyFill="1" applyBorder="1" applyAlignment="1" applyProtection="1">
      <alignment horizontal="center" vertical="center"/>
      <protection/>
    </xf>
    <xf numFmtId="0" fontId="7" fillId="0" borderId="0" xfId="0" applyFont="1" applyAlignment="1">
      <alignment horizontal="right"/>
    </xf>
    <xf numFmtId="0" fontId="29" fillId="38" borderId="10" xfId="0" applyFont="1" applyFill="1" applyBorder="1" applyAlignment="1">
      <alignment horizontal="center"/>
    </xf>
    <xf numFmtId="190" fontId="29" fillId="38" borderId="10" xfId="0" applyNumberFormat="1" applyFont="1" applyFill="1" applyBorder="1" applyAlignment="1">
      <alignment horizontal="center"/>
    </xf>
    <xf numFmtId="49" fontId="29" fillId="38" borderId="10" xfId="0" applyNumberFormat="1" applyFont="1" applyFill="1" applyBorder="1" applyAlignment="1">
      <alignment horizontal="center"/>
    </xf>
    <xf numFmtId="4" fontId="29" fillId="38" borderId="10" xfId="0" applyNumberFormat="1" applyFont="1" applyFill="1" applyBorder="1" applyAlignment="1">
      <alignment horizontal="center"/>
    </xf>
    <xf numFmtId="3" fontId="29" fillId="38" borderId="10" xfId="0" applyNumberFormat="1" applyFont="1" applyFill="1" applyBorder="1" applyAlignment="1">
      <alignment horizontal="center"/>
    </xf>
    <xf numFmtId="0" fontId="7" fillId="0" borderId="0" xfId="0" applyFont="1" applyAlignment="1">
      <alignment horizontal="center"/>
    </xf>
    <xf numFmtId="0" fontId="29" fillId="38" borderId="20" xfId="0" applyFont="1" applyFill="1" applyBorder="1" applyAlignment="1">
      <alignment horizontal="center"/>
    </xf>
    <xf numFmtId="190" fontId="29" fillId="38" borderId="20" xfId="0" applyNumberFormat="1" applyFont="1" applyFill="1" applyBorder="1" applyAlignment="1">
      <alignment horizontal="center"/>
    </xf>
    <xf numFmtId="49" fontId="29" fillId="38" borderId="20" xfId="0" applyNumberFormat="1" applyFont="1" applyFill="1" applyBorder="1" applyAlignment="1">
      <alignment horizontal="center"/>
    </xf>
    <xf numFmtId="4" fontId="29" fillId="38" borderId="20" xfId="0" applyNumberFormat="1" applyFont="1" applyFill="1" applyBorder="1" applyAlignment="1">
      <alignment horizontal="center"/>
    </xf>
    <xf numFmtId="3" fontId="29" fillId="38" borderId="20" xfId="0" applyNumberFormat="1" applyFont="1" applyFill="1" applyBorder="1" applyAlignment="1">
      <alignment horizontal="center"/>
    </xf>
    <xf numFmtId="0" fontId="7" fillId="0" borderId="21" xfId="0" applyFont="1" applyBorder="1" applyAlignment="1">
      <alignment horizontal="right"/>
    </xf>
    <xf numFmtId="190" fontId="7" fillId="0" borderId="21" xfId="0" applyNumberFormat="1" applyFont="1" applyBorder="1" applyAlignment="1">
      <alignment horizontal="right"/>
    </xf>
    <xf numFmtId="49" fontId="7" fillId="0" borderId="21" xfId="0" applyNumberFormat="1" applyFont="1" applyBorder="1" applyAlignment="1">
      <alignment horizontal="right"/>
    </xf>
    <xf numFmtId="4" fontId="7" fillId="0" borderId="21" xfId="0" applyNumberFormat="1" applyFont="1" applyBorder="1" applyAlignment="1">
      <alignment horizontal="right"/>
    </xf>
    <xf numFmtId="3" fontId="7" fillId="0" borderId="22" xfId="0" applyNumberFormat="1" applyFont="1" applyBorder="1" applyAlignment="1">
      <alignment horizontal="right"/>
    </xf>
    <xf numFmtId="4" fontId="7" fillId="0" borderId="23" xfId="0" applyNumberFormat="1" applyFont="1" applyBorder="1" applyAlignment="1">
      <alignment horizontal="right"/>
    </xf>
    <xf numFmtId="3" fontId="7" fillId="0" borderId="21" xfId="0" applyNumberFormat="1" applyFont="1" applyBorder="1" applyAlignment="1">
      <alignment horizontal="right"/>
    </xf>
    <xf numFmtId="9" fontId="7" fillId="0" borderId="21" xfId="0" applyNumberFormat="1" applyFont="1" applyBorder="1" applyAlignment="1">
      <alignment horizontal="right"/>
    </xf>
    <xf numFmtId="0" fontId="7" fillId="35" borderId="10" xfId="0" applyFont="1" applyFill="1" applyBorder="1" applyAlignment="1">
      <alignment horizontal="right"/>
    </xf>
    <xf numFmtId="190" fontId="7" fillId="35" borderId="10" xfId="0" applyNumberFormat="1" applyFont="1" applyFill="1" applyBorder="1" applyAlignment="1">
      <alignment horizontal="right"/>
    </xf>
    <xf numFmtId="49" fontId="7" fillId="35" borderId="10" xfId="0" applyNumberFormat="1" applyFont="1" applyFill="1" applyBorder="1" applyAlignment="1">
      <alignment horizontal="right"/>
    </xf>
    <xf numFmtId="4" fontId="7" fillId="35" borderId="10" xfId="0" applyNumberFormat="1" applyFont="1" applyFill="1" applyBorder="1" applyAlignment="1">
      <alignment horizontal="right"/>
    </xf>
    <xf numFmtId="3" fontId="7" fillId="35" borderId="24" xfId="0" applyNumberFormat="1" applyFont="1" applyFill="1" applyBorder="1" applyAlignment="1">
      <alignment horizontal="right"/>
    </xf>
    <xf numFmtId="4" fontId="7" fillId="35" borderId="25" xfId="0" applyNumberFormat="1" applyFont="1" applyFill="1" applyBorder="1" applyAlignment="1">
      <alignment horizontal="right"/>
    </xf>
    <xf numFmtId="3" fontId="7" fillId="35" borderId="10" xfId="0" applyNumberFormat="1" applyFont="1" applyFill="1" applyBorder="1" applyAlignment="1">
      <alignment horizontal="right"/>
    </xf>
    <xf numFmtId="9" fontId="7" fillId="35" borderId="10" xfId="0" applyNumberFormat="1" applyFont="1" applyFill="1" applyBorder="1" applyAlignment="1">
      <alignment horizontal="right"/>
    </xf>
    <xf numFmtId="0" fontId="31" fillId="35" borderId="10" xfId="0" applyFont="1" applyFill="1" applyBorder="1" applyAlignment="1">
      <alignment horizontal="center"/>
    </xf>
    <xf numFmtId="190" fontId="7" fillId="0" borderId="0" xfId="0" applyNumberFormat="1" applyFont="1" applyAlignment="1">
      <alignment horizontal="right"/>
    </xf>
    <xf numFmtId="49" fontId="7" fillId="0" borderId="0" xfId="0" applyNumberFormat="1" applyFont="1" applyAlignment="1">
      <alignment horizontal="right"/>
    </xf>
    <xf numFmtId="4" fontId="7" fillId="0" borderId="0" xfId="0" applyNumberFormat="1" applyFont="1" applyAlignment="1">
      <alignment horizontal="right"/>
    </xf>
    <xf numFmtId="3" fontId="7" fillId="0" borderId="0" xfId="0" applyNumberFormat="1" applyFont="1" applyAlignment="1">
      <alignment horizontal="right"/>
    </xf>
    <xf numFmtId="0" fontId="7" fillId="0" borderId="10" xfId="0" applyFont="1" applyBorder="1" applyAlignment="1">
      <alignment horizontal="right"/>
    </xf>
    <xf numFmtId="190" fontId="7" fillId="0" borderId="10" xfId="0" applyNumberFormat="1" applyFont="1" applyBorder="1" applyAlignment="1">
      <alignment horizontal="right"/>
    </xf>
    <xf numFmtId="49" fontId="7" fillId="0" borderId="10" xfId="0" applyNumberFormat="1" applyFont="1" applyBorder="1" applyAlignment="1">
      <alignment horizontal="right"/>
    </xf>
    <xf numFmtId="4" fontId="7" fillId="0" borderId="10" xfId="0" applyNumberFormat="1" applyFont="1" applyBorder="1" applyAlignment="1">
      <alignment horizontal="right"/>
    </xf>
    <xf numFmtId="3" fontId="7" fillId="0" borderId="10" xfId="0" applyNumberFormat="1" applyFont="1" applyBorder="1" applyAlignment="1">
      <alignment horizontal="right"/>
    </xf>
    <xf numFmtId="9" fontId="7" fillId="0" borderId="10" xfId="0" applyNumberFormat="1" applyFont="1" applyBorder="1" applyAlignment="1">
      <alignment horizontal="right"/>
    </xf>
    <xf numFmtId="0" fontId="31" fillId="0" borderId="10" xfId="0" applyFont="1" applyBorder="1" applyAlignment="1">
      <alignment horizontal="center"/>
    </xf>
    <xf numFmtId="0" fontId="7" fillId="39" borderId="0" xfId="0" applyFont="1" applyFill="1" applyAlignment="1">
      <alignment horizontal="right"/>
    </xf>
    <xf numFmtId="190" fontId="7" fillId="39" borderId="0" xfId="0" applyNumberFormat="1" applyFont="1" applyFill="1" applyAlignment="1">
      <alignment horizontal="right"/>
    </xf>
    <xf numFmtId="49" fontId="7" fillId="39" borderId="0" xfId="0" applyNumberFormat="1" applyFont="1" applyFill="1" applyAlignment="1">
      <alignment horizontal="right"/>
    </xf>
    <xf numFmtId="4" fontId="7" fillId="39" borderId="0" xfId="0" applyNumberFormat="1" applyFont="1" applyFill="1" applyAlignment="1">
      <alignment horizontal="right"/>
    </xf>
    <xf numFmtId="3" fontId="7" fillId="39" borderId="0" xfId="0" applyNumberFormat="1" applyFont="1" applyFill="1" applyAlignment="1">
      <alignment horizontal="right"/>
    </xf>
    <xf numFmtId="0" fontId="7" fillId="39" borderId="0" xfId="0" applyFont="1" applyFill="1" applyAlignment="1">
      <alignment horizontal="center"/>
    </xf>
    <xf numFmtId="0" fontId="7" fillId="40" borderId="10" xfId="0" applyFont="1" applyFill="1" applyBorder="1" applyAlignment="1">
      <alignment horizontal="right"/>
    </xf>
    <xf numFmtId="190" fontId="7" fillId="40" borderId="10" xfId="0" applyNumberFormat="1" applyFont="1" applyFill="1" applyBorder="1" applyAlignment="1">
      <alignment horizontal="right"/>
    </xf>
    <xf numFmtId="49" fontId="7" fillId="40" borderId="10" xfId="0" applyNumberFormat="1" applyFont="1" applyFill="1" applyBorder="1" applyAlignment="1">
      <alignment horizontal="right"/>
    </xf>
    <xf numFmtId="4" fontId="7" fillId="40" borderId="10" xfId="0" applyNumberFormat="1" applyFont="1" applyFill="1" applyBorder="1" applyAlignment="1">
      <alignment horizontal="right"/>
    </xf>
    <xf numFmtId="3" fontId="7" fillId="40" borderId="10" xfId="0" applyNumberFormat="1" applyFont="1" applyFill="1" applyBorder="1" applyAlignment="1">
      <alignment horizontal="right"/>
    </xf>
    <xf numFmtId="0" fontId="7" fillId="40" borderId="10" xfId="0" applyFont="1" applyFill="1" applyBorder="1" applyAlignment="1">
      <alignment horizontal="center"/>
    </xf>
    <xf numFmtId="0" fontId="33" fillId="41" borderId="10" xfId="0" applyFont="1" applyFill="1" applyBorder="1" applyAlignment="1">
      <alignment horizontal="right"/>
    </xf>
    <xf numFmtId="190" fontId="33" fillId="41" borderId="10" xfId="0" applyNumberFormat="1" applyFont="1" applyFill="1" applyBorder="1" applyAlignment="1">
      <alignment horizontal="right"/>
    </xf>
    <xf numFmtId="49" fontId="33" fillId="41" borderId="10" xfId="0" applyNumberFormat="1" applyFont="1" applyFill="1" applyBorder="1" applyAlignment="1">
      <alignment horizontal="right"/>
    </xf>
    <xf numFmtId="4" fontId="33" fillId="41" borderId="10" xfId="0" applyNumberFormat="1" applyFont="1" applyFill="1" applyBorder="1" applyAlignment="1">
      <alignment horizontal="right"/>
    </xf>
    <xf numFmtId="3" fontId="33" fillId="41" borderId="10" xfId="0" applyNumberFormat="1" applyFont="1" applyFill="1" applyBorder="1" applyAlignment="1">
      <alignment horizontal="right"/>
    </xf>
    <xf numFmtId="0" fontId="33" fillId="41" borderId="10" xfId="0" applyFont="1" applyFill="1" applyBorder="1" applyAlignment="1">
      <alignment horizontal="center"/>
    </xf>
    <xf numFmtId="49" fontId="0" fillId="39" borderId="0" xfId="0" applyNumberFormat="1" applyFont="1" applyFill="1" applyAlignment="1">
      <alignment horizontal="right"/>
    </xf>
    <xf numFmtId="0" fontId="115" fillId="0" borderId="10" xfId="0" applyFont="1" applyBorder="1" applyAlignment="1">
      <alignment horizontal="center"/>
    </xf>
    <xf numFmtId="0" fontId="115" fillId="35" borderId="10" xfId="0" applyFont="1" applyFill="1" applyBorder="1" applyAlignment="1">
      <alignment horizontal="center"/>
    </xf>
    <xf numFmtId="0" fontId="35" fillId="0" borderId="10" xfId="0" applyFont="1" applyBorder="1" applyAlignment="1">
      <alignment horizontal="center"/>
    </xf>
    <xf numFmtId="0" fontId="33" fillId="42" borderId="0" xfId="0" applyFont="1" applyFill="1" applyAlignment="1">
      <alignment horizontal="right"/>
    </xf>
    <xf numFmtId="190" fontId="33" fillId="42" borderId="0" xfId="0" applyNumberFormat="1" applyFont="1" applyFill="1" applyAlignment="1">
      <alignment horizontal="right"/>
    </xf>
    <xf numFmtId="49" fontId="33" fillId="42" borderId="0" xfId="0" applyNumberFormat="1" applyFont="1" applyFill="1" applyAlignment="1">
      <alignment horizontal="right"/>
    </xf>
    <xf numFmtId="4" fontId="33" fillId="42" borderId="0" xfId="0" applyNumberFormat="1" applyFont="1" applyFill="1" applyAlignment="1">
      <alignment horizontal="right"/>
    </xf>
    <xf numFmtId="3" fontId="33" fillId="42" borderId="0" xfId="0" applyNumberFormat="1" applyFont="1" applyFill="1" applyAlignment="1">
      <alignment horizontal="right"/>
    </xf>
    <xf numFmtId="0" fontId="33" fillId="42" borderId="0" xfId="0" applyFont="1" applyFill="1" applyAlignment="1">
      <alignment horizontal="center"/>
    </xf>
    <xf numFmtId="0" fontId="33" fillId="43" borderId="0" xfId="0" applyFont="1" applyFill="1" applyAlignment="1">
      <alignment horizontal="right"/>
    </xf>
    <xf numFmtId="190" fontId="33" fillId="43" borderId="0" xfId="0" applyNumberFormat="1" applyFont="1" applyFill="1" applyAlignment="1">
      <alignment horizontal="right"/>
    </xf>
    <xf numFmtId="49" fontId="33" fillId="43" borderId="0" xfId="0" applyNumberFormat="1" applyFont="1" applyFill="1" applyAlignment="1">
      <alignment horizontal="right"/>
    </xf>
    <xf numFmtId="4" fontId="33" fillId="43" borderId="0" xfId="0" applyNumberFormat="1" applyFont="1" applyFill="1" applyAlignment="1">
      <alignment horizontal="right"/>
    </xf>
    <xf numFmtId="3" fontId="33" fillId="43" borderId="0" xfId="0" applyNumberFormat="1" applyFont="1" applyFill="1" applyAlignment="1">
      <alignment horizontal="right"/>
    </xf>
    <xf numFmtId="0" fontId="33" fillId="43" borderId="0" xfId="0" applyFont="1" applyFill="1" applyAlignment="1">
      <alignment horizontal="center"/>
    </xf>
    <xf numFmtId="0" fontId="7" fillId="0" borderId="0" xfId="0" applyFont="1" applyFill="1" applyBorder="1" applyAlignment="1">
      <alignment horizontal="right"/>
    </xf>
    <xf numFmtId="190" fontId="7" fillId="0" borderId="0" xfId="0" applyNumberFormat="1" applyFont="1" applyFill="1" applyBorder="1" applyAlignment="1">
      <alignment horizontal="right"/>
    </xf>
    <xf numFmtId="49"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9"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0" xfId="0" applyFont="1" applyFill="1" applyAlignment="1">
      <alignment horizontal="right"/>
    </xf>
    <xf numFmtId="0" fontId="33" fillId="0" borderId="0" xfId="0" applyFont="1" applyFill="1" applyAlignment="1">
      <alignment horizontal="right"/>
    </xf>
    <xf numFmtId="190" fontId="33" fillId="0" borderId="0" xfId="0" applyNumberFormat="1" applyFont="1" applyFill="1" applyAlignment="1">
      <alignment horizontal="right"/>
    </xf>
    <xf numFmtId="49" fontId="33" fillId="0" borderId="0" xfId="0" applyNumberFormat="1" applyFont="1" applyFill="1" applyAlignment="1">
      <alignment horizontal="right"/>
    </xf>
    <xf numFmtId="4" fontId="33" fillId="0" borderId="0" xfId="0" applyNumberFormat="1" applyFont="1" applyFill="1" applyAlignment="1">
      <alignment horizontal="right"/>
    </xf>
    <xf numFmtId="3" fontId="7" fillId="0" borderId="0" xfId="0" applyNumberFormat="1" applyFont="1" applyFill="1" applyAlignment="1">
      <alignment horizontal="right"/>
    </xf>
    <xf numFmtId="4" fontId="7" fillId="0" borderId="0" xfId="0" applyNumberFormat="1" applyFont="1" applyFill="1" applyAlignment="1">
      <alignment horizontal="right"/>
    </xf>
    <xf numFmtId="0" fontId="33" fillId="0" borderId="0" xfId="0" applyFont="1" applyFill="1" applyAlignment="1">
      <alignment horizontal="center"/>
    </xf>
    <xf numFmtId="3" fontId="33" fillId="0" borderId="0" xfId="0" applyNumberFormat="1" applyFont="1" applyFill="1" applyAlignment="1">
      <alignment horizontal="right"/>
    </xf>
    <xf numFmtId="0" fontId="29" fillId="5" borderId="26" xfId="0" applyFont="1" applyFill="1" applyBorder="1" applyAlignment="1">
      <alignment horizontal="center"/>
    </xf>
    <xf numFmtId="0" fontId="7" fillId="5" borderId="10" xfId="0" applyFont="1" applyFill="1" applyBorder="1" applyAlignment="1">
      <alignment horizontal="right"/>
    </xf>
    <xf numFmtId="190" fontId="7" fillId="5" borderId="10" xfId="0" applyNumberFormat="1" applyFont="1" applyFill="1" applyBorder="1" applyAlignment="1">
      <alignment horizontal="right"/>
    </xf>
    <xf numFmtId="49" fontId="7" fillId="5" borderId="10" xfId="0" applyNumberFormat="1" applyFont="1" applyFill="1" applyBorder="1" applyAlignment="1">
      <alignment horizontal="right"/>
    </xf>
    <xf numFmtId="4" fontId="7" fillId="5" borderId="10" xfId="0" applyNumberFormat="1" applyFont="1" applyFill="1" applyBorder="1" applyAlignment="1">
      <alignment horizontal="right"/>
    </xf>
    <xf numFmtId="3" fontId="7" fillId="5" borderId="10" xfId="0" applyNumberFormat="1" applyFont="1" applyFill="1" applyBorder="1" applyAlignment="1">
      <alignment horizontal="right"/>
    </xf>
    <xf numFmtId="0" fontId="7" fillId="5" borderId="10" xfId="0" applyFont="1" applyFill="1" applyBorder="1" applyAlignment="1">
      <alignment horizontal="center"/>
    </xf>
    <xf numFmtId="3" fontId="7" fillId="5" borderId="24" xfId="0" applyNumberFormat="1" applyFont="1" applyFill="1" applyBorder="1" applyAlignment="1">
      <alignment horizontal="right"/>
    </xf>
    <xf numFmtId="3" fontId="7" fillId="40" borderId="24" xfId="0" applyNumberFormat="1" applyFont="1" applyFill="1" applyBorder="1" applyAlignment="1">
      <alignment horizontal="right"/>
    </xf>
    <xf numFmtId="4" fontId="7" fillId="5" borderId="25" xfId="0" applyNumberFormat="1" applyFont="1" applyFill="1" applyBorder="1" applyAlignment="1">
      <alignment horizontal="right"/>
    </xf>
    <xf numFmtId="4" fontId="7" fillId="40" borderId="25" xfId="0" applyNumberFormat="1" applyFont="1" applyFill="1" applyBorder="1" applyAlignment="1">
      <alignment horizontal="right"/>
    </xf>
    <xf numFmtId="9" fontId="7" fillId="0" borderId="22" xfId="0" applyNumberFormat="1" applyFont="1" applyBorder="1" applyAlignment="1">
      <alignment horizontal="right"/>
    </xf>
    <xf numFmtId="9" fontId="7" fillId="35" borderId="24" xfId="0" applyNumberFormat="1" applyFont="1" applyFill="1" applyBorder="1" applyAlignment="1">
      <alignment horizontal="right"/>
    </xf>
    <xf numFmtId="9" fontId="7" fillId="0" borderId="24" xfId="0" applyNumberFormat="1" applyFont="1" applyBorder="1" applyAlignment="1">
      <alignment horizontal="right"/>
    </xf>
    <xf numFmtId="3" fontId="29" fillId="5" borderId="26" xfId="0" applyNumberFormat="1" applyFont="1" applyFill="1" applyBorder="1" applyAlignment="1">
      <alignment horizontal="right"/>
    </xf>
    <xf numFmtId="4" fontId="29" fillId="5" borderId="26" xfId="0" applyNumberFormat="1" applyFont="1" applyFill="1" applyBorder="1" applyAlignment="1">
      <alignment horizontal="right"/>
    </xf>
    <xf numFmtId="49" fontId="29" fillId="5" borderId="26" xfId="0" applyNumberFormat="1" applyFont="1" applyFill="1" applyBorder="1" applyAlignment="1">
      <alignment horizontal="right"/>
    </xf>
    <xf numFmtId="9" fontId="29" fillId="5" borderId="22" xfId="0" applyNumberFormat="1" applyFont="1" applyFill="1" applyBorder="1" applyAlignment="1">
      <alignment horizontal="right"/>
    </xf>
    <xf numFmtId="0" fontId="116" fillId="5" borderId="26" xfId="0" applyFont="1" applyFill="1" applyBorder="1" applyAlignment="1">
      <alignment horizontal="center"/>
    </xf>
    <xf numFmtId="190" fontId="29" fillId="5" borderId="26" xfId="0" applyNumberFormat="1" applyFont="1" applyFill="1" applyBorder="1" applyAlignment="1">
      <alignment horizontal="right"/>
    </xf>
    <xf numFmtId="0" fontId="31" fillId="0" borderId="21" xfId="0" applyFont="1" applyBorder="1" applyAlignment="1">
      <alignment horizontal="center"/>
    </xf>
    <xf numFmtId="0" fontId="116" fillId="5" borderId="10" xfId="0" applyFont="1" applyFill="1" applyBorder="1" applyAlignment="1">
      <alignment horizontal="center"/>
    </xf>
    <xf numFmtId="3" fontId="29" fillId="5" borderId="27" xfId="0" applyNumberFormat="1" applyFont="1" applyFill="1" applyBorder="1" applyAlignment="1">
      <alignment horizontal="right"/>
    </xf>
    <xf numFmtId="4" fontId="29" fillId="5" borderId="28" xfId="0" applyNumberFormat="1" applyFont="1" applyFill="1" applyBorder="1" applyAlignment="1">
      <alignment horizontal="right"/>
    </xf>
    <xf numFmtId="9" fontId="9" fillId="0" borderId="10" xfId="0" applyNumberFormat="1" applyFont="1" applyBorder="1" applyAlignment="1">
      <alignment horizontal="center" vertical="center"/>
    </xf>
    <xf numFmtId="0" fontId="29" fillId="5" borderId="10" xfId="0" applyFont="1" applyFill="1" applyBorder="1" applyAlignment="1">
      <alignment horizontal="right"/>
    </xf>
    <xf numFmtId="190" fontId="29" fillId="5" borderId="10" xfId="0" applyNumberFormat="1" applyFont="1" applyFill="1" applyBorder="1" applyAlignment="1">
      <alignment horizontal="right"/>
    </xf>
    <xf numFmtId="49" fontId="29" fillId="5" borderId="10" xfId="0" applyNumberFormat="1" applyFont="1" applyFill="1" applyBorder="1" applyAlignment="1">
      <alignment horizontal="right"/>
    </xf>
    <xf numFmtId="4" fontId="29" fillId="5" borderId="10" xfId="0" applyNumberFormat="1" applyFont="1" applyFill="1" applyBorder="1" applyAlignment="1">
      <alignment horizontal="right"/>
    </xf>
    <xf numFmtId="3" fontId="29" fillId="5" borderId="10" xfId="0" applyNumberFormat="1" applyFont="1" applyFill="1" applyBorder="1" applyAlignment="1">
      <alignment horizontal="right"/>
    </xf>
    <xf numFmtId="9" fontId="116" fillId="5" borderId="10" xfId="0" applyNumberFormat="1" applyFont="1" applyFill="1" applyBorder="1" applyAlignment="1">
      <alignment horizontal="center" vertical="center"/>
    </xf>
    <xf numFmtId="0" fontId="7" fillId="0" borderId="29" xfId="0" applyFont="1" applyBorder="1" applyAlignment="1">
      <alignment horizontal="center"/>
    </xf>
    <xf numFmtId="3" fontId="7" fillId="0" borderId="29" xfId="0" applyNumberFormat="1" applyFont="1" applyBorder="1" applyAlignment="1">
      <alignment horizontal="right"/>
    </xf>
    <xf numFmtId="0" fontId="7" fillId="0" borderId="21" xfId="0" applyFont="1" applyBorder="1" applyAlignment="1">
      <alignment horizontal="center"/>
    </xf>
    <xf numFmtId="9" fontId="29" fillId="5" borderId="10" xfId="0" applyNumberFormat="1" applyFont="1" applyFill="1" applyBorder="1" applyAlignment="1">
      <alignment horizontal="right"/>
    </xf>
    <xf numFmtId="3" fontId="29" fillId="5" borderId="24" xfId="0" applyNumberFormat="1" applyFont="1" applyFill="1" applyBorder="1" applyAlignment="1">
      <alignment horizontal="right"/>
    </xf>
    <xf numFmtId="4" fontId="29" fillId="5" borderId="25" xfId="0" applyNumberFormat="1" applyFont="1" applyFill="1" applyBorder="1" applyAlignment="1">
      <alignment horizontal="right"/>
    </xf>
    <xf numFmtId="9" fontId="32" fillId="0" borderId="10" xfId="0" applyNumberFormat="1" applyFont="1" applyBorder="1" applyAlignment="1">
      <alignment horizontal="center" vertical="center"/>
    </xf>
    <xf numFmtId="3" fontId="7" fillId="0" borderId="24" xfId="0" applyNumberFormat="1" applyFont="1" applyBorder="1" applyAlignment="1">
      <alignment horizontal="right"/>
    </xf>
    <xf numFmtId="4" fontId="7" fillId="0" borderId="25" xfId="0" applyNumberFormat="1" applyFont="1" applyBorder="1" applyAlignment="1">
      <alignment horizontal="right"/>
    </xf>
    <xf numFmtId="0" fontId="7" fillId="0" borderId="29" xfId="0" applyFont="1" applyBorder="1" applyAlignment="1">
      <alignment horizontal="right"/>
    </xf>
    <xf numFmtId="9" fontId="29" fillId="5" borderId="24" xfId="0" applyNumberFormat="1" applyFont="1" applyFill="1" applyBorder="1" applyAlignment="1">
      <alignment horizontal="right"/>
    </xf>
    <xf numFmtId="9" fontId="7" fillId="5" borderId="21" xfId="0" applyNumberFormat="1" applyFont="1" applyFill="1" applyBorder="1" applyAlignment="1">
      <alignment horizontal="right"/>
    </xf>
    <xf numFmtId="9" fontId="34" fillId="0" borderId="10" xfId="0" applyNumberFormat="1" applyFont="1" applyBorder="1" applyAlignment="1">
      <alignment horizontal="center" vertical="center"/>
    </xf>
    <xf numFmtId="9" fontId="11" fillId="0" borderId="10" xfId="0" applyNumberFormat="1" applyFont="1" applyBorder="1" applyAlignment="1">
      <alignment horizontal="center" vertical="center"/>
    </xf>
    <xf numFmtId="3" fontId="29" fillId="5" borderId="21" xfId="0" applyNumberFormat="1" applyFont="1" applyFill="1" applyBorder="1" applyAlignment="1">
      <alignment horizontal="right"/>
    </xf>
    <xf numFmtId="4" fontId="29" fillId="5" borderId="21" xfId="0" applyNumberFormat="1" applyFont="1" applyFill="1" applyBorder="1" applyAlignment="1">
      <alignment horizontal="right"/>
    </xf>
    <xf numFmtId="190" fontId="29" fillId="5" borderId="21" xfId="0" applyNumberFormat="1" applyFont="1" applyFill="1" applyBorder="1" applyAlignment="1">
      <alignment horizontal="right"/>
    </xf>
    <xf numFmtId="49" fontId="29" fillId="5" borderId="21" xfId="0" applyNumberFormat="1" applyFont="1" applyFill="1" applyBorder="1" applyAlignment="1">
      <alignment horizontal="right"/>
    </xf>
    <xf numFmtId="0" fontId="116" fillId="5" borderId="21" xfId="0" applyFont="1" applyFill="1" applyBorder="1" applyAlignment="1">
      <alignment horizontal="center"/>
    </xf>
    <xf numFmtId="0" fontId="29" fillId="5" borderId="21" xfId="0" applyFont="1" applyFill="1" applyBorder="1" applyAlignment="1">
      <alignment horizontal="right"/>
    </xf>
    <xf numFmtId="9" fontId="116" fillId="5" borderId="21" xfId="0" applyNumberFormat="1" applyFont="1" applyFill="1" applyBorder="1" applyAlignment="1">
      <alignment horizontal="center" vertical="center"/>
    </xf>
    <xf numFmtId="9" fontId="116" fillId="5" borderId="21" xfId="0" applyNumberFormat="1" applyFont="1" applyFill="1" applyBorder="1" applyAlignment="1">
      <alignment horizontal="center" vertical="center" wrapText="1"/>
    </xf>
    <xf numFmtId="0" fontId="117" fillId="0" borderId="10" xfId="0" applyFont="1" applyBorder="1" applyAlignment="1">
      <alignment horizontal="center" wrapText="1"/>
    </xf>
    <xf numFmtId="9" fontId="107" fillId="0" borderId="10" xfId="0" applyNumberFormat="1" applyFont="1" applyBorder="1" applyAlignment="1">
      <alignment horizontal="center" vertical="center"/>
    </xf>
    <xf numFmtId="3" fontId="115" fillId="0" borderId="10" xfId="0" applyNumberFormat="1" applyFont="1" applyBorder="1" applyAlignment="1">
      <alignment horizontal="right"/>
    </xf>
    <xf numFmtId="0" fontId="117" fillId="0" borderId="10" xfId="0" applyFont="1" applyBorder="1" applyAlignment="1">
      <alignment/>
    </xf>
    <xf numFmtId="3" fontId="115" fillId="0" borderId="0" xfId="0" applyNumberFormat="1" applyFont="1" applyAlignment="1">
      <alignment horizontal="right"/>
    </xf>
    <xf numFmtId="9" fontId="116" fillId="0" borderId="10" xfId="0" applyNumberFormat="1" applyFont="1" applyBorder="1" applyAlignment="1">
      <alignment horizontal="center" vertical="center"/>
    </xf>
    <xf numFmtId="3" fontId="33" fillId="41" borderId="24" xfId="0" applyNumberFormat="1" applyFont="1" applyFill="1" applyBorder="1" applyAlignment="1">
      <alignment horizontal="right"/>
    </xf>
    <xf numFmtId="4" fontId="33" fillId="41" borderId="25" xfId="0" applyNumberFormat="1" applyFont="1" applyFill="1" applyBorder="1" applyAlignment="1">
      <alignment horizontal="right"/>
    </xf>
    <xf numFmtId="9" fontId="118" fillId="5" borderId="10" xfId="0" applyNumberFormat="1" applyFont="1" applyFill="1" applyBorder="1" applyAlignment="1">
      <alignment horizontal="center" vertical="center"/>
    </xf>
    <xf numFmtId="3" fontId="29" fillId="5" borderId="22" xfId="0" applyNumberFormat="1" applyFont="1" applyFill="1" applyBorder="1" applyAlignment="1">
      <alignment horizontal="right"/>
    </xf>
    <xf numFmtId="9" fontId="118" fillId="5" borderId="21" xfId="0" applyNumberFormat="1" applyFont="1" applyFill="1" applyBorder="1" applyAlignment="1">
      <alignment horizontal="center" vertical="center"/>
    </xf>
    <xf numFmtId="4" fontId="29" fillId="5" borderId="23" xfId="0" applyNumberFormat="1" applyFont="1" applyFill="1" applyBorder="1" applyAlignment="1">
      <alignment horizontal="right"/>
    </xf>
    <xf numFmtId="0" fontId="33" fillId="44" borderId="0" xfId="0" applyFont="1" applyFill="1" applyAlignment="1">
      <alignment horizontal="right"/>
    </xf>
    <xf numFmtId="190" fontId="33" fillId="44" borderId="0" xfId="0" applyNumberFormat="1" applyFont="1" applyFill="1" applyAlignment="1">
      <alignment horizontal="right"/>
    </xf>
    <xf numFmtId="49" fontId="33" fillId="44" borderId="0" xfId="0" applyNumberFormat="1" applyFont="1" applyFill="1" applyAlignment="1">
      <alignment horizontal="right"/>
    </xf>
    <xf numFmtId="4" fontId="33" fillId="44" borderId="0" xfId="0" applyNumberFormat="1" applyFont="1" applyFill="1" applyAlignment="1">
      <alignment horizontal="right"/>
    </xf>
    <xf numFmtId="3" fontId="33" fillId="44" borderId="0" xfId="0" applyNumberFormat="1" applyFont="1" applyFill="1" applyAlignment="1">
      <alignment horizontal="right"/>
    </xf>
    <xf numFmtId="0" fontId="33" fillId="44" borderId="0" xfId="0" applyFont="1" applyFill="1" applyAlignment="1">
      <alignment horizontal="center"/>
    </xf>
    <xf numFmtId="0" fontId="64" fillId="37" borderId="0" xfId="0" applyNumberFormat="1" applyFont="1" applyFill="1" applyBorder="1" applyAlignment="1">
      <alignment horizontal="center" wrapText="1"/>
    </xf>
    <xf numFmtId="0" fontId="16" fillId="36" borderId="0" xfId="0" applyFont="1" applyFill="1" applyBorder="1" applyAlignment="1" applyProtection="1">
      <alignment horizontal="center" vertical="center" wrapText="1"/>
      <protection/>
    </xf>
    <xf numFmtId="192" fontId="16" fillId="36" borderId="0" xfId="0" applyNumberFormat="1" applyFont="1" applyFill="1" applyBorder="1" applyAlignment="1" applyProtection="1">
      <alignment horizontal="center" vertical="center" wrapText="1"/>
      <protection/>
    </xf>
    <xf numFmtId="0" fontId="16" fillId="37" borderId="0" xfId="0" applyFont="1" applyFill="1" applyBorder="1" applyAlignment="1" applyProtection="1">
      <alignment horizontal="center" vertical="center" wrapText="1"/>
      <protection/>
    </xf>
    <xf numFmtId="0" fontId="16" fillId="34" borderId="0" xfId="0" applyFont="1" applyFill="1" applyBorder="1" applyAlignment="1">
      <alignment horizontal="right" vertical="center" wrapText="1"/>
    </xf>
    <xf numFmtId="3" fontId="18" fillId="34" borderId="0" xfId="0" applyNumberFormat="1" applyFont="1" applyFill="1" applyBorder="1" applyAlignment="1" applyProtection="1">
      <alignment horizontal="right" vertical="center" wrapText="1"/>
      <protection/>
    </xf>
    <xf numFmtId="0" fontId="17" fillId="34" borderId="0" xfId="0" applyFont="1" applyFill="1" applyAlignment="1">
      <alignment horizontal="right" vertical="center" wrapText="1"/>
    </xf>
    <xf numFmtId="0" fontId="16" fillId="36" borderId="0" xfId="0" applyFont="1" applyFill="1" applyBorder="1" applyAlignment="1" applyProtection="1">
      <alignment horizontal="center" vertical="center"/>
      <protection/>
    </xf>
    <xf numFmtId="0" fontId="17" fillId="34" borderId="0" xfId="0" applyFont="1" applyFill="1" applyAlignment="1">
      <alignment horizontal="right" vertical="center"/>
    </xf>
    <xf numFmtId="0" fontId="18" fillId="34" borderId="0" xfId="0" applyFont="1" applyFill="1" applyBorder="1" applyAlignment="1">
      <alignment horizontal="right"/>
    </xf>
    <xf numFmtId="2" fontId="24" fillId="34" borderId="0" xfId="0" applyNumberFormat="1" applyFont="1" applyFill="1" applyBorder="1" applyAlignment="1">
      <alignment horizontal="right" vertical="center" wrapText="1"/>
    </xf>
    <xf numFmtId="9" fontId="116" fillId="0" borderId="10" xfId="0" applyNumberFormat="1" applyFont="1" applyBorder="1" applyAlignment="1">
      <alignment horizontal="right" vertical="center"/>
    </xf>
    <xf numFmtId="9" fontId="107" fillId="0" borderId="10" xfId="0" applyNumberFormat="1" applyFont="1" applyBorder="1" applyAlignment="1">
      <alignment horizontal="right" vertical="center"/>
    </xf>
    <xf numFmtId="0" fontId="7" fillId="5" borderId="21" xfId="0" applyFont="1" applyFill="1" applyBorder="1" applyAlignment="1">
      <alignment horizontal="right"/>
    </xf>
    <xf numFmtId="190" fontId="7" fillId="5" borderId="21" xfId="0" applyNumberFormat="1" applyFont="1" applyFill="1" applyBorder="1" applyAlignment="1">
      <alignment horizontal="right"/>
    </xf>
    <xf numFmtId="49" fontId="7" fillId="5" borderId="21" xfId="0" applyNumberFormat="1" applyFont="1" applyFill="1" applyBorder="1" applyAlignment="1">
      <alignment horizontal="right"/>
    </xf>
    <xf numFmtId="4" fontId="7" fillId="5" borderId="21" xfId="0" applyNumberFormat="1" applyFont="1" applyFill="1" applyBorder="1" applyAlignment="1">
      <alignment horizontal="right"/>
    </xf>
    <xf numFmtId="3" fontId="7" fillId="5" borderId="22" xfId="0" applyNumberFormat="1" applyFont="1" applyFill="1" applyBorder="1" applyAlignment="1">
      <alignment horizontal="right"/>
    </xf>
    <xf numFmtId="4" fontId="7" fillId="5" borderId="23" xfId="0" applyNumberFormat="1" applyFont="1" applyFill="1" applyBorder="1" applyAlignment="1">
      <alignment horizontal="right"/>
    </xf>
    <xf numFmtId="3" fontId="7" fillId="5" borderId="21" xfId="0" applyNumberFormat="1" applyFont="1" applyFill="1" applyBorder="1" applyAlignment="1">
      <alignment horizontal="right"/>
    </xf>
    <xf numFmtId="0" fontId="115" fillId="5" borderId="21" xfId="0" applyFont="1" applyFill="1" applyBorder="1" applyAlignment="1">
      <alignment horizontal="center"/>
    </xf>
    <xf numFmtId="9" fontId="7" fillId="5" borderId="10" xfId="0" applyNumberFormat="1" applyFont="1" applyFill="1" applyBorder="1" applyAlignment="1">
      <alignment horizontal="right"/>
    </xf>
    <xf numFmtId="0" fontId="115" fillId="5" borderId="10" xfId="0" applyFont="1" applyFill="1" applyBorder="1" applyAlignment="1">
      <alignment horizontal="center"/>
    </xf>
    <xf numFmtId="0" fontId="33" fillId="45" borderId="0" xfId="0" applyFont="1" applyFill="1" applyAlignment="1">
      <alignment horizontal="right"/>
    </xf>
    <xf numFmtId="190" fontId="33" fillId="45" borderId="0" xfId="0" applyNumberFormat="1" applyFont="1" applyFill="1" applyAlignment="1">
      <alignment horizontal="right"/>
    </xf>
    <xf numFmtId="49" fontId="33" fillId="45" borderId="0" xfId="0" applyNumberFormat="1" applyFont="1" applyFill="1" applyAlignment="1">
      <alignment horizontal="right"/>
    </xf>
    <xf numFmtId="4" fontId="33" fillId="45" borderId="0" xfId="0" applyNumberFormat="1" applyFont="1" applyFill="1" applyAlignment="1">
      <alignment horizontal="right"/>
    </xf>
    <xf numFmtId="3" fontId="33" fillId="45" borderId="0" xfId="0" applyNumberFormat="1" applyFont="1" applyFill="1" applyAlignment="1">
      <alignment horizontal="right"/>
    </xf>
    <xf numFmtId="0" fontId="33" fillId="45" borderId="0" xfId="0" applyFont="1" applyFill="1" applyAlignment="1">
      <alignment horizontal="center"/>
    </xf>
    <xf numFmtId="9" fontId="107" fillId="45" borderId="10" xfId="0" applyNumberFormat="1" applyFont="1" applyFill="1" applyBorder="1" applyAlignment="1">
      <alignment horizontal="center" vertical="center"/>
    </xf>
    <xf numFmtId="0" fontId="10" fillId="0" borderId="10" xfId="0" applyNumberFormat="1" applyFont="1" applyBorder="1" applyAlignment="1">
      <alignment horizontal="center" vertical="center"/>
    </xf>
    <xf numFmtId="0" fontId="64" fillId="34" borderId="30" xfId="0" applyNumberFormat="1" applyFont="1" applyFill="1" applyBorder="1" applyAlignment="1">
      <alignment horizontal="left" vertical="center"/>
    </xf>
    <xf numFmtId="0" fontId="119" fillId="34" borderId="30" xfId="0" applyFont="1" applyFill="1" applyBorder="1" applyAlignment="1" applyProtection="1">
      <alignment horizontal="left" vertical="center"/>
      <protection/>
    </xf>
    <xf numFmtId="10" fontId="64" fillId="34" borderId="30" xfId="0" applyNumberFormat="1" applyFont="1" applyFill="1" applyBorder="1" applyAlignment="1" applyProtection="1">
      <alignment horizontal="left" vertical="center"/>
      <protection locked="0"/>
    </xf>
    <xf numFmtId="190" fontId="65" fillId="34" borderId="30" xfId="0" applyNumberFormat="1" applyFont="1" applyFill="1" applyBorder="1" applyAlignment="1" applyProtection="1">
      <alignment vertical="center"/>
      <protection locked="0"/>
    </xf>
    <xf numFmtId="0" fontId="64" fillId="34" borderId="30" xfId="67" applyFont="1" applyFill="1" applyBorder="1" applyAlignment="1">
      <alignment horizontal="left" vertical="center"/>
      <protection/>
    </xf>
    <xf numFmtId="190" fontId="65" fillId="34" borderId="30" xfId="0" applyNumberFormat="1" applyFont="1" applyFill="1" applyBorder="1" applyAlignment="1" applyProtection="1">
      <alignment vertical="center"/>
      <protection/>
    </xf>
    <xf numFmtId="1" fontId="54" fillId="34" borderId="12" xfId="0" applyNumberFormat="1" applyFont="1" applyFill="1" applyBorder="1" applyAlignment="1">
      <alignment/>
    </xf>
    <xf numFmtId="1" fontId="54" fillId="37" borderId="31" xfId="0" applyNumberFormat="1" applyFont="1" applyFill="1" applyBorder="1" applyAlignment="1" applyProtection="1">
      <alignment horizontal="center" vertical="center" wrapText="1"/>
      <protection/>
    </xf>
    <xf numFmtId="0" fontId="54" fillId="37" borderId="13" xfId="0" applyFont="1" applyFill="1" applyBorder="1" applyAlignment="1" applyProtection="1">
      <alignment horizontal="center" vertical="center"/>
      <protection/>
    </xf>
    <xf numFmtId="0" fontId="54" fillId="37" borderId="18" xfId="0" applyFont="1" applyFill="1" applyBorder="1" applyAlignment="1" applyProtection="1">
      <alignment horizontal="center" vertical="center"/>
      <protection/>
    </xf>
    <xf numFmtId="0" fontId="29" fillId="37" borderId="15" xfId="0" applyFont="1" applyFill="1" applyBorder="1" applyAlignment="1" applyProtection="1">
      <alignment horizontal="center" vertical="center" wrapText="1"/>
      <protection/>
    </xf>
    <xf numFmtId="9" fontId="118" fillId="0" borderId="10" xfId="0" applyNumberFormat="1" applyFont="1" applyBorder="1" applyAlignment="1">
      <alignment horizontal="center" vertical="center"/>
    </xf>
    <xf numFmtId="9" fontId="108" fillId="0" borderId="10" xfId="0" applyNumberFormat="1" applyFont="1" applyBorder="1" applyAlignment="1">
      <alignment horizontal="center" vertical="center"/>
    </xf>
    <xf numFmtId="1" fontId="54" fillId="34" borderId="19" xfId="0" applyNumberFormat="1" applyFont="1" applyFill="1" applyBorder="1" applyAlignment="1">
      <alignment/>
    </xf>
    <xf numFmtId="0" fontId="7" fillId="5" borderId="21" xfId="0" applyFont="1" applyFill="1" applyBorder="1" applyAlignment="1">
      <alignment horizontal="center"/>
    </xf>
    <xf numFmtId="0" fontId="64" fillId="37" borderId="0" xfId="0" applyNumberFormat="1" applyFont="1" applyFill="1" applyBorder="1" applyAlignment="1">
      <alignment horizontal="center" wrapText="1"/>
    </xf>
    <xf numFmtId="0" fontId="7" fillId="39" borderId="32" xfId="0" applyFont="1" applyFill="1" applyBorder="1" applyAlignment="1">
      <alignment horizontal="right"/>
    </xf>
    <xf numFmtId="190" fontId="7" fillId="39" borderId="32" xfId="0" applyNumberFormat="1" applyFont="1" applyFill="1" applyBorder="1" applyAlignment="1">
      <alignment horizontal="right"/>
    </xf>
    <xf numFmtId="49" fontId="7" fillId="39" borderId="32" xfId="0" applyNumberFormat="1" applyFont="1" applyFill="1" applyBorder="1" applyAlignment="1">
      <alignment horizontal="right"/>
    </xf>
    <xf numFmtId="4" fontId="7" fillId="39" borderId="32" xfId="0" applyNumberFormat="1" applyFont="1" applyFill="1" applyBorder="1" applyAlignment="1">
      <alignment horizontal="right"/>
    </xf>
    <xf numFmtId="3" fontId="7" fillId="39" borderId="32" xfId="0" applyNumberFormat="1" applyFont="1" applyFill="1" applyBorder="1" applyAlignment="1">
      <alignment horizontal="right"/>
    </xf>
    <xf numFmtId="0" fontId="7" fillId="39" borderId="32" xfId="0" applyFont="1" applyFill="1" applyBorder="1" applyAlignment="1">
      <alignment horizontal="center"/>
    </xf>
    <xf numFmtId="0" fontId="64" fillId="34" borderId="30" xfId="65" applyNumberFormat="1" applyFont="1" applyFill="1" applyBorder="1" applyAlignment="1">
      <alignment vertical="center"/>
      <protection/>
    </xf>
    <xf numFmtId="0" fontId="64" fillId="34" borderId="30" xfId="65" applyNumberFormat="1" applyFont="1" applyFill="1" applyBorder="1" applyAlignment="1">
      <alignment horizontal="right" vertical="center"/>
      <protection/>
    </xf>
    <xf numFmtId="0" fontId="64" fillId="34" borderId="30" xfId="65" applyFont="1" applyFill="1" applyBorder="1" applyAlignment="1">
      <alignment horizontal="right" vertical="center" shrinkToFit="1"/>
      <protection/>
    </xf>
    <xf numFmtId="0" fontId="64" fillId="34" borderId="30" xfId="65" applyFont="1" applyFill="1" applyBorder="1" applyAlignment="1">
      <alignment vertical="center"/>
      <protection/>
    </xf>
    <xf numFmtId="0" fontId="64" fillId="34" borderId="30" xfId="65" applyNumberFormat="1" applyFont="1" applyFill="1" applyBorder="1" applyAlignment="1" applyProtection="1">
      <alignment vertical="center"/>
      <protection/>
    </xf>
    <xf numFmtId="0" fontId="64" fillId="34" borderId="30" xfId="65" applyNumberFormat="1" applyFont="1" applyFill="1" applyBorder="1" applyAlignment="1" applyProtection="1">
      <alignment vertical="center"/>
      <protection locked="0"/>
    </xf>
    <xf numFmtId="190" fontId="64" fillId="34" borderId="30" xfId="65" applyNumberFormat="1" applyFont="1" applyFill="1" applyBorder="1" applyAlignment="1" applyProtection="1">
      <alignment vertical="center"/>
      <protection locked="0"/>
    </xf>
    <xf numFmtId="0" fontId="64" fillId="34" borderId="30" xfId="65" applyFont="1" applyFill="1" applyBorder="1" applyAlignment="1" applyProtection="1">
      <alignment vertical="center"/>
      <protection/>
    </xf>
    <xf numFmtId="190" fontId="64" fillId="34" borderId="30" xfId="65" applyNumberFormat="1" applyFont="1" applyFill="1" applyBorder="1" applyAlignment="1" applyProtection="1">
      <alignment vertical="center"/>
      <protection/>
    </xf>
    <xf numFmtId="10" fontId="64" fillId="34" borderId="30" xfId="65" applyNumberFormat="1" applyFont="1" applyFill="1" applyBorder="1" applyAlignment="1">
      <alignment vertical="center"/>
      <protection/>
    </xf>
    <xf numFmtId="2" fontId="36" fillId="34" borderId="30" xfId="0" applyNumberFormat="1" applyFont="1" applyFill="1" applyBorder="1" applyAlignment="1" applyProtection="1">
      <alignment horizontal="right" vertical="center"/>
      <protection/>
    </xf>
    <xf numFmtId="14" fontId="36" fillId="34" borderId="30" xfId="0" applyNumberFormat="1" applyFont="1" applyFill="1" applyBorder="1" applyAlignment="1" applyProtection="1">
      <alignment horizontal="right" vertical="center"/>
      <protection/>
    </xf>
    <xf numFmtId="0" fontId="55" fillId="34" borderId="0" xfId="0" applyFont="1" applyFill="1" applyBorder="1" applyAlignment="1">
      <alignment/>
    </xf>
    <xf numFmtId="204" fontId="62" fillId="34" borderId="16" xfId="0" applyNumberFormat="1" applyFont="1" applyFill="1" applyBorder="1" applyAlignment="1">
      <alignment horizontal="left" vertical="center" indent="1"/>
    </xf>
    <xf numFmtId="4" fontId="62" fillId="34" borderId="16" xfId="0" applyNumberFormat="1" applyFont="1" applyFill="1" applyBorder="1" applyAlignment="1">
      <alignment horizontal="right" vertical="center" indent="1"/>
    </xf>
    <xf numFmtId="3" fontId="62" fillId="34" borderId="33" xfId="0" applyNumberFormat="1" applyFont="1" applyFill="1" applyBorder="1" applyAlignment="1">
      <alignment horizontal="right" vertical="center" indent="1"/>
    </xf>
    <xf numFmtId="9" fontId="115" fillId="0" borderId="10" xfId="0" applyNumberFormat="1" applyFont="1" applyBorder="1" applyAlignment="1">
      <alignment horizontal="center" vertical="center"/>
    </xf>
    <xf numFmtId="9" fontId="120" fillId="5" borderId="10" xfId="0" applyNumberFormat="1" applyFont="1" applyFill="1" applyBorder="1" applyAlignment="1">
      <alignment horizontal="center" vertical="center"/>
    </xf>
    <xf numFmtId="49" fontId="62" fillId="36" borderId="0" xfId="0" applyNumberFormat="1" applyFont="1" applyFill="1" applyBorder="1" applyAlignment="1">
      <alignment horizontal="left" vertical="center" indent="1"/>
    </xf>
    <xf numFmtId="49" fontId="58" fillId="36" borderId="0" xfId="0" applyNumberFormat="1" applyFont="1" applyFill="1" applyBorder="1" applyAlignment="1">
      <alignment horizontal="left" vertical="center"/>
    </xf>
    <xf numFmtId="9" fontId="10" fillId="0" borderId="10" xfId="0" applyNumberFormat="1" applyFont="1" applyBorder="1" applyAlignment="1">
      <alignment horizontal="center" vertical="center"/>
    </xf>
    <xf numFmtId="0" fontId="64" fillId="34" borderId="30" xfId="0" applyFont="1" applyFill="1" applyBorder="1" applyAlignment="1" applyProtection="1">
      <alignment vertical="center"/>
      <protection locked="0"/>
    </xf>
    <xf numFmtId="0" fontId="62" fillId="34" borderId="30" xfId="0" applyNumberFormat="1" applyFont="1" applyFill="1" applyBorder="1" applyAlignment="1" applyProtection="1">
      <alignment horizontal="left" vertical="center"/>
      <protection/>
    </xf>
    <xf numFmtId="10" fontId="64" fillId="34" borderId="30" xfId="0" applyNumberFormat="1" applyFont="1" applyFill="1" applyBorder="1" applyAlignment="1" applyProtection="1">
      <alignment vertical="center"/>
      <protection locked="0"/>
    </xf>
    <xf numFmtId="0" fontId="64" fillId="34" borderId="30" xfId="67" applyFont="1" applyFill="1" applyBorder="1" applyAlignment="1">
      <alignment vertical="center"/>
      <protection/>
    </xf>
    <xf numFmtId="1" fontId="69" fillId="34" borderId="19" xfId="0" applyNumberFormat="1" applyFont="1" applyFill="1" applyBorder="1" applyAlignment="1" applyProtection="1">
      <alignment vertical="center"/>
      <protection/>
    </xf>
    <xf numFmtId="1" fontId="69" fillId="34" borderId="30" xfId="0" applyNumberFormat="1" applyFont="1" applyFill="1" applyBorder="1" applyAlignment="1" applyProtection="1">
      <alignment vertical="center"/>
      <protection/>
    </xf>
    <xf numFmtId="190" fontId="64" fillId="34" borderId="19" xfId="0" applyNumberFormat="1" applyFont="1" applyFill="1" applyBorder="1" applyAlignment="1" applyProtection="1">
      <alignment vertical="center"/>
      <protection/>
    </xf>
    <xf numFmtId="0" fontId="64" fillId="34" borderId="30" xfId="0" applyFont="1" applyFill="1" applyBorder="1" applyAlignment="1">
      <alignment vertical="center"/>
    </xf>
    <xf numFmtId="0" fontId="64" fillId="34" borderId="30" xfId="0" applyNumberFormat="1" applyFont="1" applyFill="1" applyBorder="1" applyAlignment="1" applyProtection="1">
      <alignment horizontal="left" vertical="center"/>
      <protection/>
    </xf>
    <xf numFmtId="0" fontId="64" fillId="34" borderId="30" xfId="0" applyFont="1" applyFill="1" applyBorder="1" applyAlignment="1" applyProtection="1">
      <alignment horizontal="right" vertical="center"/>
      <protection locked="0"/>
    </xf>
    <xf numFmtId="204" fontId="64" fillId="34" borderId="30" xfId="0" applyNumberFormat="1" applyFont="1" applyFill="1" applyBorder="1" applyAlignment="1">
      <alignment horizontal="left" vertical="center"/>
    </xf>
    <xf numFmtId="10" fontId="64" fillId="34" borderId="30" xfId="0" applyNumberFormat="1" applyFont="1" applyFill="1" applyBorder="1" applyAlignment="1" applyProtection="1">
      <alignment horizontal="left" vertical="center"/>
      <protection/>
    </xf>
    <xf numFmtId="1" fontId="64" fillId="34" borderId="30" xfId="65" applyNumberFormat="1" applyFont="1" applyFill="1" applyBorder="1" applyAlignment="1">
      <alignment horizontal="right" vertical="center"/>
      <protection/>
    </xf>
    <xf numFmtId="0" fontId="64" fillId="34" borderId="30" xfId="65" applyFont="1" applyFill="1" applyBorder="1" applyAlignment="1">
      <alignment horizontal="right" vertical="center"/>
      <protection/>
    </xf>
    <xf numFmtId="2" fontId="64" fillId="34" borderId="30" xfId="65" applyNumberFormat="1" applyFont="1" applyFill="1" applyBorder="1" applyAlignment="1" applyProtection="1">
      <alignment horizontal="right" vertical="center"/>
      <protection/>
    </xf>
    <xf numFmtId="14" fontId="64" fillId="34" borderId="30" xfId="65" applyNumberFormat="1" applyFont="1" applyFill="1" applyBorder="1" applyAlignment="1" applyProtection="1">
      <alignment horizontal="right" vertical="center"/>
      <protection/>
    </xf>
    <xf numFmtId="0" fontId="64" fillId="34" borderId="19" xfId="0" applyNumberFormat="1" applyFont="1" applyFill="1" applyBorder="1" applyAlignment="1" applyProtection="1">
      <alignment horizontal="left" vertical="center"/>
      <protection/>
    </xf>
    <xf numFmtId="0" fontId="64" fillId="34" borderId="19" xfId="0" applyFont="1" applyFill="1" applyBorder="1" applyAlignment="1" applyProtection="1">
      <alignment horizontal="left" vertical="center"/>
      <protection/>
    </xf>
    <xf numFmtId="0" fontId="70" fillId="34" borderId="19" xfId="0" applyNumberFormat="1" applyFont="1" applyFill="1" applyBorder="1" applyAlignment="1" applyProtection="1">
      <alignment horizontal="center" vertical="center"/>
      <protection/>
    </xf>
    <xf numFmtId="2" fontId="70" fillId="34" borderId="19" xfId="0" applyNumberFormat="1" applyFont="1" applyFill="1" applyBorder="1" applyAlignment="1">
      <alignment horizontal="center" vertical="center"/>
    </xf>
    <xf numFmtId="0" fontId="70" fillId="34" borderId="30" xfId="0" applyNumberFormat="1" applyFont="1" applyFill="1" applyBorder="1" applyAlignment="1" applyProtection="1">
      <alignment horizontal="center" vertical="center"/>
      <protection/>
    </xf>
    <xf numFmtId="0" fontId="70" fillId="34" borderId="30" xfId="0" applyFont="1" applyFill="1" applyBorder="1" applyAlignment="1" applyProtection="1">
      <alignment horizontal="center" vertical="center"/>
      <protection/>
    </xf>
    <xf numFmtId="2" fontId="70" fillId="34" borderId="30" xfId="0" applyNumberFormat="1" applyFont="1" applyFill="1" applyBorder="1" applyAlignment="1">
      <alignment horizontal="center" vertical="center"/>
    </xf>
    <xf numFmtId="2" fontId="71" fillId="34" borderId="30" xfId="0" applyNumberFormat="1" applyFont="1" applyFill="1" applyBorder="1" applyAlignment="1" applyProtection="1">
      <alignment horizontal="center" vertical="center"/>
      <protection/>
    </xf>
    <xf numFmtId="1" fontId="70" fillId="34" borderId="30" xfId="0" applyNumberFormat="1" applyFont="1" applyFill="1" applyBorder="1" applyAlignment="1">
      <alignment horizontal="center" vertical="center"/>
    </xf>
    <xf numFmtId="2" fontId="70" fillId="34" borderId="30" xfId="0" applyNumberFormat="1" applyFont="1" applyFill="1" applyBorder="1" applyAlignment="1" applyProtection="1">
      <alignment horizontal="center" vertical="center"/>
      <protection/>
    </xf>
    <xf numFmtId="0" fontId="70" fillId="34" borderId="30" xfId="0" applyFont="1" applyFill="1" applyBorder="1" applyAlignment="1">
      <alignment horizontal="center" vertical="center"/>
    </xf>
    <xf numFmtId="2" fontId="71" fillId="34" borderId="30" xfId="0" applyNumberFormat="1" applyFont="1" applyFill="1" applyBorder="1" applyAlignment="1">
      <alignment horizontal="center" vertical="center"/>
    </xf>
    <xf numFmtId="0" fontId="71" fillId="34" borderId="30" xfId="0" applyFont="1" applyFill="1" applyBorder="1" applyAlignment="1">
      <alignment horizontal="center" vertical="center"/>
    </xf>
    <xf numFmtId="1" fontId="71" fillId="34" borderId="30" xfId="0" applyNumberFormat="1" applyFont="1" applyFill="1" applyBorder="1" applyAlignment="1">
      <alignment horizontal="center" vertical="center"/>
    </xf>
    <xf numFmtId="2" fontId="121" fillId="46" borderId="30" xfId="0" applyNumberFormat="1" applyFont="1" applyFill="1" applyBorder="1" applyAlignment="1" applyProtection="1">
      <alignment horizontal="center" vertical="center"/>
      <protection/>
    </xf>
    <xf numFmtId="0" fontId="62" fillId="34" borderId="30" xfId="0" applyFont="1" applyFill="1" applyBorder="1" applyAlignment="1">
      <alignment horizontal="left" vertical="center"/>
    </xf>
    <xf numFmtId="204" fontId="62" fillId="34" borderId="30" xfId="0" applyNumberFormat="1" applyFont="1" applyFill="1" applyBorder="1" applyAlignment="1">
      <alignment horizontal="left" vertical="center"/>
    </xf>
    <xf numFmtId="0" fontId="62" fillId="34" borderId="30" xfId="0" applyNumberFormat="1" applyFont="1" applyFill="1" applyBorder="1" applyAlignment="1" applyProtection="1">
      <alignment horizontal="left" vertical="center"/>
      <protection locked="0"/>
    </xf>
    <xf numFmtId="0" fontId="70" fillId="34" borderId="11" xfId="0" applyNumberFormat="1" applyFont="1" applyFill="1" applyBorder="1" applyAlignment="1" applyProtection="1">
      <alignment horizontal="center" vertical="center"/>
      <protection/>
    </xf>
    <xf numFmtId="0" fontId="65" fillId="37" borderId="12" xfId="0" applyFont="1" applyFill="1" applyBorder="1" applyAlignment="1" applyProtection="1">
      <alignment horizontal="center"/>
      <protection/>
    </xf>
    <xf numFmtId="2" fontId="64" fillId="37" borderId="12" xfId="0" applyNumberFormat="1" applyFont="1" applyFill="1" applyBorder="1" applyAlignment="1" applyProtection="1">
      <alignment horizontal="center" vertical="center"/>
      <protection/>
    </xf>
    <xf numFmtId="204" fontId="16" fillId="37" borderId="12" xfId="40" applyNumberFormat="1" applyFont="1" applyFill="1" applyBorder="1" applyAlignment="1" applyProtection="1">
      <alignment horizontal="center"/>
      <protection/>
    </xf>
    <xf numFmtId="43" fontId="16" fillId="37" borderId="12" xfId="40" applyFont="1" applyFill="1" applyBorder="1" applyAlignment="1" applyProtection="1">
      <alignment horizontal="center"/>
      <protection/>
    </xf>
    <xf numFmtId="190" fontId="16" fillId="37" borderId="12" xfId="0" applyNumberFormat="1" applyFont="1" applyFill="1" applyBorder="1" applyAlignment="1" applyProtection="1">
      <alignment horizontal="center"/>
      <protection/>
    </xf>
    <xf numFmtId="0" fontId="16" fillId="37" borderId="12" xfId="0" applyFont="1" applyFill="1" applyBorder="1" applyAlignment="1" applyProtection="1">
      <alignment horizontal="center"/>
      <protection/>
    </xf>
    <xf numFmtId="0" fontId="64" fillId="34" borderId="30" xfId="0" applyNumberFormat="1" applyFont="1" applyFill="1" applyBorder="1" applyAlignment="1" applyProtection="1">
      <alignment horizontal="right" vertical="center"/>
      <protection locked="0"/>
    </xf>
    <xf numFmtId="4" fontId="65" fillId="34" borderId="30" xfId="58" applyNumberFormat="1" applyFont="1" applyFill="1" applyBorder="1" applyAlignment="1" applyProtection="1">
      <alignment horizontal="right" vertical="center"/>
      <protection/>
    </xf>
    <xf numFmtId="3" fontId="65" fillId="34" borderId="30" xfId="58" applyNumberFormat="1" applyFont="1" applyFill="1" applyBorder="1" applyAlignment="1" applyProtection="1">
      <alignment horizontal="right" vertical="center"/>
      <protection/>
    </xf>
    <xf numFmtId="4" fontId="65" fillId="34" borderId="30" xfId="65" applyNumberFormat="1" applyFont="1" applyFill="1" applyBorder="1" applyAlignment="1">
      <alignment horizontal="right" vertical="center"/>
      <protection/>
    </xf>
    <xf numFmtId="3" fontId="65" fillId="34" borderId="30" xfId="65" applyNumberFormat="1" applyFont="1" applyFill="1" applyBorder="1" applyAlignment="1">
      <alignment horizontal="right" vertical="center"/>
      <protection/>
    </xf>
    <xf numFmtId="0" fontId="64" fillId="34" borderId="0" xfId="0" applyFont="1" applyFill="1" applyBorder="1" applyAlignment="1">
      <alignment/>
    </xf>
    <xf numFmtId="192" fontId="16" fillId="36" borderId="0" xfId="0" applyNumberFormat="1" applyFont="1" applyFill="1" applyBorder="1" applyAlignment="1" applyProtection="1">
      <alignment horizontal="center" vertical="center" wrapText="1"/>
      <protection/>
    </xf>
    <xf numFmtId="0" fontId="62" fillId="34" borderId="30" xfId="0" applyNumberFormat="1" applyFont="1" applyFill="1" applyBorder="1" applyAlignment="1">
      <alignment horizontal="left" vertical="center"/>
    </xf>
    <xf numFmtId="2" fontId="64" fillId="34" borderId="19" xfId="0" applyNumberFormat="1" applyFont="1" applyFill="1" applyBorder="1" applyAlignment="1" applyProtection="1">
      <alignment horizontal="right" vertical="center"/>
      <protection/>
    </xf>
    <xf numFmtId="0" fontId="64" fillId="34" borderId="19" xfId="0" applyFont="1" applyFill="1" applyBorder="1" applyAlignment="1">
      <alignment horizontal="right" vertical="center"/>
    </xf>
    <xf numFmtId="4" fontId="65" fillId="34" borderId="19" xfId="0" applyNumberFormat="1" applyFont="1" applyFill="1" applyBorder="1" applyAlignment="1">
      <alignment horizontal="right" vertical="center"/>
    </xf>
    <xf numFmtId="3" fontId="65" fillId="34" borderId="19" xfId="0" applyNumberFormat="1" applyFont="1" applyFill="1" applyBorder="1" applyAlignment="1">
      <alignment horizontal="right" vertical="center"/>
    </xf>
    <xf numFmtId="204" fontId="55" fillId="34" borderId="19" xfId="0" applyNumberFormat="1" applyFont="1" applyFill="1" applyBorder="1" applyAlignment="1">
      <alignment horizontal="left" vertical="center"/>
    </xf>
    <xf numFmtId="4" fontId="55" fillId="34" borderId="19" xfId="44" applyNumberFormat="1" applyFont="1" applyFill="1" applyBorder="1" applyAlignment="1" applyProtection="1">
      <alignment horizontal="right" vertical="center"/>
      <protection locked="0"/>
    </xf>
    <xf numFmtId="3" fontId="55" fillId="34" borderId="19" xfId="44" applyNumberFormat="1" applyFont="1" applyFill="1" applyBorder="1" applyAlignment="1" applyProtection="1">
      <alignment horizontal="right" vertical="center"/>
      <protection locked="0"/>
    </xf>
    <xf numFmtId="4" fontId="55" fillId="34" borderId="30" xfId="0" applyNumberFormat="1" applyFont="1" applyFill="1" applyBorder="1" applyAlignment="1">
      <alignment vertical="center"/>
    </xf>
    <xf numFmtId="3" fontId="55" fillId="34" borderId="30" xfId="0" applyNumberFormat="1" applyFont="1" applyFill="1" applyBorder="1" applyAlignment="1">
      <alignment vertical="center"/>
    </xf>
    <xf numFmtId="4" fontId="55" fillId="34" borderId="30" xfId="42" applyNumberFormat="1" applyFont="1" applyFill="1" applyBorder="1" applyAlignment="1" applyProtection="1">
      <alignment vertical="center"/>
      <protection locked="0"/>
    </xf>
    <xf numFmtId="3" fontId="55" fillId="34" borderId="30" xfId="42" applyNumberFormat="1" applyFont="1" applyFill="1" applyBorder="1" applyAlignment="1" applyProtection="1">
      <alignment vertical="center"/>
      <protection locked="0"/>
    </xf>
    <xf numFmtId="0" fontId="55" fillId="34" borderId="30" xfId="0" applyNumberFormat="1" applyFont="1" applyFill="1" applyBorder="1" applyAlignment="1" applyProtection="1">
      <alignment horizontal="left" vertical="center"/>
      <protection locked="0"/>
    </xf>
    <xf numFmtId="4" fontId="55" fillId="34" borderId="30" xfId="58" applyNumberFormat="1" applyFont="1" applyFill="1" applyBorder="1" applyAlignment="1" applyProtection="1">
      <alignment horizontal="right" vertical="center"/>
      <protection/>
    </xf>
    <xf numFmtId="3" fontId="55" fillId="34" borderId="30" xfId="58" applyNumberFormat="1" applyFont="1" applyFill="1" applyBorder="1" applyAlignment="1" applyProtection="1">
      <alignment horizontal="right" vertical="center"/>
      <protection/>
    </xf>
    <xf numFmtId="4" fontId="55" fillId="34" borderId="30" xfId="65" applyNumberFormat="1" applyFont="1" applyFill="1" applyBorder="1" applyAlignment="1">
      <alignment horizontal="right" vertical="center"/>
      <protection/>
    </xf>
    <xf numFmtId="3" fontId="55" fillId="34" borderId="30" xfId="65" applyNumberFormat="1" applyFont="1" applyFill="1" applyBorder="1" applyAlignment="1">
      <alignment horizontal="right" vertical="center"/>
      <protection/>
    </xf>
    <xf numFmtId="1" fontId="64" fillId="34" borderId="0" xfId="0" applyNumberFormat="1" applyFont="1" applyFill="1" applyBorder="1" applyAlignment="1">
      <alignment/>
    </xf>
    <xf numFmtId="1" fontId="64" fillId="34" borderId="19" xfId="0" applyNumberFormat="1" applyFont="1" applyFill="1" applyBorder="1" applyAlignment="1">
      <alignment/>
    </xf>
    <xf numFmtId="0" fontId="64" fillId="34" borderId="19" xfId="0" applyNumberFormat="1" applyFont="1" applyFill="1" applyBorder="1" applyAlignment="1" applyProtection="1">
      <alignment horizontal="center" vertical="center"/>
      <protection/>
    </xf>
    <xf numFmtId="1" fontId="64" fillId="34" borderId="30" xfId="0" applyNumberFormat="1" applyFont="1" applyFill="1" applyBorder="1" applyAlignment="1">
      <alignment/>
    </xf>
    <xf numFmtId="0" fontId="64" fillId="34" borderId="0" xfId="0" applyFont="1" applyFill="1" applyBorder="1" applyAlignment="1">
      <alignment horizontal="right"/>
    </xf>
    <xf numFmtId="0" fontId="64" fillId="34" borderId="0" xfId="0" applyFont="1" applyFill="1" applyBorder="1" applyAlignment="1">
      <alignment vertical="center"/>
    </xf>
    <xf numFmtId="0" fontId="64" fillId="34" borderId="0" xfId="0" applyFont="1" applyFill="1" applyAlignment="1">
      <alignment vertical="center"/>
    </xf>
    <xf numFmtId="4" fontId="65" fillId="34" borderId="30" xfId="75" applyNumberFormat="1" applyFont="1" applyFill="1" applyBorder="1" applyAlignment="1" applyProtection="1">
      <alignment horizontal="right" vertical="center"/>
      <protection locked="0"/>
    </xf>
    <xf numFmtId="3" fontId="65" fillId="34" borderId="30" xfId="75" applyNumberFormat="1" applyFont="1" applyFill="1" applyBorder="1" applyAlignment="1" applyProtection="1">
      <alignment horizontal="right" vertical="center"/>
      <protection locked="0"/>
    </xf>
    <xf numFmtId="0" fontId="64" fillId="34" borderId="0" xfId="0" applyFont="1" applyFill="1" applyAlignment="1">
      <alignment horizontal="left" vertical="center"/>
    </xf>
    <xf numFmtId="0" fontId="55" fillId="34" borderId="19" xfId="0" applyNumberFormat="1" applyFont="1" applyFill="1" applyBorder="1" applyAlignment="1" applyProtection="1">
      <alignment horizontal="left" vertical="center"/>
      <protection/>
    </xf>
    <xf numFmtId="10" fontId="55" fillId="34" borderId="30" xfId="0" applyNumberFormat="1" applyFont="1" applyFill="1" applyBorder="1" applyAlignment="1">
      <alignment vertical="center"/>
    </xf>
    <xf numFmtId="0" fontId="55" fillId="34" borderId="30" xfId="65" applyNumberFormat="1" applyFont="1" applyFill="1" applyBorder="1" applyAlignment="1" applyProtection="1">
      <alignment vertical="center"/>
      <protection/>
    </xf>
    <xf numFmtId="0" fontId="122" fillId="34" borderId="30" xfId="0" applyFont="1" applyFill="1" applyBorder="1" applyAlignment="1">
      <alignment vertical="center"/>
    </xf>
    <xf numFmtId="0" fontId="55" fillId="34" borderId="30" xfId="65" applyFont="1" applyFill="1" applyBorder="1" applyAlignment="1">
      <alignment vertical="center"/>
      <protection/>
    </xf>
    <xf numFmtId="0" fontId="55" fillId="34" borderId="30" xfId="65" applyNumberFormat="1" applyFont="1" applyFill="1" applyBorder="1" applyAlignment="1">
      <alignment vertical="center"/>
      <protection/>
    </xf>
    <xf numFmtId="0" fontId="122" fillId="34" borderId="30" xfId="0" applyNumberFormat="1" applyFont="1" applyFill="1" applyBorder="1" applyAlignment="1" applyProtection="1">
      <alignment vertical="center"/>
      <protection locked="0"/>
    </xf>
    <xf numFmtId="204" fontId="55" fillId="34" borderId="30" xfId="65" applyNumberFormat="1" applyFont="1" applyFill="1" applyBorder="1" applyAlignment="1">
      <alignment vertical="center"/>
      <protection/>
    </xf>
    <xf numFmtId="0" fontId="55" fillId="34" borderId="30" xfId="0" applyFont="1" applyFill="1" applyBorder="1" applyAlignment="1" applyProtection="1">
      <alignment vertical="center"/>
      <protection locked="0"/>
    </xf>
    <xf numFmtId="4" fontId="55" fillId="0" borderId="30" xfId="0" applyNumberFormat="1" applyFont="1" applyFill="1" applyBorder="1" applyAlignment="1">
      <alignment vertical="center"/>
    </xf>
    <xf numFmtId="3" fontId="55" fillId="0" borderId="30" xfId="0" applyNumberFormat="1" applyFont="1" applyFill="1" applyBorder="1" applyAlignment="1">
      <alignment vertical="center"/>
    </xf>
    <xf numFmtId="4" fontId="55" fillId="0" borderId="30" xfId="42" applyNumberFormat="1" applyFont="1" applyFill="1" applyBorder="1" applyAlignment="1" applyProtection="1">
      <alignment vertical="center"/>
      <protection locked="0"/>
    </xf>
    <xf numFmtId="3" fontId="55" fillId="0" borderId="30" xfId="42" applyNumberFormat="1" applyFont="1" applyFill="1" applyBorder="1" applyAlignment="1" applyProtection="1">
      <alignment vertical="center"/>
      <protection locked="0"/>
    </xf>
    <xf numFmtId="4" fontId="55" fillId="0" borderId="30" xfId="44" applyNumberFormat="1" applyFont="1" applyFill="1" applyBorder="1" applyAlignment="1" applyProtection="1">
      <alignment horizontal="right" vertical="center"/>
      <protection locked="0"/>
    </xf>
    <xf numFmtId="3" fontId="55" fillId="0" borderId="30" xfId="44" applyNumberFormat="1" applyFont="1" applyFill="1" applyBorder="1" applyAlignment="1" applyProtection="1">
      <alignment horizontal="right" vertical="center"/>
      <protection locked="0"/>
    </xf>
    <xf numFmtId="4" fontId="55" fillId="0" borderId="30" xfId="44" applyNumberFormat="1" applyFont="1" applyFill="1" applyBorder="1" applyAlignment="1" applyProtection="1">
      <alignment vertical="center"/>
      <protection locked="0"/>
    </xf>
    <xf numFmtId="3" fontId="55" fillId="0" borderId="30" xfId="44" applyNumberFormat="1" applyFont="1" applyFill="1" applyBorder="1" applyAlignment="1" applyProtection="1">
      <alignment vertical="center"/>
      <protection locked="0"/>
    </xf>
    <xf numFmtId="1" fontId="69" fillId="34" borderId="11" xfId="0" applyNumberFormat="1" applyFont="1" applyFill="1" applyBorder="1" applyAlignment="1" applyProtection="1">
      <alignment vertical="center"/>
      <protection/>
    </xf>
    <xf numFmtId="0" fontId="64" fillId="34" borderId="11" xfId="0" applyFont="1" applyFill="1" applyBorder="1" applyAlignment="1">
      <alignment horizontal="left" vertical="center"/>
    </xf>
    <xf numFmtId="190" fontId="64" fillId="34" borderId="11" xfId="0" applyNumberFormat="1" applyFont="1" applyFill="1" applyBorder="1" applyAlignment="1" applyProtection="1">
      <alignment horizontal="center" vertical="center"/>
      <protection/>
    </xf>
    <xf numFmtId="0" fontId="64" fillId="34" borderId="30" xfId="65" applyNumberFormat="1" applyFont="1" applyFill="1" applyBorder="1" applyAlignment="1" applyProtection="1">
      <alignment horizontal="center" vertical="center"/>
      <protection/>
    </xf>
    <xf numFmtId="0" fontId="64" fillId="34" borderId="30" xfId="65" applyFont="1" applyFill="1" applyBorder="1" applyAlignment="1" applyProtection="1">
      <alignment horizontal="center" vertical="center"/>
      <protection/>
    </xf>
    <xf numFmtId="0" fontId="65" fillId="34" borderId="0" xfId="0" applyFont="1" applyFill="1" applyAlignment="1">
      <alignment horizontal="center" vertical="center"/>
    </xf>
    <xf numFmtId="2" fontId="70" fillId="34" borderId="11" xfId="0" applyNumberFormat="1" applyFont="1" applyFill="1" applyBorder="1" applyAlignment="1">
      <alignment horizontal="center" vertical="center"/>
    </xf>
    <xf numFmtId="4" fontId="62" fillId="4" borderId="19" xfId="0" applyNumberFormat="1" applyFont="1" applyFill="1" applyBorder="1" applyAlignment="1">
      <alignment horizontal="right" vertical="center"/>
    </xf>
    <xf numFmtId="3" fontId="62" fillId="4" borderId="19" xfId="0" applyNumberFormat="1" applyFont="1" applyFill="1" applyBorder="1" applyAlignment="1">
      <alignment horizontal="right" vertical="center"/>
    </xf>
    <xf numFmtId="4" fontId="62" fillId="4" borderId="30" xfId="0" applyNumberFormat="1" applyFont="1" applyFill="1" applyBorder="1" applyAlignment="1">
      <alignment horizontal="right" vertical="center"/>
    </xf>
    <xf numFmtId="3" fontId="62" fillId="4" borderId="30" xfId="0" applyNumberFormat="1" applyFont="1" applyFill="1" applyBorder="1" applyAlignment="1">
      <alignment horizontal="right" vertical="center"/>
    </xf>
    <xf numFmtId="204" fontId="62" fillId="34" borderId="19" xfId="0" applyNumberFormat="1" applyFont="1" applyFill="1" applyBorder="1" applyAlignment="1">
      <alignment horizontal="left" vertical="center"/>
    </xf>
    <xf numFmtId="204" fontId="62" fillId="34" borderId="11" xfId="0" applyNumberFormat="1" applyFont="1" applyFill="1" applyBorder="1" applyAlignment="1">
      <alignment horizontal="left" vertical="center"/>
    </xf>
    <xf numFmtId="204" fontId="64" fillId="34" borderId="19" xfId="0" applyNumberFormat="1" applyFont="1" applyFill="1" applyBorder="1" applyAlignment="1">
      <alignment horizontal="left" vertical="center"/>
    </xf>
    <xf numFmtId="204" fontId="64" fillId="34" borderId="11" xfId="0" applyNumberFormat="1" applyFont="1" applyFill="1" applyBorder="1" applyAlignment="1">
      <alignment horizontal="left" vertical="center"/>
    </xf>
    <xf numFmtId="190" fontId="64" fillId="34" borderId="19" xfId="0" applyNumberFormat="1" applyFont="1" applyFill="1" applyBorder="1" applyAlignment="1" applyProtection="1">
      <alignment horizontal="center" vertical="center"/>
      <protection locked="0"/>
    </xf>
    <xf numFmtId="0" fontId="64" fillId="34" borderId="30" xfId="0" applyFont="1" applyFill="1" applyBorder="1" applyAlignment="1" applyProtection="1">
      <alignment horizontal="left" vertical="center"/>
      <protection/>
    </xf>
    <xf numFmtId="0" fontId="64" fillId="34" borderId="30" xfId="0" applyNumberFormat="1" applyFont="1" applyFill="1" applyBorder="1" applyAlignment="1" applyProtection="1">
      <alignment horizontal="left" vertical="center"/>
      <protection/>
    </xf>
    <xf numFmtId="0" fontId="64" fillId="34" borderId="30" xfId="0" applyFont="1" applyFill="1" applyBorder="1" applyAlignment="1">
      <alignment horizontal="left" vertical="center"/>
    </xf>
    <xf numFmtId="190" fontId="64" fillId="34" borderId="30" xfId="0" applyNumberFormat="1" applyFont="1" applyFill="1" applyBorder="1" applyAlignment="1" applyProtection="1">
      <alignment horizontal="center" vertical="center"/>
      <protection/>
    </xf>
    <xf numFmtId="10" fontId="64" fillId="34" borderId="30" xfId="0" applyNumberFormat="1" applyFont="1" applyFill="1" applyBorder="1" applyAlignment="1">
      <alignment horizontal="left" vertical="center"/>
    </xf>
    <xf numFmtId="190" fontId="64" fillId="34" borderId="30" xfId="0" applyNumberFormat="1" applyFont="1" applyFill="1" applyBorder="1" applyAlignment="1" applyProtection="1">
      <alignment horizontal="center" vertical="center"/>
      <protection locked="0"/>
    </xf>
    <xf numFmtId="0" fontId="64" fillId="34" borderId="30" xfId="0" applyNumberFormat="1" applyFont="1" applyFill="1" applyBorder="1" applyAlignment="1" applyProtection="1">
      <alignment horizontal="left" vertical="center"/>
      <protection locked="0"/>
    </xf>
    <xf numFmtId="0" fontId="64" fillId="34" borderId="30" xfId="0" applyNumberFormat="1" applyFont="1" applyFill="1" applyBorder="1" applyAlignment="1" applyProtection="1">
      <alignment horizontal="center" vertical="center"/>
      <protection/>
    </xf>
    <xf numFmtId="0" fontId="64" fillId="34" borderId="30" xfId="0" applyFont="1" applyFill="1" applyBorder="1" applyAlignment="1" applyProtection="1">
      <alignment horizontal="center" vertical="center"/>
      <protection/>
    </xf>
    <xf numFmtId="0" fontId="64" fillId="34" borderId="30" xfId="0" applyNumberFormat="1" applyFont="1" applyFill="1" applyBorder="1" applyAlignment="1" applyProtection="1">
      <alignment vertical="center"/>
      <protection/>
    </xf>
    <xf numFmtId="0" fontId="64" fillId="34" borderId="30" xfId="0" applyFont="1" applyFill="1" applyBorder="1" applyAlignment="1" applyProtection="1">
      <alignment vertical="center"/>
      <protection/>
    </xf>
    <xf numFmtId="204" fontId="55" fillId="34" borderId="30" xfId="0" applyNumberFormat="1" applyFont="1" applyFill="1" applyBorder="1" applyAlignment="1">
      <alignment horizontal="left" vertical="center"/>
    </xf>
    <xf numFmtId="0" fontId="55" fillId="34" borderId="30" xfId="0" applyFont="1" applyFill="1" applyBorder="1" applyAlignment="1">
      <alignment horizontal="left" vertical="center"/>
    </xf>
    <xf numFmtId="4" fontId="65" fillId="34" borderId="30" xfId="44" applyNumberFormat="1" applyFont="1" applyFill="1" applyBorder="1" applyAlignment="1" applyProtection="1">
      <alignment horizontal="right" vertical="center"/>
      <protection locked="0"/>
    </xf>
    <xf numFmtId="3" fontId="65" fillId="34" borderId="30" xfId="44" applyNumberFormat="1" applyFont="1" applyFill="1" applyBorder="1" applyAlignment="1" applyProtection="1">
      <alignment horizontal="right" vertical="center"/>
      <protection locked="0"/>
    </xf>
    <xf numFmtId="0" fontId="55" fillId="34" borderId="30" xfId="0" applyNumberFormat="1" applyFont="1" applyFill="1" applyBorder="1" applyAlignment="1">
      <alignment vertical="center"/>
    </xf>
    <xf numFmtId="0" fontId="64" fillId="34" borderId="30" xfId="0" applyFont="1" applyFill="1" applyBorder="1" applyAlignment="1">
      <alignment vertical="center"/>
    </xf>
    <xf numFmtId="0" fontId="64" fillId="34" borderId="30" xfId="0" applyNumberFormat="1" applyFont="1" applyFill="1" applyBorder="1" applyAlignment="1">
      <alignment vertical="center"/>
    </xf>
    <xf numFmtId="190" fontId="64" fillId="34" borderId="30" xfId="0" applyNumberFormat="1" applyFont="1" applyFill="1" applyBorder="1" applyAlignment="1" applyProtection="1">
      <alignment vertical="center"/>
      <protection locked="0"/>
    </xf>
    <xf numFmtId="0" fontId="64" fillId="34" borderId="30" xfId="0" applyFont="1" applyFill="1" applyBorder="1" applyAlignment="1">
      <alignment horizontal="right" vertical="center"/>
    </xf>
    <xf numFmtId="4" fontId="65" fillId="34" borderId="30" xfId="43" applyNumberFormat="1" applyFont="1" applyFill="1" applyBorder="1" applyAlignment="1" applyProtection="1">
      <alignment horizontal="right" vertical="center"/>
      <protection locked="0"/>
    </xf>
    <xf numFmtId="3" fontId="65" fillId="34" borderId="30" xfId="43" applyNumberFormat="1" applyFont="1" applyFill="1" applyBorder="1" applyAlignment="1" applyProtection="1">
      <alignment horizontal="right" vertical="center"/>
      <protection locked="0"/>
    </xf>
    <xf numFmtId="2" fontId="64" fillId="34" borderId="30" xfId="0" applyNumberFormat="1" applyFont="1" applyFill="1" applyBorder="1" applyAlignment="1" applyProtection="1">
      <alignment horizontal="right" vertical="center"/>
      <protection/>
    </xf>
    <xf numFmtId="14" fontId="64" fillId="34" borderId="30" xfId="0" applyNumberFormat="1" applyFont="1" applyFill="1" applyBorder="1" applyAlignment="1" applyProtection="1">
      <alignment horizontal="right" vertical="center"/>
      <protection/>
    </xf>
    <xf numFmtId="3" fontId="65" fillId="34" borderId="30" xfId="43" applyNumberFormat="1" applyFont="1" applyFill="1" applyBorder="1" applyAlignment="1" applyProtection="1">
      <alignment vertical="center"/>
      <protection locked="0"/>
    </xf>
    <xf numFmtId="2" fontId="64" fillId="34" borderId="30" xfId="0" applyNumberFormat="1" applyFont="1" applyFill="1" applyBorder="1" applyAlignment="1" applyProtection="1">
      <alignment vertical="center"/>
      <protection/>
    </xf>
    <xf numFmtId="14" fontId="64" fillId="34" borderId="30" xfId="0" applyNumberFormat="1" applyFont="1" applyFill="1" applyBorder="1" applyAlignment="1" applyProtection="1">
      <alignment vertical="center"/>
      <protection/>
    </xf>
    <xf numFmtId="0" fontId="64" fillId="34" borderId="30" xfId="0" applyNumberFormat="1" applyFont="1" applyFill="1" applyBorder="1" applyAlignment="1">
      <alignment horizontal="right" vertical="center"/>
    </xf>
    <xf numFmtId="204" fontId="55" fillId="34" borderId="30" xfId="0" applyNumberFormat="1" applyFont="1" applyFill="1" applyBorder="1" applyAlignment="1">
      <alignment vertical="center"/>
    </xf>
    <xf numFmtId="204" fontId="64" fillId="34" borderId="30" xfId="0" applyNumberFormat="1" applyFont="1" applyFill="1" applyBorder="1" applyAlignment="1">
      <alignment vertical="center"/>
    </xf>
    <xf numFmtId="0" fontId="55" fillId="34" borderId="30" xfId="0" applyFont="1" applyFill="1" applyBorder="1" applyAlignment="1">
      <alignment vertical="center"/>
    </xf>
    <xf numFmtId="0" fontId="55" fillId="34" borderId="30" xfId="0" applyNumberFormat="1" applyFont="1" applyFill="1" applyBorder="1" applyAlignment="1" applyProtection="1">
      <alignment horizontal="left" vertical="center"/>
      <protection/>
    </xf>
    <xf numFmtId="10" fontId="55" fillId="34" borderId="30" xfId="0" applyNumberFormat="1" applyFont="1" applyFill="1" applyBorder="1" applyAlignment="1">
      <alignment horizontal="left" vertical="center"/>
    </xf>
    <xf numFmtId="204" fontId="122" fillId="34" borderId="30" xfId="0" applyNumberFormat="1" applyFont="1" applyFill="1" applyBorder="1" applyAlignment="1">
      <alignment vertical="center"/>
    </xf>
    <xf numFmtId="0" fontId="119" fillId="34" borderId="30" xfId="0" applyFont="1" applyFill="1" applyBorder="1" applyAlignment="1">
      <alignment horizontal="left" vertical="center"/>
    </xf>
    <xf numFmtId="10" fontId="64" fillId="34" borderId="30" xfId="0" applyNumberFormat="1" applyFont="1" applyFill="1" applyBorder="1" applyAlignment="1">
      <alignment vertical="center"/>
    </xf>
    <xf numFmtId="190" fontId="64" fillId="34" borderId="30" xfId="0" applyNumberFormat="1" applyFont="1" applyFill="1" applyBorder="1" applyAlignment="1" applyProtection="1">
      <alignment vertical="center"/>
      <protection/>
    </xf>
    <xf numFmtId="1" fontId="64" fillId="34" borderId="30" xfId="0" applyNumberFormat="1" applyFont="1" applyFill="1" applyBorder="1" applyAlignment="1">
      <alignment vertical="center"/>
    </xf>
    <xf numFmtId="4" fontId="65" fillId="34" borderId="30" xfId="44" applyNumberFormat="1" applyFont="1" applyFill="1" applyBorder="1" applyAlignment="1" applyProtection="1">
      <alignment vertical="center"/>
      <protection locked="0"/>
    </xf>
    <xf numFmtId="4" fontId="65" fillId="34" borderId="30" xfId="43" applyNumberFormat="1" applyFont="1" applyFill="1" applyBorder="1" applyAlignment="1" applyProtection="1">
      <alignment vertical="center"/>
      <protection locked="0"/>
    </xf>
    <xf numFmtId="4" fontId="65" fillId="34" borderId="30" xfId="0" applyNumberFormat="1" applyFont="1" applyFill="1" applyBorder="1" applyAlignment="1">
      <alignment horizontal="right"/>
    </xf>
    <xf numFmtId="4" fontId="65" fillId="34" borderId="30" xfId="0" applyNumberFormat="1" applyFont="1" applyFill="1" applyBorder="1" applyAlignment="1">
      <alignment horizontal="right" vertical="center"/>
    </xf>
    <xf numFmtId="3" fontId="65" fillId="34" borderId="30" xfId="44" applyNumberFormat="1" applyFont="1" applyFill="1" applyBorder="1" applyAlignment="1" applyProtection="1">
      <alignment vertical="center"/>
      <protection locked="0"/>
    </xf>
    <xf numFmtId="3" fontId="65" fillId="34" borderId="30" xfId="0" applyNumberFormat="1" applyFont="1" applyFill="1" applyBorder="1" applyAlignment="1">
      <alignment horizontal="right"/>
    </xf>
    <xf numFmtId="3" fontId="65" fillId="34" borderId="30" xfId="0" applyNumberFormat="1" applyFont="1" applyFill="1" applyBorder="1" applyAlignment="1">
      <alignment horizontal="right" vertical="center"/>
    </xf>
    <xf numFmtId="4" fontId="55" fillId="34" borderId="30" xfId="43" applyNumberFormat="1" applyFont="1" applyFill="1" applyBorder="1" applyAlignment="1" applyProtection="1">
      <alignment horizontal="right" vertical="center"/>
      <protection locked="0"/>
    </xf>
    <xf numFmtId="4" fontId="65" fillId="34" borderId="30" xfId="40" applyNumberFormat="1" applyFont="1" applyFill="1" applyBorder="1" applyAlignment="1" applyProtection="1">
      <alignment horizontal="right" vertical="center"/>
      <protection locked="0"/>
    </xf>
    <xf numFmtId="4" fontId="55" fillId="34" borderId="30" xfId="44" applyNumberFormat="1" applyFont="1" applyFill="1" applyBorder="1" applyAlignment="1" applyProtection="1">
      <alignment vertical="center"/>
      <protection locked="0"/>
    </xf>
    <xf numFmtId="4" fontId="55" fillId="34" borderId="30" xfId="44" applyNumberFormat="1" applyFont="1" applyFill="1" applyBorder="1" applyAlignment="1" applyProtection="1">
      <alignment horizontal="right" vertical="center"/>
      <protection locked="0"/>
    </xf>
    <xf numFmtId="4" fontId="55" fillId="34" borderId="30" xfId="43" applyNumberFormat="1" applyFont="1" applyFill="1" applyBorder="1" applyAlignment="1" applyProtection="1">
      <alignment horizontal="right" vertical="center" shrinkToFit="1"/>
      <protection locked="0"/>
    </xf>
    <xf numFmtId="4" fontId="55" fillId="0" borderId="30" xfId="0" applyNumberFormat="1" applyFont="1" applyFill="1" applyBorder="1" applyAlignment="1">
      <alignment horizontal="right" vertical="center"/>
    </xf>
    <xf numFmtId="4" fontId="55" fillId="34" borderId="30" xfId="43" applyNumberFormat="1" applyFont="1" applyFill="1" applyBorder="1" applyAlignment="1" applyProtection="1">
      <alignment vertical="center"/>
      <protection locked="0"/>
    </xf>
    <xf numFmtId="3" fontId="55" fillId="34" borderId="30" xfId="43" applyNumberFormat="1" applyFont="1" applyFill="1" applyBorder="1" applyAlignment="1" applyProtection="1">
      <alignment horizontal="right" vertical="center"/>
      <protection locked="0"/>
    </xf>
    <xf numFmtId="3" fontId="55" fillId="34" borderId="30" xfId="44" applyNumberFormat="1" applyFont="1" applyFill="1" applyBorder="1" applyAlignment="1" applyProtection="1">
      <alignment vertical="center"/>
      <protection locked="0"/>
    </xf>
    <xf numFmtId="3" fontId="55" fillId="34" borderId="30" xfId="44" applyNumberFormat="1" applyFont="1" applyFill="1" applyBorder="1" applyAlignment="1" applyProtection="1">
      <alignment horizontal="right" vertical="center"/>
      <protection locked="0"/>
    </xf>
    <xf numFmtId="3" fontId="55" fillId="34" borderId="30" xfId="43" applyNumberFormat="1" applyFont="1" applyFill="1" applyBorder="1" applyAlignment="1" applyProtection="1">
      <alignment horizontal="right" vertical="center" shrinkToFit="1"/>
      <protection locked="0"/>
    </xf>
    <xf numFmtId="3" fontId="55" fillId="0" borderId="30" xfId="0" applyNumberFormat="1" applyFont="1" applyFill="1" applyBorder="1" applyAlignment="1">
      <alignment horizontal="right" vertical="center"/>
    </xf>
    <xf numFmtId="3" fontId="55" fillId="34" borderId="30" xfId="43" applyNumberFormat="1" applyFont="1" applyFill="1" applyBorder="1" applyAlignment="1" applyProtection="1">
      <alignment vertical="center"/>
      <protection locked="0"/>
    </xf>
    <xf numFmtId="0" fontId="55" fillId="34" borderId="30" xfId="0" applyNumberFormat="1" applyFont="1" applyFill="1" applyBorder="1" applyAlignment="1" applyProtection="1">
      <alignment vertical="center"/>
      <protection/>
    </xf>
    <xf numFmtId="0" fontId="55" fillId="34" borderId="30" xfId="0" applyNumberFormat="1" applyFont="1" applyFill="1" applyBorder="1" applyAlignment="1" applyProtection="1">
      <alignment vertical="center"/>
      <protection locked="0"/>
    </xf>
    <xf numFmtId="4" fontId="55" fillId="34" borderId="30" xfId="0" applyNumberFormat="1" applyFont="1" applyFill="1" applyBorder="1" applyAlignment="1">
      <alignment horizontal="right" vertical="center"/>
    </xf>
    <xf numFmtId="4" fontId="55" fillId="34" borderId="30" xfId="0" applyNumberFormat="1" applyFont="1" applyFill="1" applyBorder="1" applyAlignment="1">
      <alignment horizontal="right"/>
    </xf>
    <xf numFmtId="3" fontId="55" fillId="34" borderId="30" xfId="0" applyNumberFormat="1" applyFont="1" applyFill="1" applyBorder="1" applyAlignment="1">
      <alignment horizontal="right" vertical="center"/>
    </xf>
    <xf numFmtId="3" fontId="55" fillId="34" borderId="30" xfId="0" applyNumberFormat="1" applyFont="1" applyFill="1" applyBorder="1" applyAlignment="1">
      <alignment horizontal="right"/>
    </xf>
    <xf numFmtId="4" fontId="65" fillId="34" borderId="30" xfId="0" applyNumberFormat="1" applyFont="1" applyFill="1" applyBorder="1" applyAlignment="1">
      <alignment vertical="center"/>
    </xf>
    <xf numFmtId="3" fontId="65" fillId="34" borderId="30" xfId="0" applyNumberFormat="1" applyFont="1" applyFill="1" applyBorder="1" applyAlignment="1">
      <alignment vertical="center"/>
    </xf>
    <xf numFmtId="1" fontId="64" fillId="34" borderId="30" xfId="0" applyNumberFormat="1" applyFont="1" applyFill="1" applyBorder="1" applyAlignment="1">
      <alignment horizontal="right" vertical="center"/>
    </xf>
    <xf numFmtId="10" fontId="64" fillId="34" borderId="30" xfId="0" applyNumberFormat="1" applyFont="1" applyFill="1" applyBorder="1" applyAlignment="1" applyProtection="1">
      <alignment vertical="center"/>
      <protection/>
    </xf>
    <xf numFmtId="4" fontId="65" fillId="34" borderId="30" xfId="42" applyNumberFormat="1" applyFont="1" applyFill="1" applyBorder="1" applyAlignment="1" applyProtection="1">
      <alignment vertical="center"/>
      <protection locked="0"/>
    </xf>
    <xf numFmtId="3" fontId="65" fillId="34" borderId="30" xfId="42" applyNumberFormat="1" applyFont="1" applyFill="1" applyBorder="1" applyAlignment="1" applyProtection="1">
      <alignment vertical="center"/>
      <protection locked="0"/>
    </xf>
    <xf numFmtId="0" fontId="64" fillId="34" borderId="30" xfId="0" applyNumberFormat="1" applyFont="1" applyFill="1" applyBorder="1" applyAlignment="1" applyProtection="1">
      <alignment vertical="center"/>
      <protection locked="0"/>
    </xf>
    <xf numFmtId="4" fontId="65" fillId="34" borderId="30" xfId="40" applyNumberFormat="1" applyFont="1" applyFill="1" applyBorder="1" applyAlignment="1" applyProtection="1">
      <alignment vertical="center"/>
      <protection locked="0"/>
    </xf>
    <xf numFmtId="1" fontId="54" fillId="34" borderId="30" xfId="0" applyNumberFormat="1" applyFont="1" applyFill="1" applyBorder="1" applyAlignment="1">
      <alignment/>
    </xf>
    <xf numFmtId="0" fontId="54" fillId="34" borderId="30" xfId="0" applyFont="1" applyFill="1" applyBorder="1" applyAlignment="1">
      <alignment/>
    </xf>
    <xf numFmtId="3" fontId="64" fillId="34" borderId="19" xfId="82" applyNumberFormat="1" applyFont="1" applyFill="1" applyBorder="1" applyAlignment="1" applyProtection="1">
      <alignment horizontal="right" vertical="center"/>
      <protection/>
    </xf>
    <xf numFmtId="2" fontId="64" fillId="34" borderId="19" xfId="82" applyNumberFormat="1" applyFont="1" applyFill="1" applyBorder="1" applyAlignment="1" applyProtection="1">
      <alignment horizontal="right" vertical="center"/>
      <protection/>
    </xf>
    <xf numFmtId="4" fontId="64" fillId="34" borderId="19" xfId="0" applyNumberFormat="1" applyFont="1" applyFill="1" applyBorder="1" applyAlignment="1">
      <alignment horizontal="right" vertical="center"/>
    </xf>
    <xf numFmtId="3" fontId="64" fillId="34" borderId="19" xfId="0" applyNumberFormat="1" applyFont="1" applyFill="1" applyBorder="1" applyAlignment="1">
      <alignment horizontal="right" vertical="center"/>
    </xf>
    <xf numFmtId="9" fontId="64" fillId="34" borderId="30" xfId="82" applyNumberFormat="1" applyFont="1" applyFill="1" applyBorder="1" applyAlignment="1" applyProtection="1">
      <alignment horizontal="right" vertical="center"/>
      <protection/>
    </xf>
    <xf numFmtId="4" fontId="64" fillId="34" borderId="19" xfId="82" applyNumberFormat="1" applyFont="1" applyFill="1" applyBorder="1" applyAlignment="1" applyProtection="1">
      <alignment horizontal="right" vertical="center"/>
      <protection/>
    </xf>
    <xf numFmtId="9" fontId="64" fillId="34" borderId="19" xfId="82" applyNumberFormat="1" applyFont="1" applyFill="1" applyBorder="1" applyAlignment="1" applyProtection="1">
      <alignment horizontal="right" vertical="center"/>
      <protection/>
    </xf>
    <xf numFmtId="14" fontId="64" fillId="34" borderId="19" xfId="0" applyNumberFormat="1" applyFont="1" applyFill="1" applyBorder="1" applyAlignment="1" applyProtection="1">
      <alignment horizontal="right" vertical="center"/>
      <protection/>
    </xf>
    <xf numFmtId="3" fontId="64" fillId="34" borderId="30" xfId="82" applyNumberFormat="1" applyFont="1" applyFill="1" applyBorder="1" applyAlignment="1" applyProtection="1">
      <alignment horizontal="right" vertical="center"/>
      <protection/>
    </xf>
    <xf numFmtId="2" fontId="64" fillId="34" borderId="30" xfId="82" applyNumberFormat="1" applyFont="1" applyFill="1" applyBorder="1" applyAlignment="1" applyProtection="1">
      <alignment horizontal="right" vertical="center"/>
      <protection/>
    </xf>
    <xf numFmtId="4" fontId="64" fillId="34" borderId="30" xfId="0" applyNumberFormat="1" applyFont="1" applyFill="1" applyBorder="1" applyAlignment="1">
      <alignment horizontal="right" vertical="center"/>
    </xf>
    <xf numFmtId="3" fontId="64" fillId="34" borderId="30" xfId="0" applyNumberFormat="1" applyFont="1" applyFill="1" applyBorder="1" applyAlignment="1">
      <alignment horizontal="right" vertical="center"/>
    </xf>
    <xf numFmtId="4" fontId="64" fillId="34" borderId="30" xfId="82" applyNumberFormat="1" applyFont="1" applyFill="1" applyBorder="1" applyAlignment="1" applyProtection="1">
      <alignment horizontal="right" vertical="center"/>
      <protection/>
    </xf>
    <xf numFmtId="4" fontId="64" fillId="34" borderId="30" xfId="43" applyNumberFormat="1" applyFont="1" applyFill="1" applyBorder="1" applyAlignment="1">
      <alignment horizontal="right" vertical="center"/>
    </xf>
    <xf numFmtId="3" fontId="64" fillId="34" borderId="30" xfId="43" applyNumberFormat="1" applyFont="1" applyFill="1" applyBorder="1" applyAlignment="1">
      <alignment horizontal="right" vertical="center"/>
    </xf>
    <xf numFmtId="4" fontId="64" fillId="34" borderId="30" xfId="58" applyNumberFormat="1" applyFont="1" applyFill="1" applyBorder="1" applyAlignment="1" applyProtection="1">
      <alignment horizontal="right" vertical="center"/>
      <protection/>
    </xf>
    <xf numFmtId="3" fontId="64" fillId="34" borderId="30" xfId="58" applyNumberFormat="1" applyFont="1" applyFill="1" applyBorder="1" applyAlignment="1" applyProtection="1">
      <alignment horizontal="right" vertical="center"/>
      <protection/>
    </xf>
    <xf numFmtId="4" fontId="64" fillId="34" borderId="30" xfId="42" applyNumberFormat="1" applyFont="1" applyFill="1" applyBorder="1" applyAlignment="1" applyProtection="1">
      <alignment horizontal="right" vertical="center"/>
      <protection locked="0"/>
    </xf>
    <xf numFmtId="3" fontId="64" fillId="34" borderId="30" xfId="42" applyNumberFormat="1" applyFont="1" applyFill="1" applyBorder="1" applyAlignment="1" applyProtection="1">
      <alignment horizontal="right" vertical="center"/>
      <protection locked="0"/>
    </xf>
    <xf numFmtId="4" fontId="64" fillId="34" borderId="30" xfId="43" applyNumberFormat="1" applyFont="1" applyFill="1" applyBorder="1" applyAlignment="1" applyProtection="1">
      <alignment horizontal="right" vertical="center"/>
      <protection/>
    </xf>
    <xf numFmtId="3" fontId="64" fillId="34" borderId="30" xfId="43" applyNumberFormat="1" applyFont="1" applyFill="1" applyBorder="1" applyAlignment="1" applyProtection="1">
      <alignment horizontal="right" vertical="center"/>
      <protection/>
    </xf>
    <xf numFmtId="4" fontId="64" fillId="34" borderId="30" xfId="40" applyNumberFormat="1" applyFont="1" applyFill="1" applyBorder="1" applyAlignment="1">
      <alignment horizontal="right" vertical="center"/>
    </xf>
    <xf numFmtId="3" fontId="64" fillId="34" borderId="30" xfId="40" applyNumberFormat="1" applyFont="1" applyFill="1" applyBorder="1" applyAlignment="1">
      <alignment horizontal="right" vertical="center"/>
    </xf>
    <xf numFmtId="4" fontId="64" fillId="34" borderId="30" xfId="42" applyNumberFormat="1" applyFont="1" applyFill="1" applyBorder="1" applyAlignment="1">
      <alignment horizontal="right" vertical="center"/>
    </xf>
    <xf numFmtId="3" fontId="64" fillId="34" borderId="30" xfId="42" applyNumberFormat="1" applyFont="1" applyFill="1" applyBorder="1" applyAlignment="1">
      <alignment horizontal="right" vertical="center"/>
    </xf>
    <xf numFmtId="0" fontId="64" fillId="34" borderId="30" xfId="61" applyNumberFormat="1" applyFont="1" applyFill="1" applyBorder="1" applyAlignment="1" applyProtection="1">
      <alignment horizontal="right" vertical="center"/>
      <protection locked="0"/>
    </xf>
    <xf numFmtId="4" fontId="64" fillId="34" borderId="30" xfId="44" applyNumberFormat="1" applyFont="1" applyFill="1" applyBorder="1" applyAlignment="1">
      <alignment horizontal="right" vertical="center"/>
    </xf>
    <xf numFmtId="3" fontId="64" fillId="34" borderId="30" xfId="44" applyNumberFormat="1" applyFont="1" applyFill="1" applyBorder="1" applyAlignment="1">
      <alignment horizontal="right" vertical="center"/>
    </xf>
    <xf numFmtId="3" fontId="64" fillId="34" borderId="19" xfId="40" applyNumberFormat="1" applyFont="1" applyFill="1" applyBorder="1" applyAlignment="1">
      <alignment horizontal="right" vertical="center"/>
    </xf>
    <xf numFmtId="4" fontId="64" fillId="34" borderId="19" xfId="40" applyNumberFormat="1" applyFont="1" applyFill="1" applyBorder="1" applyAlignment="1">
      <alignment horizontal="right" vertical="center"/>
    </xf>
    <xf numFmtId="4" fontId="64" fillId="34" borderId="19" xfId="43" applyNumberFormat="1" applyFont="1" applyFill="1" applyBorder="1" applyAlignment="1" applyProtection="1">
      <alignment horizontal="right" vertical="center"/>
      <protection locked="0"/>
    </xf>
    <xf numFmtId="3" fontId="64" fillId="34" borderId="19" xfId="43" applyNumberFormat="1" applyFont="1" applyFill="1" applyBorder="1" applyAlignment="1" applyProtection="1">
      <alignment horizontal="right" vertical="center"/>
      <protection locked="0"/>
    </xf>
    <xf numFmtId="0" fontId="70" fillId="34" borderId="11" xfId="0" applyFont="1" applyFill="1" applyBorder="1" applyAlignment="1" applyProtection="1">
      <alignment horizontal="center" vertical="center"/>
      <protection/>
    </xf>
    <xf numFmtId="2" fontId="71" fillId="34" borderId="11" xfId="0" applyNumberFormat="1" applyFont="1" applyFill="1" applyBorder="1" applyAlignment="1">
      <alignment horizontal="center" vertical="center"/>
    </xf>
    <xf numFmtId="1" fontId="64" fillId="34" borderId="19" xfId="0" applyNumberFormat="1" applyFont="1" applyFill="1" applyBorder="1" applyAlignment="1">
      <alignment horizontal="right" vertical="center"/>
    </xf>
    <xf numFmtId="4" fontId="29" fillId="34" borderId="19" xfId="0" applyNumberFormat="1" applyFont="1" applyFill="1" applyBorder="1" applyAlignment="1">
      <alignment horizontal="right" vertical="center"/>
    </xf>
    <xf numFmtId="3" fontId="29" fillId="34" borderId="19" xfId="0" applyNumberFormat="1" applyFont="1" applyFill="1" applyBorder="1" applyAlignment="1">
      <alignment horizontal="right" vertical="center"/>
    </xf>
    <xf numFmtId="3" fontId="64" fillId="34" borderId="30" xfId="0" applyNumberFormat="1" applyFont="1" applyFill="1" applyBorder="1" applyAlignment="1">
      <alignment vertical="center"/>
    </xf>
    <xf numFmtId="4" fontId="65" fillId="34" borderId="30" xfId="56" applyNumberFormat="1" applyFont="1" applyFill="1" applyBorder="1" applyAlignment="1" applyProtection="1">
      <alignment vertical="center"/>
      <protection/>
    </xf>
    <xf numFmtId="3" fontId="65" fillId="34" borderId="30" xfId="56" applyNumberFormat="1" applyFont="1" applyFill="1" applyBorder="1" applyAlignment="1" applyProtection="1">
      <alignment vertical="center"/>
      <protection/>
    </xf>
    <xf numFmtId="4" fontId="65" fillId="34" borderId="30" xfId="75" applyNumberFormat="1" applyFont="1" applyFill="1" applyBorder="1" applyAlignment="1" applyProtection="1">
      <alignment vertical="center"/>
      <protection locked="0"/>
    </xf>
    <xf numFmtId="3" fontId="65" fillId="34" borderId="30" xfId="75" applyNumberFormat="1" applyFont="1" applyFill="1" applyBorder="1" applyAlignment="1" applyProtection="1">
      <alignment vertical="center"/>
      <protection locked="0"/>
    </xf>
    <xf numFmtId="4" fontId="64" fillId="34" borderId="30" xfId="82" applyNumberFormat="1" applyFont="1" applyFill="1" applyBorder="1" applyAlignment="1" applyProtection="1">
      <alignment horizontal="right" vertical="center"/>
      <protection/>
    </xf>
    <xf numFmtId="3" fontId="64" fillId="34" borderId="30" xfId="82" applyNumberFormat="1" applyFont="1" applyFill="1" applyBorder="1" applyAlignment="1" applyProtection="1">
      <alignment horizontal="right" vertical="center"/>
      <protection/>
    </xf>
    <xf numFmtId="9" fontId="64" fillId="34" borderId="30" xfId="82" applyNumberFormat="1" applyFont="1" applyFill="1" applyBorder="1" applyAlignment="1" applyProtection="1">
      <alignment horizontal="right" vertical="center"/>
      <protection/>
    </xf>
    <xf numFmtId="2" fontId="64" fillId="34" borderId="30" xfId="82" applyNumberFormat="1" applyFont="1" applyFill="1" applyBorder="1" applyAlignment="1" applyProtection="1">
      <alignment horizontal="right" vertical="center"/>
      <protection/>
    </xf>
    <xf numFmtId="4" fontId="64" fillId="34" borderId="30" xfId="56" applyNumberFormat="1" applyFont="1" applyFill="1" applyBorder="1" applyAlignment="1" applyProtection="1">
      <alignment horizontal="right" vertical="center"/>
      <protection/>
    </xf>
    <xf numFmtId="3" fontId="64" fillId="34" borderId="30" xfId="56" applyNumberFormat="1" applyFont="1" applyFill="1" applyBorder="1" applyAlignment="1" applyProtection="1">
      <alignment horizontal="right" vertical="center"/>
      <protection/>
    </xf>
    <xf numFmtId="2" fontId="64" fillId="34" borderId="30" xfId="0" applyNumberFormat="1" applyFont="1" applyFill="1" applyBorder="1" applyAlignment="1" applyProtection="1">
      <alignment horizontal="right" vertical="center"/>
      <protection/>
    </xf>
    <xf numFmtId="14" fontId="64" fillId="34" borderId="30" xfId="0" applyNumberFormat="1" applyFont="1" applyFill="1" applyBorder="1" applyAlignment="1" applyProtection="1">
      <alignment horizontal="right" vertical="center"/>
      <protection/>
    </xf>
    <xf numFmtId="4" fontId="64" fillId="34" borderId="30" xfId="0" applyNumberFormat="1" applyFont="1" applyFill="1" applyBorder="1" applyAlignment="1">
      <alignment horizontal="right" vertical="center"/>
    </xf>
    <xf numFmtId="3" fontId="64" fillId="34" borderId="30" xfId="0" applyNumberFormat="1" applyFont="1" applyFill="1" applyBorder="1" applyAlignment="1">
      <alignment horizontal="right" vertical="center"/>
    </xf>
    <xf numFmtId="4" fontId="64" fillId="34" borderId="30" xfId="42" applyNumberFormat="1" applyFont="1" applyFill="1" applyBorder="1" applyAlignment="1" applyProtection="1">
      <alignment horizontal="right" vertical="center"/>
      <protection locked="0"/>
    </xf>
    <xf numFmtId="3" fontId="64" fillId="34" borderId="30" xfId="42" applyNumberFormat="1" applyFont="1" applyFill="1" applyBorder="1" applyAlignment="1" applyProtection="1">
      <alignment horizontal="right" vertical="center"/>
      <protection locked="0"/>
    </xf>
    <xf numFmtId="4" fontId="64" fillId="34" borderId="30" xfId="43" applyNumberFormat="1" applyFont="1" applyFill="1" applyBorder="1" applyAlignment="1" applyProtection="1">
      <alignment horizontal="right" vertical="center"/>
      <protection locked="0"/>
    </xf>
    <xf numFmtId="3" fontId="64" fillId="34" borderId="30" xfId="43" applyNumberFormat="1" applyFont="1" applyFill="1" applyBorder="1" applyAlignment="1" applyProtection="1">
      <alignment horizontal="right" vertical="center"/>
      <protection locked="0"/>
    </xf>
    <xf numFmtId="4" fontId="62" fillId="4" borderId="30" xfId="58" applyNumberFormat="1" applyFont="1" applyFill="1" applyBorder="1" applyAlignment="1" applyProtection="1">
      <alignment horizontal="right" vertical="center"/>
      <protection/>
    </xf>
    <xf numFmtId="3" fontId="62" fillId="4" borderId="30" xfId="58" applyNumberFormat="1" applyFont="1" applyFill="1" applyBorder="1" applyAlignment="1" applyProtection="1">
      <alignment horizontal="right" vertical="center"/>
      <protection/>
    </xf>
    <xf numFmtId="4" fontId="62" fillId="4" borderId="30" xfId="0" applyNumberFormat="1" applyFont="1" applyFill="1" applyBorder="1" applyAlignment="1">
      <alignment horizontal="right" vertical="center"/>
    </xf>
    <xf numFmtId="3" fontId="62" fillId="4" borderId="30" xfId="0" applyNumberFormat="1" applyFont="1" applyFill="1" applyBorder="1" applyAlignment="1">
      <alignment horizontal="right" vertical="center"/>
    </xf>
    <xf numFmtId="4" fontId="62" fillId="4" borderId="30" xfId="42" applyNumberFormat="1" applyFont="1" applyFill="1" applyBorder="1" applyAlignment="1" applyProtection="1">
      <alignment horizontal="right" vertical="center"/>
      <protection locked="0"/>
    </xf>
    <xf numFmtId="3" fontId="62" fillId="4" borderId="30" xfId="42" applyNumberFormat="1" applyFont="1" applyFill="1" applyBorder="1" applyAlignment="1" applyProtection="1">
      <alignment horizontal="right" vertical="center"/>
      <protection locked="0"/>
    </xf>
    <xf numFmtId="4" fontId="62" fillId="4" borderId="30" xfId="44" applyNumberFormat="1" applyFont="1" applyFill="1" applyBorder="1" applyAlignment="1" applyProtection="1">
      <alignment horizontal="right" vertical="center"/>
      <protection locked="0"/>
    </xf>
    <xf numFmtId="3" fontId="62" fillId="4" borderId="30" xfId="44" applyNumberFormat="1" applyFont="1" applyFill="1" applyBorder="1" applyAlignment="1" applyProtection="1">
      <alignment horizontal="right" vertical="center"/>
      <protection locked="0"/>
    </xf>
    <xf numFmtId="4" fontId="29" fillId="34" borderId="30" xfId="58" applyNumberFormat="1" applyFont="1" applyFill="1" applyBorder="1" applyAlignment="1" applyProtection="1">
      <alignment horizontal="right" vertical="center"/>
      <protection/>
    </xf>
    <xf numFmtId="3" fontId="29" fillId="34" borderId="30" xfId="58" applyNumberFormat="1" applyFont="1" applyFill="1" applyBorder="1" applyAlignment="1" applyProtection="1">
      <alignment horizontal="right" vertical="center"/>
      <protection/>
    </xf>
    <xf numFmtId="4" fontId="29" fillId="34" borderId="30" xfId="0" applyNumberFormat="1" applyFont="1" applyFill="1" applyBorder="1" applyAlignment="1">
      <alignment horizontal="right" vertical="center"/>
    </xf>
    <xf numFmtId="3" fontId="29" fillId="34" borderId="30" xfId="0" applyNumberFormat="1" applyFont="1" applyFill="1" applyBorder="1" applyAlignment="1">
      <alignment horizontal="right" vertical="center"/>
    </xf>
    <xf numFmtId="4" fontId="29" fillId="34" borderId="30" xfId="42" applyNumberFormat="1" applyFont="1" applyFill="1" applyBorder="1" applyAlignment="1" applyProtection="1">
      <alignment horizontal="right" vertical="center"/>
      <protection locked="0"/>
    </xf>
    <xf numFmtId="3" fontId="29" fillId="34" borderId="30" xfId="42" applyNumberFormat="1" applyFont="1" applyFill="1" applyBorder="1" applyAlignment="1" applyProtection="1">
      <alignment horizontal="right" vertical="center"/>
      <protection locked="0"/>
    </xf>
    <xf numFmtId="4" fontId="29" fillId="34" borderId="30" xfId="44" applyNumberFormat="1" applyFont="1" applyFill="1" applyBorder="1" applyAlignment="1" applyProtection="1">
      <alignment horizontal="right" vertical="center"/>
      <protection locked="0"/>
    </xf>
    <xf numFmtId="3" fontId="29" fillId="34" borderId="30" xfId="44" applyNumberFormat="1" applyFont="1" applyFill="1" applyBorder="1" applyAlignment="1" applyProtection="1">
      <alignment horizontal="right" vertical="center"/>
      <protection locked="0"/>
    </xf>
    <xf numFmtId="2" fontId="71" fillId="34" borderId="11" xfId="0" applyNumberFormat="1" applyFont="1" applyFill="1" applyBorder="1" applyAlignment="1" applyProtection="1">
      <alignment horizontal="center" vertical="center"/>
      <protection/>
    </xf>
    <xf numFmtId="0" fontId="55" fillId="34" borderId="30" xfId="0" applyNumberFormat="1" applyFont="1" applyFill="1" applyBorder="1" applyAlignment="1">
      <alignment horizontal="left" vertical="center"/>
    </xf>
    <xf numFmtId="4" fontId="55" fillId="34" borderId="19" xfId="0" applyNumberFormat="1" applyFont="1" applyFill="1" applyBorder="1" applyAlignment="1">
      <alignment horizontal="right" vertical="center"/>
    </xf>
    <xf numFmtId="3" fontId="55" fillId="34" borderId="19" xfId="0" applyNumberFormat="1" applyFont="1" applyFill="1" applyBorder="1" applyAlignment="1">
      <alignment horizontal="right" vertical="center"/>
    </xf>
    <xf numFmtId="0" fontId="119" fillId="34" borderId="30" xfId="0" applyFont="1" applyFill="1" applyBorder="1" applyAlignment="1">
      <alignment horizontal="right" vertical="center"/>
    </xf>
    <xf numFmtId="0" fontId="119" fillId="34" borderId="30" xfId="0" applyFont="1" applyFill="1" applyBorder="1" applyAlignment="1">
      <alignment vertical="center"/>
    </xf>
    <xf numFmtId="4" fontId="123" fillId="34" borderId="30" xfId="0" applyNumberFormat="1" applyFont="1" applyFill="1" applyBorder="1" applyAlignment="1">
      <alignment vertical="center"/>
    </xf>
    <xf numFmtId="3" fontId="123" fillId="34" borderId="30" xfId="0" applyNumberFormat="1" applyFont="1" applyFill="1" applyBorder="1" applyAlignment="1">
      <alignment horizontal="right" vertical="center"/>
    </xf>
    <xf numFmtId="4" fontId="122" fillId="34" borderId="30" xfId="0" applyNumberFormat="1" applyFont="1" applyFill="1" applyBorder="1" applyAlignment="1">
      <alignment vertical="center"/>
    </xf>
    <xf numFmtId="3" fontId="122" fillId="34" borderId="30" xfId="0" applyNumberFormat="1" applyFont="1" applyFill="1" applyBorder="1" applyAlignment="1">
      <alignment horizontal="right" vertical="center"/>
    </xf>
    <xf numFmtId="4" fontId="122" fillId="34" borderId="30" xfId="0" applyNumberFormat="1" applyFont="1" applyFill="1" applyBorder="1" applyAlignment="1">
      <alignment horizontal="right" vertical="center"/>
    </xf>
    <xf numFmtId="3" fontId="119" fillId="34" borderId="30" xfId="0" applyNumberFormat="1" applyFont="1" applyFill="1" applyBorder="1" applyAlignment="1">
      <alignment horizontal="right" vertical="center"/>
    </xf>
    <xf numFmtId="4" fontId="65" fillId="34" borderId="30" xfId="43" applyNumberFormat="1" applyFont="1" applyFill="1" applyBorder="1" applyAlignment="1" applyProtection="1">
      <alignment horizontal="right" vertical="center" shrinkToFit="1"/>
      <protection locked="0"/>
    </xf>
    <xf numFmtId="3" fontId="65" fillId="34" borderId="30" xfId="43" applyNumberFormat="1" applyFont="1" applyFill="1" applyBorder="1" applyAlignment="1" applyProtection="1">
      <alignment horizontal="right" vertical="center" shrinkToFit="1"/>
      <protection locked="0"/>
    </xf>
    <xf numFmtId="0" fontId="36" fillId="34" borderId="30" xfId="0" applyFont="1" applyFill="1" applyBorder="1" applyAlignment="1">
      <alignment vertical="center"/>
    </xf>
    <xf numFmtId="3" fontId="123" fillId="34" borderId="30" xfId="0" applyNumberFormat="1" applyFont="1" applyFill="1" applyBorder="1" applyAlignment="1">
      <alignment vertical="center"/>
    </xf>
    <xf numFmtId="3" fontId="122" fillId="34" borderId="30" xfId="0" applyNumberFormat="1" applyFont="1" applyFill="1" applyBorder="1" applyAlignment="1">
      <alignment vertical="center"/>
    </xf>
    <xf numFmtId="0" fontId="65" fillId="34" borderId="30" xfId="0" applyFont="1" applyFill="1" applyBorder="1" applyAlignment="1">
      <alignment horizontal="right" vertical="center"/>
    </xf>
    <xf numFmtId="0" fontId="64" fillId="34" borderId="30" xfId="0" applyFont="1" applyFill="1" applyBorder="1" applyAlignment="1">
      <alignment horizontal="right"/>
    </xf>
    <xf numFmtId="0" fontId="65" fillId="34" borderId="30" xfId="0" applyNumberFormat="1" applyFont="1" applyFill="1" applyBorder="1" applyAlignment="1">
      <alignment horizontal="right" vertical="center"/>
    </xf>
    <xf numFmtId="0" fontId="123" fillId="34" borderId="30" xfId="0" applyFont="1" applyFill="1" applyBorder="1" applyAlignment="1">
      <alignment horizontal="right" vertical="center"/>
    </xf>
    <xf numFmtId="4" fontId="123" fillId="34" borderId="30" xfId="0" applyNumberFormat="1" applyFont="1" applyFill="1" applyBorder="1" applyAlignment="1">
      <alignment horizontal="right" vertical="center"/>
    </xf>
    <xf numFmtId="4" fontId="65" fillId="34" borderId="30" xfId="42" applyNumberFormat="1" applyFont="1" applyFill="1" applyBorder="1" applyAlignment="1" applyProtection="1">
      <alignment horizontal="right" vertical="center"/>
      <protection locked="0"/>
    </xf>
    <xf numFmtId="3" fontId="65" fillId="34" borderId="30" xfId="42" applyNumberFormat="1" applyFont="1" applyFill="1" applyBorder="1" applyAlignment="1" applyProtection="1">
      <alignment horizontal="right" vertical="center"/>
      <protection locked="0"/>
    </xf>
    <xf numFmtId="4" fontId="55" fillId="34" borderId="30" xfId="42" applyNumberFormat="1" applyFont="1" applyFill="1" applyBorder="1" applyAlignment="1" applyProtection="1">
      <alignment horizontal="right" vertical="center"/>
      <protection locked="0"/>
    </xf>
    <xf numFmtId="3" fontId="55" fillId="34" borderId="30" xfId="42" applyNumberFormat="1" applyFont="1" applyFill="1" applyBorder="1" applyAlignment="1" applyProtection="1">
      <alignment horizontal="right" vertical="center"/>
      <protection locked="0"/>
    </xf>
    <xf numFmtId="4" fontId="65" fillId="34" borderId="30" xfId="75" applyNumberFormat="1" applyFont="1" applyFill="1" applyBorder="1" applyAlignment="1" applyProtection="1">
      <alignment vertical="center"/>
      <protection/>
    </xf>
    <xf numFmtId="3" fontId="65" fillId="34" borderId="30" xfId="75" applyNumberFormat="1" applyFont="1" applyFill="1" applyBorder="1" applyAlignment="1" applyProtection="1">
      <alignment vertical="center"/>
      <protection/>
    </xf>
    <xf numFmtId="4" fontId="55" fillId="34" borderId="30" xfId="75" applyNumberFormat="1" applyFont="1" applyFill="1" applyBorder="1" applyAlignment="1" applyProtection="1">
      <alignment vertical="center"/>
      <protection locked="0"/>
    </xf>
    <xf numFmtId="3" fontId="55" fillId="34" borderId="30" xfId="75" applyNumberFormat="1" applyFont="1" applyFill="1" applyBorder="1" applyAlignment="1" applyProtection="1">
      <alignment vertical="center"/>
      <protection locked="0"/>
    </xf>
    <xf numFmtId="0" fontId="64" fillId="34" borderId="30" xfId="0" applyFont="1" applyFill="1" applyBorder="1" applyAlignment="1">
      <alignment horizontal="right" vertical="center" shrinkToFit="1"/>
    </xf>
    <xf numFmtId="0" fontId="119" fillId="34" borderId="30" xfId="0" applyFont="1" applyFill="1" applyBorder="1" applyAlignment="1">
      <alignment horizontal="right" vertical="center" shrinkToFit="1"/>
    </xf>
    <xf numFmtId="0" fontId="36" fillId="34" borderId="30" xfId="0" applyNumberFormat="1" applyFont="1" applyFill="1" applyBorder="1" applyAlignment="1">
      <alignment vertical="center"/>
    </xf>
    <xf numFmtId="4" fontId="65" fillId="34" borderId="30" xfId="56" applyNumberFormat="1" applyFont="1" applyFill="1" applyBorder="1" applyAlignment="1" applyProtection="1">
      <alignment horizontal="right" vertical="center"/>
      <protection/>
    </xf>
    <xf numFmtId="3" fontId="65" fillId="34" borderId="30" xfId="56" applyNumberFormat="1" applyFont="1" applyFill="1" applyBorder="1" applyAlignment="1" applyProtection="1">
      <alignment horizontal="right" vertical="center"/>
      <protection/>
    </xf>
    <xf numFmtId="4" fontId="55" fillId="34" borderId="30" xfId="56" applyNumberFormat="1" applyFont="1" applyFill="1" applyBorder="1" applyAlignment="1" applyProtection="1">
      <alignment horizontal="right" vertical="center"/>
      <protection/>
    </xf>
    <xf numFmtId="3" fontId="55" fillId="34" borderId="30" xfId="56" applyNumberFormat="1" applyFont="1" applyFill="1" applyBorder="1" applyAlignment="1" applyProtection="1">
      <alignment horizontal="right" vertical="center"/>
      <protection/>
    </xf>
    <xf numFmtId="4" fontId="55" fillId="34" borderId="30" xfId="56" applyNumberFormat="1" applyFont="1" applyFill="1" applyBorder="1" applyAlignment="1" applyProtection="1">
      <alignment vertical="center"/>
      <protection/>
    </xf>
    <xf numFmtId="3" fontId="55" fillId="34" borderId="30" xfId="56" applyNumberFormat="1" applyFont="1" applyFill="1" applyBorder="1" applyAlignment="1" applyProtection="1">
      <alignment vertical="center"/>
      <protection/>
    </xf>
    <xf numFmtId="4" fontId="55" fillId="34" borderId="30" xfId="56" applyNumberFormat="1" applyFont="1" applyFill="1" applyBorder="1" applyAlignment="1" applyProtection="1">
      <alignment horizontal="right" vertical="center"/>
      <protection locked="0"/>
    </xf>
    <xf numFmtId="3" fontId="55" fillId="34" borderId="30" xfId="56" applyNumberFormat="1" applyFont="1" applyFill="1" applyBorder="1" applyAlignment="1" applyProtection="1">
      <alignment horizontal="right" vertical="center"/>
      <protection locked="0"/>
    </xf>
    <xf numFmtId="3" fontId="65" fillId="34" borderId="30" xfId="40" applyNumberFormat="1" applyFont="1" applyFill="1" applyBorder="1" applyAlignment="1" applyProtection="1">
      <alignment horizontal="right" vertical="center"/>
      <protection locked="0"/>
    </xf>
    <xf numFmtId="4" fontId="55" fillId="34" borderId="30" xfId="40" applyNumberFormat="1" applyFont="1" applyFill="1" applyBorder="1" applyAlignment="1" applyProtection="1">
      <alignment vertical="center"/>
      <protection locked="0"/>
    </xf>
    <xf numFmtId="3" fontId="55" fillId="34" borderId="30" xfId="40" applyNumberFormat="1" applyFont="1" applyFill="1" applyBorder="1" applyAlignment="1" applyProtection="1">
      <alignment horizontal="right" vertical="center"/>
      <protection locked="0"/>
    </xf>
    <xf numFmtId="4" fontId="65" fillId="34" borderId="30" xfId="0" applyNumberFormat="1" applyFont="1" applyFill="1" applyBorder="1" applyAlignment="1">
      <alignment horizontal="right" wrapText="1" shrinkToFit="1"/>
    </xf>
    <xf numFmtId="3" fontId="65" fillId="34" borderId="30" xfId="0" applyNumberFormat="1" applyFont="1" applyFill="1" applyBorder="1" applyAlignment="1">
      <alignment horizontal="right" shrinkToFit="1"/>
    </xf>
    <xf numFmtId="4" fontId="55" fillId="34" borderId="30" xfId="0" applyNumberFormat="1" applyFont="1" applyFill="1" applyBorder="1" applyAlignment="1">
      <alignment horizontal="right" wrapText="1" shrinkToFit="1"/>
    </xf>
    <xf numFmtId="3" fontId="55" fillId="34" borderId="30" xfId="0" applyNumberFormat="1" applyFont="1" applyFill="1" applyBorder="1" applyAlignment="1">
      <alignment horizontal="right" shrinkToFit="1"/>
    </xf>
    <xf numFmtId="0" fontId="64" fillId="34" borderId="30" xfId="0" applyNumberFormat="1" applyFont="1" applyFill="1" applyBorder="1" applyAlignment="1">
      <alignment horizontal="right" vertical="center" shrinkToFit="1"/>
    </xf>
    <xf numFmtId="4" fontId="55" fillId="34" borderId="30" xfId="56" applyNumberFormat="1" applyFont="1" applyFill="1" applyBorder="1" applyAlignment="1" applyProtection="1">
      <alignment vertical="center"/>
      <protection locked="0"/>
    </xf>
    <xf numFmtId="3" fontId="55" fillId="34" borderId="30" xfId="56" applyNumberFormat="1" applyFont="1" applyFill="1" applyBorder="1" applyAlignment="1" applyProtection="1">
      <alignment vertical="center"/>
      <protection locked="0"/>
    </xf>
    <xf numFmtId="4" fontId="55" fillId="34" borderId="30" xfId="43" applyNumberFormat="1" applyFont="1" applyFill="1" applyBorder="1" applyAlignment="1">
      <alignment horizontal="right" vertical="center"/>
    </xf>
    <xf numFmtId="3" fontId="55" fillId="34" borderId="30" xfId="43" applyNumberFormat="1" applyFont="1" applyFill="1" applyBorder="1" applyAlignment="1">
      <alignment horizontal="right" vertical="center"/>
    </xf>
    <xf numFmtId="3" fontId="64" fillId="34" borderId="30" xfId="40" applyNumberFormat="1" applyFont="1" applyFill="1" applyBorder="1" applyAlignment="1">
      <alignment vertical="center"/>
    </xf>
    <xf numFmtId="4" fontId="55" fillId="34" borderId="30" xfId="40" applyNumberFormat="1" applyFont="1" applyFill="1" applyBorder="1" applyAlignment="1" applyProtection="1">
      <alignment horizontal="right" vertical="center"/>
      <protection locked="0"/>
    </xf>
    <xf numFmtId="4" fontId="65" fillId="34" borderId="30" xfId="0" applyNumberFormat="1" applyFont="1" applyFill="1" applyBorder="1" applyAlignment="1">
      <alignment horizontal="right" wrapText="1"/>
    </xf>
    <xf numFmtId="3" fontId="65" fillId="34" borderId="30" xfId="0" applyNumberFormat="1" applyFont="1" applyFill="1" applyBorder="1" applyAlignment="1">
      <alignment horizontal="right" wrapText="1"/>
    </xf>
    <xf numFmtId="4" fontId="55" fillId="34" borderId="30" xfId="0" applyNumberFormat="1" applyFont="1" applyFill="1" applyBorder="1" applyAlignment="1">
      <alignment horizontal="right" wrapText="1"/>
    </xf>
    <xf numFmtId="3" fontId="55" fillId="34" borderId="30" xfId="0" applyNumberFormat="1" applyFont="1" applyFill="1" applyBorder="1" applyAlignment="1">
      <alignment horizontal="right" wrapText="1"/>
    </xf>
    <xf numFmtId="0" fontId="54" fillId="0" borderId="19" xfId="0" applyNumberFormat="1" applyFont="1" applyFill="1" applyBorder="1" applyAlignment="1" applyProtection="1">
      <alignment horizontal="center" vertical="center"/>
      <protection/>
    </xf>
    <xf numFmtId="0" fontId="54" fillId="0" borderId="19" xfId="0" applyFont="1" applyFill="1" applyBorder="1" applyAlignment="1">
      <alignment vertical="center"/>
    </xf>
    <xf numFmtId="0" fontId="54" fillId="0" borderId="19" xfId="0" applyFont="1" applyFill="1" applyBorder="1" applyAlignment="1" applyProtection="1">
      <alignment vertical="center"/>
      <protection/>
    </xf>
    <xf numFmtId="10" fontId="54" fillId="0" borderId="19" xfId="0" applyNumberFormat="1" applyFont="1" applyFill="1" applyBorder="1" applyAlignment="1">
      <alignment vertical="center"/>
    </xf>
    <xf numFmtId="190" fontId="54" fillId="0" borderId="19" xfId="0" applyNumberFormat="1" applyFont="1" applyFill="1" applyBorder="1" applyAlignment="1" applyProtection="1">
      <alignment vertical="center"/>
      <protection/>
    </xf>
    <xf numFmtId="0" fontId="54" fillId="0" borderId="19" xfId="0" applyNumberFormat="1" applyFont="1" applyFill="1" applyBorder="1" applyAlignment="1" applyProtection="1">
      <alignment vertical="center"/>
      <protection/>
    </xf>
    <xf numFmtId="4" fontId="55" fillId="0" borderId="19" xfId="44" applyNumberFormat="1" applyFont="1" applyFill="1" applyBorder="1" applyAlignment="1" applyProtection="1">
      <alignment vertical="center"/>
      <protection locked="0"/>
    </xf>
    <xf numFmtId="3" fontId="55" fillId="0" borderId="19" xfId="44" applyNumberFormat="1" applyFont="1" applyFill="1" applyBorder="1" applyAlignment="1" applyProtection="1">
      <alignment vertical="center"/>
      <protection locked="0"/>
    </xf>
    <xf numFmtId="2" fontId="54" fillId="0" borderId="19" xfId="0" applyNumberFormat="1" applyFont="1" applyFill="1" applyBorder="1" applyAlignment="1" applyProtection="1">
      <alignment vertical="center"/>
      <protection/>
    </xf>
    <xf numFmtId="14" fontId="54" fillId="0" borderId="19" xfId="0" applyNumberFormat="1" applyFont="1" applyFill="1" applyBorder="1" applyAlignment="1" applyProtection="1">
      <alignment vertical="center"/>
      <protection/>
    </xf>
    <xf numFmtId="0" fontId="54" fillId="0" borderId="30" xfId="0" applyNumberFormat="1" applyFont="1" applyFill="1" applyBorder="1" applyAlignment="1" applyProtection="1">
      <alignment horizontal="center" vertical="center"/>
      <protection/>
    </xf>
    <xf numFmtId="0" fontId="54" fillId="0" borderId="30" xfId="0" applyFont="1" applyFill="1" applyBorder="1" applyAlignment="1">
      <alignment vertical="center"/>
    </xf>
    <xf numFmtId="0" fontId="54" fillId="0" borderId="30" xfId="0" applyFont="1" applyFill="1" applyBorder="1" applyAlignment="1" applyProtection="1">
      <alignment vertical="center"/>
      <protection/>
    </xf>
    <xf numFmtId="10" fontId="54" fillId="0" borderId="30" xfId="0" applyNumberFormat="1" applyFont="1" applyFill="1" applyBorder="1" applyAlignment="1">
      <alignment vertical="center"/>
    </xf>
    <xf numFmtId="190" fontId="54" fillId="0" borderId="30" xfId="0" applyNumberFormat="1" applyFont="1" applyFill="1" applyBorder="1" applyAlignment="1" applyProtection="1">
      <alignment vertical="center"/>
      <protection/>
    </xf>
    <xf numFmtId="0" fontId="54" fillId="0" borderId="30" xfId="0" applyNumberFormat="1" applyFont="1" applyFill="1" applyBorder="1" applyAlignment="1" applyProtection="1">
      <alignment vertical="center"/>
      <protection/>
    </xf>
    <xf numFmtId="2" fontId="54" fillId="0" borderId="30" xfId="0" applyNumberFormat="1" applyFont="1" applyFill="1" applyBorder="1" applyAlignment="1" applyProtection="1">
      <alignment vertical="center"/>
      <protection/>
    </xf>
    <xf numFmtId="14" fontId="54" fillId="0" borderId="30" xfId="0" applyNumberFormat="1" applyFont="1" applyFill="1" applyBorder="1" applyAlignment="1" applyProtection="1">
      <alignment vertical="center"/>
      <protection/>
    </xf>
    <xf numFmtId="204" fontId="54" fillId="0" borderId="30" xfId="0" applyNumberFormat="1" applyFont="1" applyFill="1" applyBorder="1" applyAlignment="1">
      <alignment vertical="center"/>
    </xf>
    <xf numFmtId="0" fontId="54" fillId="0" borderId="30" xfId="0" applyFont="1" applyFill="1" applyBorder="1" applyAlignment="1">
      <alignment horizontal="left" vertical="center"/>
    </xf>
    <xf numFmtId="0" fontId="54" fillId="0" borderId="30" xfId="0" applyFont="1" applyFill="1" applyBorder="1" applyAlignment="1" applyProtection="1">
      <alignment horizontal="left" vertical="center"/>
      <protection/>
    </xf>
    <xf numFmtId="204" fontId="54" fillId="0" borderId="30" xfId="0" applyNumberFormat="1" applyFont="1" applyFill="1" applyBorder="1" applyAlignment="1">
      <alignment horizontal="left" vertical="center"/>
    </xf>
    <xf numFmtId="190" fontId="54" fillId="0" borderId="30" xfId="0" applyNumberFormat="1" applyFont="1" applyFill="1" applyBorder="1" applyAlignment="1" applyProtection="1">
      <alignment horizontal="center" vertical="center"/>
      <protection/>
    </xf>
    <xf numFmtId="0" fontId="54" fillId="0" borderId="30" xfId="0" applyNumberFormat="1" applyFont="1" applyFill="1" applyBorder="1" applyAlignment="1" applyProtection="1">
      <alignment horizontal="left" vertical="center"/>
      <protection/>
    </xf>
    <xf numFmtId="0" fontId="54" fillId="0" borderId="30" xfId="0" applyFont="1" applyFill="1" applyBorder="1" applyAlignment="1">
      <alignment horizontal="right" vertical="center"/>
    </xf>
    <xf numFmtId="0" fontId="54" fillId="0" borderId="30" xfId="0" applyFont="1" applyFill="1" applyBorder="1" applyAlignment="1" applyProtection="1">
      <alignment horizontal="right" vertical="center"/>
      <protection locked="0"/>
    </xf>
    <xf numFmtId="2" fontId="54" fillId="0" borderId="30" xfId="0" applyNumberFormat="1" applyFont="1" applyFill="1" applyBorder="1" applyAlignment="1" applyProtection="1">
      <alignment horizontal="right" vertical="center"/>
      <protection/>
    </xf>
    <xf numFmtId="14" fontId="54" fillId="0" borderId="30" xfId="0" applyNumberFormat="1" applyFont="1" applyFill="1" applyBorder="1" applyAlignment="1" applyProtection="1">
      <alignment horizontal="right" vertical="center"/>
      <protection/>
    </xf>
    <xf numFmtId="0" fontId="54" fillId="0" borderId="30" xfId="0" applyFont="1" applyFill="1" applyBorder="1" applyAlignment="1" applyProtection="1">
      <alignment horizontal="center" vertical="center"/>
      <protection/>
    </xf>
    <xf numFmtId="0" fontId="54" fillId="0" borderId="30" xfId="0" applyNumberFormat="1" applyFont="1" applyFill="1" applyBorder="1" applyAlignment="1" applyProtection="1">
      <alignment vertical="center"/>
      <protection locked="0"/>
    </xf>
    <xf numFmtId="190" fontId="54" fillId="0" borderId="30" xfId="0" applyNumberFormat="1" applyFont="1" applyFill="1" applyBorder="1" applyAlignment="1" applyProtection="1">
      <alignment vertical="center"/>
      <protection locked="0"/>
    </xf>
    <xf numFmtId="1" fontId="54" fillId="0" borderId="30" xfId="0" applyNumberFormat="1" applyFont="1" applyFill="1" applyBorder="1" applyAlignment="1">
      <alignment vertical="center"/>
    </xf>
    <xf numFmtId="190" fontId="54" fillId="0" borderId="30" xfId="0" applyNumberFormat="1" applyFont="1" applyFill="1" applyBorder="1" applyAlignment="1" applyProtection="1">
      <alignment horizontal="center" vertical="center"/>
      <protection locked="0"/>
    </xf>
    <xf numFmtId="10" fontId="54" fillId="0" borderId="30" xfId="0" applyNumberFormat="1" applyFont="1" applyFill="1" applyBorder="1" applyAlignment="1">
      <alignment horizontal="left" vertical="center"/>
    </xf>
    <xf numFmtId="0" fontId="54" fillId="0" borderId="30" xfId="0" applyFont="1" applyFill="1" applyBorder="1" applyAlignment="1" applyProtection="1">
      <alignment vertical="center"/>
      <protection locked="0"/>
    </xf>
    <xf numFmtId="0" fontId="54" fillId="0" borderId="30" xfId="0" applyNumberFormat="1" applyFont="1" applyFill="1" applyBorder="1" applyAlignment="1">
      <alignment vertical="center"/>
    </xf>
    <xf numFmtId="4" fontId="55" fillId="0" borderId="30" xfId="58" applyNumberFormat="1" applyFont="1" applyFill="1" applyBorder="1" applyAlignment="1" applyProtection="1">
      <alignment horizontal="right" vertical="center"/>
      <protection/>
    </xf>
    <xf numFmtId="3" fontId="55" fillId="0" borderId="30" xfId="58" applyNumberFormat="1" applyFont="1" applyFill="1" applyBorder="1" applyAlignment="1" applyProtection="1">
      <alignment horizontal="right" vertical="center"/>
      <protection/>
    </xf>
    <xf numFmtId="0" fontId="54" fillId="0" borderId="30" xfId="0" applyNumberFormat="1" applyFont="1" applyFill="1" applyBorder="1" applyAlignment="1" applyProtection="1">
      <alignment horizontal="left" vertical="center"/>
      <protection locked="0"/>
    </xf>
    <xf numFmtId="1" fontId="54" fillId="0" borderId="30" xfId="0" applyNumberFormat="1" applyFont="1" applyFill="1" applyBorder="1" applyAlignment="1">
      <alignment horizontal="right" vertical="center"/>
    </xf>
    <xf numFmtId="0" fontId="54" fillId="0" borderId="30" xfId="0" applyNumberFormat="1" applyFont="1" applyFill="1" applyBorder="1" applyAlignment="1" applyProtection="1">
      <alignment horizontal="right" vertical="center"/>
      <protection locked="0"/>
    </xf>
    <xf numFmtId="10" fontId="54" fillId="0" borderId="30" xfId="0" applyNumberFormat="1" applyFont="1" applyFill="1" applyBorder="1" applyAlignment="1" applyProtection="1">
      <alignment vertical="center"/>
      <protection/>
    </xf>
    <xf numFmtId="4" fontId="55" fillId="0" borderId="30" xfId="58" applyNumberFormat="1" applyFont="1" applyFill="1" applyBorder="1" applyAlignment="1" applyProtection="1">
      <alignment vertical="center"/>
      <protection/>
    </xf>
    <xf numFmtId="3" fontId="55" fillId="0" borderId="30" xfId="58" applyNumberFormat="1" applyFont="1" applyFill="1" applyBorder="1" applyAlignment="1" applyProtection="1">
      <alignment vertical="center"/>
      <protection/>
    </xf>
    <xf numFmtId="0" fontId="54" fillId="0" borderId="30" xfId="58" applyNumberFormat="1" applyFont="1" applyFill="1" applyBorder="1" applyAlignment="1" applyProtection="1">
      <alignment vertical="center"/>
      <protection locked="0"/>
    </xf>
    <xf numFmtId="0" fontId="54" fillId="0" borderId="30" xfId="65" applyFont="1" applyFill="1" applyBorder="1" applyAlignment="1" applyProtection="1">
      <alignment horizontal="center" vertical="center"/>
      <protection/>
    </xf>
    <xf numFmtId="0" fontId="54" fillId="0" borderId="30" xfId="65" applyNumberFormat="1" applyFont="1" applyFill="1" applyBorder="1" applyAlignment="1" applyProtection="1">
      <alignment vertical="center"/>
      <protection locked="0"/>
    </xf>
    <xf numFmtId="0" fontId="54" fillId="0" borderId="30" xfId="65" applyFont="1" applyFill="1" applyBorder="1" applyAlignment="1">
      <alignment vertical="center"/>
      <protection/>
    </xf>
    <xf numFmtId="190" fontId="54" fillId="0" borderId="30" xfId="65" applyNumberFormat="1" applyFont="1" applyFill="1" applyBorder="1" applyAlignment="1" applyProtection="1">
      <alignment vertical="center"/>
      <protection locked="0"/>
    </xf>
    <xf numFmtId="0" fontId="54" fillId="0" borderId="30" xfId="65" applyNumberFormat="1" applyFont="1" applyFill="1" applyBorder="1" applyAlignment="1" applyProtection="1">
      <alignment vertical="center"/>
      <protection/>
    </xf>
    <xf numFmtId="1" fontId="54" fillId="0" borderId="30" xfId="65" applyNumberFormat="1" applyFont="1" applyFill="1" applyBorder="1" applyAlignment="1">
      <alignment vertical="center"/>
      <protection/>
    </xf>
    <xf numFmtId="2" fontId="54" fillId="0" borderId="30" xfId="65" applyNumberFormat="1" applyFont="1" applyFill="1" applyBorder="1" applyAlignment="1" applyProtection="1">
      <alignment vertical="center"/>
      <protection/>
    </xf>
    <xf numFmtId="14" fontId="54" fillId="0" borderId="30" xfId="65" applyNumberFormat="1" applyFont="1" applyFill="1" applyBorder="1" applyAlignment="1" applyProtection="1">
      <alignment vertical="center"/>
      <protection/>
    </xf>
    <xf numFmtId="0" fontId="54" fillId="0" borderId="30" xfId="65" applyNumberFormat="1" applyFont="1" applyFill="1" applyBorder="1" applyAlignment="1" applyProtection="1">
      <alignment horizontal="center" vertical="center"/>
      <protection/>
    </xf>
    <xf numFmtId="4" fontId="55" fillId="0" borderId="30" xfId="65" applyNumberFormat="1" applyFont="1" applyFill="1" applyBorder="1" applyAlignment="1">
      <alignment vertical="center"/>
      <protection/>
    </xf>
    <xf numFmtId="3" fontId="55" fillId="0" borderId="30" xfId="65" applyNumberFormat="1" applyFont="1" applyFill="1" applyBorder="1" applyAlignment="1">
      <alignment vertical="center"/>
      <protection/>
    </xf>
    <xf numFmtId="4" fontId="55" fillId="0" borderId="30" xfId="58" applyNumberFormat="1" applyFont="1" applyFill="1" applyBorder="1" applyAlignment="1" applyProtection="1">
      <alignment vertical="center"/>
      <protection locked="0"/>
    </xf>
    <xf numFmtId="3" fontId="55" fillId="0" borderId="30" xfId="58" applyNumberFormat="1" applyFont="1" applyFill="1" applyBorder="1" applyAlignment="1" applyProtection="1">
      <alignment vertical="center"/>
      <protection locked="0"/>
    </xf>
    <xf numFmtId="0" fontId="54" fillId="0" borderId="30" xfId="61" applyNumberFormat="1" applyFont="1" applyFill="1" applyBorder="1" applyAlignment="1" applyProtection="1">
      <alignment horizontal="right" vertical="center"/>
      <protection locked="0"/>
    </xf>
    <xf numFmtId="0" fontId="54" fillId="0" borderId="11" xfId="0" applyFont="1" applyFill="1" applyBorder="1" applyAlignment="1">
      <alignment vertical="center"/>
    </xf>
    <xf numFmtId="10" fontId="54" fillId="0" borderId="30" xfId="0" applyNumberFormat="1" applyFont="1" applyFill="1" applyBorder="1" applyAlignment="1" applyProtection="1">
      <alignment horizontal="left" vertical="center"/>
      <protection/>
    </xf>
    <xf numFmtId="0" fontId="54" fillId="0" borderId="30" xfId="0" applyNumberFormat="1" applyFont="1" applyFill="1" applyBorder="1" applyAlignment="1">
      <alignment horizontal="right" vertical="center"/>
    </xf>
    <xf numFmtId="0" fontId="54" fillId="0" borderId="30" xfId="61" applyNumberFormat="1" applyFont="1" applyFill="1" applyBorder="1" applyAlignment="1" applyProtection="1">
      <alignment vertical="center"/>
      <protection locked="0"/>
    </xf>
    <xf numFmtId="0" fontId="54" fillId="0" borderId="11" xfId="0" applyNumberFormat="1" applyFont="1" applyFill="1" applyBorder="1" applyAlignment="1" applyProtection="1">
      <alignment horizontal="center" vertical="center"/>
      <protection/>
    </xf>
    <xf numFmtId="204" fontId="29" fillId="0" borderId="19" xfId="0" applyNumberFormat="1" applyFont="1" applyFill="1" applyBorder="1" applyAlignment="1">
      <alignment vertical="center"/>
    </xf>
    <xf numFmtId="204" fontId="29" fillId="0" borderId="30" xfId="0" applyNumberFormat="1" applyFont="1" applyFill="1" applyBorder="1" applyAlignment="1">
      <alignment vertical="center"/>
    </xf>
    <xf numFmtId="204" fontId="29" fillId="0" borderId="30" xfId="0" applyNumberFormat="1" applyFont="1" applyFill="1" applyBorder="1" applyAlignment="1">
      <alignment horizontal="left" vertical="center"/>
    </xf>
    <xf numFmtId="0" fontId="29" fillId="0" borderId="30" xfId="0" applyNumberFormat="1" applyFont="1" applyFill="1" applyBorder="1" applyAlignment="1" applyProtection="1">
      <alignment vertical="center"/>
      <protection locked="0"/>
    </xf>
    <xf numFmtId="0" fontId="29" fillId="0" borderId="30" xfId="0" applyFont="1" applyFill="1" applyBorder="1" applyAlignment="1">
      <alignment vertical="center"/>
    </xf>
    <xf numFmtId="0" fontId="29" fillId="0" borderId="30" xfId="0" applyNumberFormat="1" applyFont="1" applyFill="1" applyBorder="1" applyAlignment="1" applyProtection="1">
      <alignment horizontal="left" vertical="center"/>
      <protection/>
    </xf>
    <xf numFmtId="0" fontId="29" fillId="0" borderId="30" xfId="0" applyNumberFormat="1" applyFont="1" applyFill="1" applyBorder="1" applyAlignment="1" applyProtection="1">
      <alignment vertical="center"/>
      <protection/>
    </xf>
    <xf numFmtId="0" fontId="29" fillId="0" borderId="30" xfId="0" applyNumberFormat="1" applyFont="1" applyFill="1" applyBorder="1" applyAlignment="1" applyProtection="1">
      <alignment horizontal="left" vertical="center"/>
      <protection locked="0"/>
    </xf>
    <xf numFmtId="0" fontId="29" fillId="0" borderId="30" xfId="65" applyNumberFormat="1" applyFont="1" applyFill="1" applyBorder="1" applyAlignment="1" applyProtection="1">
      <alignment vertical="center"/>
      <protection locked="0"/>
    </xf>
    <xf numFmtId="0" fontId="29" fillId="0" borderId="30" xfId="65" applyNumberFormat="1" applyFont="1" applyFill="1" applyBorder="1" applyAlignment="1" applyProtection="1">
      <alignment vertical="center"/>
      <protection/>
    </xf>
    <xf numFmtId="0" fontId="29" fillId="0" borderId="30" xfId="0" applyFont="1" applyFill="1" applyBorder="1" applyAlignment="1">
      <alignment horizontal="left" vertical="center"/>
    </xf>
    <xf numFmtId="0" fontId="29" fillId="34" borderId="0" xfId="0" applyFont="1" applyFill="1" applyBorder="1" applyAlignment="1">
      <alignment/>
    </xf>
    <xf numFmtId="0" fontId="54" fillId="34" borderId="19" xfId="0" applyNumberFormat="1" applyFont="1" applyFill="1" applyBorder="1" applyAlignment="1" applyProtection="1">
      <alignment horizontal="left" vertical="center"/>
      <protection/>
    </xf>
    <xf numFmtId="0" fontId="54" fillId="34" borderId="19" xfId="0" applyFont="1" applyFill="1" applyBorder="1" applyAlignment="1">
      <alignment horizontal="right" vertical="center"/>
    </xf>
    <xf numFmtId="2" fontId="54" fillId="34" borderId="19" xfId="0" applyNumberFormat="1" applyFont="1" applyFill="1" applyBorder="1" applyAlignment="1" applyProtection="1">
      <alignment horizontal="right" vertical="center"/>
      <protection/>
    </xf>
    <xf numFmtId="0" fontId="54" fillId="34" borderId="30" xfId="0" applyFont="1" applyFill="1" applyBorder="1" applyAlignment="1">
      <alignment horizontal="left" vertical="center"/>
    </xf>
    <xf numFmtId="0" fontId="54" fillId="34" borderId="30" xfId="0" applyFont="1" applyFill="1" applyBorder="1" applyAlignment="1" applyProtection="1">
      <alignment horizontal="left" vertical="center"/>
      <protection/>
    </xf>
    <xf numFmtId="204" fontId="54" fillId="34" borderId="30" xfId="0" applyNumberFormat="1" applyFont="1" applyFill="1" applyBorder="1" applyAlignment="1">
      <alignment horizontal="left" vertical="center"/>
    </xf>
    <xf numFmtId="190" fontId="54" fillId="34" borderId="30" xfId="0" applyNumberFormat="1" applyFont="1" applyFill="1" applyBorder="1" applyAlignment="1" applyProtection="1">
      <alignment horizontal="center" vertical="center"/>
      <protection/>
    </xf>
    <xf numFmtId="0" fontId="54" fillId="34" borderId="30" xfId="0" applyNumberFormat="1" applyFont="1" applyFill="1" applyBorder="1" applyAlignment="1" applyProtection="1">
      <alignment horizontal="left" vertical="center"/>
      <protection/>
    </xf>
    <xf numFmtId="0" fontId="54" fillId="34" borderId="30" xfId="0" applyFont="1" applyFill="1" applyBorder="1" applyAlignment="1">
      <alignment vertical="center"/>
    </xf>
    <xf numFmtId="0" fontId="54" fillId="34" borderId="30" xfId="0" applyFont="1" applyFill="1" applyBorder="1" applyAlignment="1">
      <alignment horizontal="right" vertical="center"/>
    </xf>
    <xf numFmtId="2" fontId="54" fillId="34" borderId="30" xfId="0" applyNumberFormat="1" applyFont="1" applyFill="1" applyBorder="1" applyAlignment="1" applyProtection="1">
      <alignment vertical="center"/>
      <protection/>
    </xf>
    <xf numFmtId="0" fontId="54" fillId="34" borderId="30" xfId="0" applyNumberFormat="1" applyFont="1" applyFill="1" applyBorder="1" applyAlignment="1" applyProtection="1">
      <alignment vertical="center"/>
      <protection/>
    </xf>
    <xf numFmtId="190" fontId="54" fillId="34" borderId="30" xfId="0" applyNumberFormat="1" applyFont="1" applyFill="1" applyBorder="1" applyAlignment="1" applyProtection="1">
      <alignment horizontal="right" vertical="center"/>
      <protection/>
    </xf>
    <xf numFmtId="1" fontId="54" fillId="34" borderId="30" xfId="0" applyNumberFormat="1" applyFont="1" applyFill="1" applyBorder="1" applyAlignment="1">
      <alignment horizontal="right" vertical="center"/>
    </xf>
    <xf numFmtId="2" fontId="54" fillId="34" borderId="30" xfId="0" applyNumberFormat="1" applyFont="1" applyFill="1" applyBorder="1" applyAlignment="1" applyProtection="1">
      <alignment horizontal="right" vertical="center"/>
      <protection/>
    </xf>
    <xf numFmtId="0" fontId="54" fillId="34" borderId="30" xfId="0" applyNumberFormat="1" applyFont="1" applyFill="1" applyBorder="1" applyAlignment="1">
      <alignment horizontal="right" vertical="center"/>
    </xf>
    <xf numFmtId="190" fontId="54" fillId="34" borderId="30" xfId="0" applyNumberFormat="1" applyFont="1" applyFill="1" applyBorder="1" applyAlignment="1" applyProtection="1">
      <alignment horizontal="right" vertical="center"/>
      <protection locked="0"/>
    </xf>
    <xf numFmtId="190" fontId="54" fillId="34" borderId="30" xfId="0" applyNumberFormat="1" applyFont="1" applyFill="1" applyBorder="1" applyAlignment="1" applyProtection="1">
      <alignment horizontal="center" vertical="center"/>
      <protection locked="0"/>
    </xf>
    <xf numFmtId="0" fontId="54" fillId="34" borderId="30" xfId="0" applyNumberFormat="1" applyFont="1" applyFill="1" applyBorder="1" applyAlignment="1" applyProtection="1">
      <alignment horizontal="center" vertical="center"/>
      <protection/>
    </xf>
    <xf numFmtId="10" fontId="54" fillId="34" borderId="30" xfId="0" applyNumberFormat="1" applyFont="1" applyFill="1" applyBorder="1" applyAlignment="1">
      <alignment horizontal="left" vertical="center"/>
    </xf>
    <xf numFmtId="0" fontId="54" fillId="34" borderId="30" xfId="0" applyFont="1" applyFill="1" applyBorder="1" applyAlignment="1" applyProtection="1">
      <alignment horizontal="right" vertical="center"/>
      <protection locked="0"/>
    </xf>
    <xf numFmtId="0" fontId="54" fillId="34" borderId="30" xfId="0" applyFont="1" applyFill="1" applyBorder="1" applyAlignment="1" applyProtection="1">
      <alignment vertical="center"/>
      <protection/>
    </xf>
    <xf numFmtId="204" fontId="54" fillId="34" borderId="30" xfId="0" applyNumberFormat="1" applyFont="1" applyFill="1" applyBorder="1" applyAlignment="1">
      <alignment vertical="center"/>
    </xf>
    <xf numFmtId="0" fontId="54" fillId="34" borderId="30" xfId="0" applyNumberFormat="1" applyFont="1" applyFill="1" applyBorder="1" applyAlignment="1" applyProtection="1">
      <alignment vertical="center"/>
      <protection locked="0"/>
    </xf>
    <xf numFmtId="0" fontId="54" fillId="34" borderId="30" xfId="0" applyNumberFormat="1" applyFont="1" applyFill="1" applyBorder="1" applyAlignment="1" applyProtection="1">
      <alignment horizontal="right" vertical="center"/>
      <protection locked="0"/>
    </xf>
    <xf numFmtId="1" fontId="54" fillId="34" borderId="30" xfId="0" applyNumberFormat="1" applyFont="1" applyFill="1" applyBorder="1" applyAlignment="1">
      <alignment vertical="center"/>
    </xf>
    <xf numFmtId="0" fontId="54" fillId="34" borderId="30" xfId="0" applyNumberFormat="1" applyFont="1" applyFill="1" applyBorder="1" applyAlignment="1" applyProtection="1">
      <alignment horizontal="left" vertical="center"/>
      <protection locked="0"/>
    </xf>
    <xf numFmtId="10" fontId="54" fillId="34" borderId="30" xfId="0" applyNumberFormat="1" applyFont="1" applyFill="1" applyBorder="1" applyAlignment="1">
      <alignment vertical="center"/>
    </xf>
    <xf numFmtId="0" fontId="54" fillId="34" borderId="19" xfId="0" applyNumberFormat="1" applyFont="1" applyFill="1" applyBorder="1" applyAlignment="1" applyProtection="1">
      <alignment horizontal="center" vertical="center"/>
      <protection/>
    </xf>
    <xf numFmtId="0" fontId="54" fillId="34" borderId="19" xfId="0" applyFont="1" applyFill="1" applyBorder="1" applyAlignment="1">
      <alignment vertical="center"/>
    </xf>
    <xf numFmtId="0" fontId="54" fillId="34" borderId="19" xfId="0" applyFont="1" applyFill="1" applyBorder="1" applyAlignment="1">
      <alignment horizontal="left" vertical="center"/>
    </xf>
    <xf numFmtId="0" fontId="54" fillId="34" borderId="19" xfId="0" applyFont="1" applyFill="1" applyBorder="1" applyAlignment="1" applyProtection="1">
      <alignment horizontal="left" vertical="center"/>
      <protection/>
    </xf>
    <xf numFmtId="10" fontId="54" fillId="34" borderId="19" xfId="0" applyNumberFormat="1" applyFont="1" applyFill="1" applyBorder="1" applyAlignment="1">
      <alignment horizontal="left" vertical="center"/>
    </xf>
    <xf numFmtId="190" fontId="54" fillId="34" borderId="19" xfId="0" applyNumberFormat="1" applyFont="1" applyFill="1" applyBorder="1" applyAlignment="1" applyProtection="1">
      <alignment horizontal="center" vertical="center"/>
      <protection/>
    </xf>
    <xf numFmtId="3" fontId="18" fillId="34" borderId="0" xfId="0" applyNumberFormat="1" applyFont="1" applyFill="1" applyBorder="1" applyAlignment="1" applyProtection="1">
      <alignment horizontal="right" vertical="center" wrapText="1"/>
      <protection/>
    </xf>
    <xf numFmtId="0" fontId="17" fillId="34" borderId="0" xfId="0" applyFont="1" applyFill="1" applyAlignment="1">
      <alignment horizontal="right" vertical="center" wrapText="1"/>
    </xf>
    <xf numFmtId="0" fontId="18" fillId="34" borderId="0" xfId="0" applyFont="1" applyFill="1" applyBorder="1" applyAlignment="1">
      <alignment horizontal="right"/>
    </xf>
    <xf numFmtId="0" fontId="16" fillId="36" borderId="0" xfId="0" applyFont="1" applyFill="1" applyBorder="1" applyAlignment="1" applyProtection="1">
      <alignment horizontal="center" vertical="center" wrapText="1"/>
      <protection/>
    </xf>
    <xf numFmtId="0" fontId="16" fillId="36" borderId="0" xfId="0" applyFont="1" applyFill="1" applyBorder="1" applyAlignment="1" applyProtection="1">
      <alignment horizontal="center" vertical="center"/>
      <protection/>
    </xf>
    <xf numFmtId="0" fontId="16" fillId="37" borderId="0" xfId="0" applyFont="1" applyFill="1" applyBorder="1" applyAlignment="1" applyProtection="1">
      <alignment horizontal="center" vertical="center" wrapText="1"/>
      <protection/>
    </xf>
    <xf numFmtId="190" fontId="22" fillId="34" borderId="0" xfId="0" applyNumberFormat="1" applyFont="1" applyFill="1" applyBorder="1" applyAlignment="1" applyProtection="1">
      <alignment horizontal="left" vertical="center" wrapText="1"/>
      <protection/>
    </xf>
    <xf numFmtId="0" fontId="124" fillId="34" borderId="0" xfId="0" applyFont="1" applyFill="1" applyBorder="1" applyAlignment="1" applyProtection="1">
      <alignment horizontal="left" vertical="center" wrapText="1"/>
      <protection/>
    </xf>
    <xf numFmtId="3" fontId="25" fillId="34" borderId="0" xfId="0" applyNumberFormat="1" applyFont="1" applyFill="1" applyBorder="1" applyAlignment="1" applyProtection="1">
      <alignment horizontal="right" vertical="center" wrapText="1"/>
      <protection/>
    </xf>
    <xf numFmtId="0" fontId="16" fillId="34" borderId="0" xfId="0" applyFont="1" applyFill="1" applyBorder="1" applyAlignment="1">
      <alignment horizontal="right" vertical="center" wrapText="1"/>
    </xf>
    <xf numFmtId="192" fontId="16" fillId="36" borderId="0" xfId="0" applyNumberFormat="1" applyFont="1" applyFill="1" applyBorder="1" applyAlignment="1" applyProtection="1">
      <alignment horizontal="center" vertical="center" wrapText="1"/>
      <protection/>
    </xf>
    <xf numFmtId="4" fontId="16" fillId="34" borderId="0" xfId="0" applyNumberFormat="1" applyFont="1" applyFill="1" applyBorder="1" applyAlignment="1">
      <alignment horizontal="right" vertical="center" wrapText="1"/>
    </xf>
    <xf numFmtId="0" fontId="17" fillId="36" borderId="0" xfId="0" applyFont="1" applyFill="1" applyAlignment="1">
      <alignment horizontal="center" vertical="center" wrapText="1"/>
    </xf>
    <xf numFmtId="0" fontId="64" fillId="37" borderId="12" xfId="0" applyNumberFormat="1" applyFont="1" applyFill="1" applyBorder="1" applyAlignment="1">
      <alignment horizontal="center" wrapText="1"/>
    </xf>
    <xf numFmtId="192" fontId="16" fillId="37" borderId="0" xfId="0" applyNumberFormat="1" applyFont="1" applyFill="1" applyBorder="1" applyAlignment="1" applyProtection="1">
      <alignment horizontal="center" vertical="center" wrapText="1"/>
      <protection/>
    </xf>
    <xf numFmtId="0" fontId="17" fillId="37" borderId="0" xfId="0" applyFont="1" applyFill="1" applyAlignment="1">
      <alignment horizontal="center" vertical="center" wrapText="1"/>
    </xf>
    <xf numFmtId="0" fontId="64" fillId="37" borderId="0" xfId="0" applyNumberFormat="1" applyFont="1" applyFill="1" applyBorder="1" applyAlignment="1">
      <alignment horizontal="center" wrapText="1"/>
    </xf>
    <xf numFmtId="0" fontId="29" fillId="37" borderId="11" xfId="0" applyFont="1" applyFill="1" applyBorder="1" applyAlignment="1" applyProtection="1">
      <alignment horizontal="center" vertical="center" wrapText="1"/>
      <protection/>
    </xf>
    <xf numFmtId="0" fontId="29" fillId="37" borderId="30" xfId="0" applyFont="1" applyFill="1" applyBorder="1" applyAlignment="1" applyProtection="1">
      <alignment horizontal="center" vertical="center" wrapText="1"/>
      <protection/>
    </xf>
    <xf numFmtId="190" fontId="20" fillId="33" borderId="13" xfId="0" applyNumberFormat="1" applyFont="1" applyFill="1" applyBorder="1" applyAlignment="1" applyProtection="1">
      <alignment horizontal="left" vertical="center" wrapText="1"/>
      <protection/>
    </xf>
    <xf numFmtId="0" fontId="17" fillId="33" borderId="0" xfId="0" applyFont="1" applyFill="1" applyBorder="1" applyAlignment="1" applyProtection="1">
      <alignment vertical="center" wrapText="1"/>
      <protection/>
    </xf>
    <xf numFmtId="0" fontId="17" fillId="33" borderId="14" xfId="0" applyFont="1" applyFill="1" applyBorder="1" applyAlignment="1" applyProtection="1">
      <alignment vertical="center" wrapText="1"/>
      <protection/>
    </xf>
    <xf numFmtId="0" fontId="17" fillId="33" borderId="13" xfId="0" applyFont="1" applyFill="1" applyBorder="1" applyAlignment="1" applyProtection="1">
      <alignment vertical="center" wrapText="1"/>
      <protection/>
    </xf>
    <xf numFmtId="0" fontId="17" fillId="33" borderId="18" xfId="0" applyFont="1" applyFill="1" applyBorder="1" applyAlignment="1" applyProtection="1">
      <alignment vertical="center" wrapText="1"/>
      <protection/>
    </xf>
    <xf numFmtId="0" fontId="17" fillId="33" borderId="12" xfId="0" applyFont="1" applyFill="1" applyBorder="1" applyAlignment="1" applyProtection="1">
      <alignment vertical="center" wrapText="1"/>
      <protection/>
    </xf>
    <xf numFmtId="0" fontId="17" fillId="33" borderId="15" xfId="0" applyFont="1" applyFill="1" applyBorder="1" applyAlignment="1" applyProtection="1">
      <alignment vertical="center" wrapText="1"/>
      <protection/>
    </xf>
    <xf numFmtId="0" fontId="76"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8" fillId="34" borderId="0" xfId="0" applyFont="1" applyFill="1" applyBorder="1" applyAlignment="1" applyProtection="1">
      <alignment horizontal="center" vertical="center"/>
      <protection/>
    </xf>
    <xf numFmtId="1" fontId="21" fillId="34" borderId="0" xfId="54"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29" fillId="37" borderId="19" xfId="0" applyFont="1" applyFill="1" applyBorder="1" applyAlignment="1" applyProtection="1">
      <alignment horizontal="center" vertical="center" wrapText="1"/>
      <protection/>
    </xf>
    <xf numFmtId="0" fontId="29" fillId="37" borderId="34" xfId="0" applyFont="1" applyFill="1" applyBorder="1" applyAlignment="1" applyProtection="1">
      <alignment horizontal="center" vertical="center" wrapText="1"/>
      <protection/>
    </xf>
    <xf numFmtId="0" fontId="29" fillId="37" borderId="35" xfId="0" applyFont="1" applyFill="1" applyBorder="1" applyAlignment="1" applyProtection="1">
      <alignment horizontal="center" vertical="center" wrapText="1"/>
      <protection/>
    </xf>
    <xf numFmtId="190" fontId="20" fillId="34" borderId="17" xfId="0" applyNumberFormat="1" applyFont="1" applyFill="1" applyBorder="1" applyAlignment="1" applyProtection="1">
      <alignment horizontal="left" vertical="center" wrapText="1"/>
      <protection/>
    </xf>
    <xf numFmtId="0" fontId="64" fillId="34" borderId="16" xfId="0" applyFont="1" applyFill="1" applyBorder="1" applyAlignment="1" applyProtection="1">
      <alignment vertical="center" wrapText="1"/>
      <protection/>
    </xf>
    <xf numFmtId="0" fontId="64" fillId="34" borderId="33" xfId="0" applyFont="1" applyFill="1" applyBorder="1" applyAlignment="1" applyProtection="1">
      <alignment vertical="center" wrapText="1"/>
      <protection/>
    </xf>
    <xf numFmtId="0" fontId="64" fillId="34" borderId="13" xfId="0" applyFont="1" applyFill="1" applyBorder="1" applyAlignment="1" applyProtection="1">
      <alignment vertical="center" wrapText="1"/>
      <protection/>
    </xf>
    <xf numFmtId="0" fontId="64" fillId="34" borderId="0" xfId="0" applyFont="1" applyFill="1" applyBorder="1" applyAlignment="1" applyProtection="1">
      <alignment vertical="center" wrapText="1"/>
      <protection/>
    </xf>
    <xf numFmtId="0" fontId="64" fillId="34" borderId="14" xfId="0" applyFont="1" applyFill="1" applyBorder="1" applyAlignment="1" applyProtection="1">
      <alignment vertical="center" wrapText="1"/>
      <protection/>
    </xf>
    <xf numFmtId="0" fontId="64" fillId="34" borderId="18" xfId="0" applyFont="1" applyFill="1" applyBorder="1" applyAlignment="1" applyProtection="1">
      <alignment vertical="center" wrapText="1"/>
      <protection/>
    </xf>
    <xf numFmtId="0" fontId="64" fillId="34" borderId="12" xfId="0" applyFont="1" applyFill="1" applyBorder="1" applyAlignment="1" applyProtection="1">
      <alignment vertical="center" wrapText="1"/>
      <protection/>
    </xf>
    <xf numFmtId="0" fontId="64" fillId="34" borderId="15" xfId="0" applyFont="1" applyFill="1" applyBorder="1" applyAlignment="1" applyProtection="1">
      <alignment vertical="center" wrapText="1"/>
      <protection/>
    </xf>
    <xf numFmtId="0" fontId="125" fillId="34" borderId="12" xfId="0" applyNumberFormat="1" applyFont="1" applyFill="1" applyBorder="1" applyAlignment="1">
      <alignment horizontal="center" vertical="center" wrapText="1"/>
    </xf>
    <xf numFmtId="0" fontId="64" fillId="0" borderId="12" xfId="0" applyNumberFormat="1" applyFont="1" applyBorder="1" applyAlignment="1">
      <alignment horizontal="center" vertical="center" wrapText="1"/>
    </xf>
    <xf numFmtId="0" fontId="17" fillId="0" borderId="12" xfId="0" applyNumberFormat="1" applyFont="1" applyBorder="1" applyAlignment="1">
      <alignment vertical="center" wrapText="1"/>
    </xf>
    <xf numFmtId="0" fontId="125" fillId="0" borderId="0" xfId="0" applyNumberFormat="1" applyFont="1" applyFill="1" applyBorder="1" applyAlignment="1">
      <alignment horizontal="center" wrapText="1"/>
    </xf>
    <xf numFmtId="0" fontId="17" fillId="0" borderId="0" xfId="0" applyFont="1" applyBorder="1" applyAlignment="1">
      <alignment wrapText="1"/>
    </xf>
    <xf numFmtId="0" fontId="126" fillId="0" borderId="12" xfId="0" applyNumberFormat="1" applyFont="1" applyFill="1" applyBorder="1" applyAlignment="1">
      <alignment horizontal="center" wrapText="1"/>
    </xf>
    <xf numFmtId="0" fontId="0" fillId="0" borderId="12" xfId="0" applyBorder="1" applyAlignment="1">
      <alignment wrapText="1"/>
    </xf>
    <xf numFmtId="0" fontId="30" fillId="33" borderId="11" xfId="0" applyFont="1" applyFill="1" applyBorder="1" applyAlignment="1">
      <alignment horizontal="center" wrapText="1"/>
    </xf>
    <xf numFmtId="0" fontId="10" fillId="33" borderId="11" xfId="0" applyFont="1" applyFill="1" applyBorder="1" applyAlignment="1">
      <alignment horizontal="center" wrapText="1"/>
    </xf>
    <xf numFmtId="9" fontId="32" fillId="0" borderId="10"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118" fillId="0" borderId="10" xfId="0" applyNumberFormat="1" applyFont="1" applyBorder="1" applyAlignment="1">
      <alignment horizontal="center" vertical="center" wrapText="1"/>
    </xf>
    <xf numFmtId="0" fontId="127" fillId="0" borderId="10" xfId="0" applyFont="1" applyBorder="1" applyAlignment="1">
      <alignment wrapText="1"/>
    </xf>
    <xf numFmtId="9" fontId="116" fillId="0" borderId="10" xfId="0" applyNumberFormat="1" applyFont="1" applyBorder="1" applyAlignment="1">
      <alignment horizontal="center" vertical="center" wrapText="1"/>
    </xf>
    <xf numFmtId="0" fontId="117" fillId="0" borderId="10" xfId="0" applyFont="1" applyBorder="1" applyAlignment="1">
      <alignment wrapText="1"/>
    </xf>
    <xf numFmtId="9" fontId="118" fillId="0" borderId="36" xfId="0" applyNumberFormat="1" applyFont="1" applyBorder="1" applyAlignment="1">
      <alignment horizontal="center" vertical="center" wrapText="1"/>
    </xf>
    <xf numFmtId="9" fontId="108" fillId="0" borderId="37" xfId="0" applyNumberFormat="1" applyFont="1" applyBorder="1" applyAlignment="1">
      <alignment horizontal="center" vertical="center" wrapText="1"/>
    </xf>
    <xf numFmtId="9" fontId="116" fillId="0" borderId="36" xfId="0" applyNumberFormat="1" applyFont="1" applyBorder="1" applyAlignment="1">
      <alignment horizontal="center" vertical="center" wrapText="1"/>
    </xf>
    <xf numFmtId="9" fontId="107" fillId="0" borderId="37" xfId="0" applyNumberFormat="1" applyFont="1" applyBorder="1" applyAlignment="1">
      <alignment horizontal="center" vertical="center" wrapText="1"/>
    </xf>
    <xf numFmtId="9" fontId="30" fillId="0" borderId="36" xfId="0" applyNumberFormat="1" applyFont="1" applyBorder="1" applyAlignment="1">
      <alignment horizontal="center" vertical="center" wrapText="1"/>
    </xf>
    <xf numFmtId="9" fontId="10" fillId="0" borderId="37" xfId="0" applyNumberFormat="1" applyFont="1" applyBorder="1" applyAlignment="1">
      <alignment horizontal="center" vertical="center" wrapText="1"/>
    </xf>
    <xf numFmtId="9" fontId="116" fillId="0" borderId="29" xfId="0" applyNumberFormat="1" applyFont="1" applyBorder="1" applyAlignment="1">
      <alignment horizontal="center" vertical="center" wrapText="1"/>
    </xf>
    <xf numFmtId="0" fontId="117" fillId="0" borderId="21" xfId="0" applyFont="1" applyBorder="1" applyAlignment="1">
      <alignment wrapText="1"/>
    </xf>
    <xf numFmtId="0" fontId="0" fillId="0" borderId="10" xfId="0" applyBorder="1" applyAlignment="1">
      <alignment wrapText="1"/>
    </xf>
    <xf numFmtId="9" fontId="118" fillId="0" borderId="29" xfId="0" applyNumberFormat="1" applyFont="1" applyBorder="1" applyAlignment="1">
      <alignment horizontal="center" vertical="center" wrapText="1"/>
    </xf>
    <xf numFmtId="0" fontId="127" fillId="0" borderId="21" xfId="0" applyFont="1" applyBorder="1" applyAlignment="1">
      <alignment wrapText="1"/>
    </xf>
    <xf numFmtId="9" fontId="116" fillId="0" borderId="37" xfId="0" applyNumberFormat="1" applyFont="1" applyBorder="1" applyAlignment="1">
      <alignment horizontal="center" vertical="center" wrapText="1"/>
    </xf>
  </cellXfs>
  <cellStyles count="7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Binlik Ayracı 2 2 2" xfId="44"/>
    <cellStyle name="Binlik Ayracı 3" xfId="45"/>
    <cellStyle name="Comma 2" xfId="46"/>
    <cellStyle name="Comma 2 2" xfId="47"/>
    <cellStyle name="Çıkış" xfId="48"/>
    <cellStyle name="Giriş" xfId="49"/>
    <cellStyle name="Hesaplama" xfId="50"/>
    <cellStyle name="İşaretli Hücre" xfId="51"/>
    <cellStyle name="İyi" xfId="52"/>
    <cellStyle name="Followed Hyperlink" xfId="53"/>
    <cellStyle name="Hyperlink" xfId="54"/>
    <cellStyle name="Kötü" xfId="55"/>
    <cellStyle name="Normal 2" xfId="56"/>
    <cellStyle name="Normal 2 10 10" xfId="57"/>
    <cellStyle name="Normal 2 10 10 2" xfId="58"/>
    <cellStyle name="Normal 2 2" xfId="59"/>
    <cellStyle name="Normal 2 2 2" xfId="60"/>
    <cellStyle name="Normal 2 2 2 2" xfId="61"/>
    <cellStyle name="Normal 2 2 3" xfId="62"/>
    <cellStyle name="Normal 2 3" xfId="63"/>
    <cellStyle name="Normal 3" xfId="64"/>
    <cellStyle name="Normal 4" xfId="65"/>
    <cellStyle name="Normal 5" xfId="66"/>
    <cellStyle name="Normal_1-7Şubat,2008" xfId="67"/>
    <cellStyle name="Not" xfId="68"/>
    <cellStyle name="Nötr" xfId="69"/>
    <cellStyle name="Currency" xfId="70"/>
    <cellStyle name="Currency [0]" xfId="71"/>
    <cellStyle name="Toplam" xfId="72"/>
    <cellStyle name="Uyarı Metni" xfId="73"/>
    <cellStyle name="Virgül 10" xfId="74"/>
    <cellStyle name="Virgül 2" xfId="75"/>
    <cellStyle name="Vurgu1" xfId="76"/>
    <cellStyle name="Vurgu2" xfId="77"/>
    <cellStyle name="Vurgu3" xfId="78"/>
    <cellStyle name="Vurgu4" xfId="79"/>
    <cellStyle name="Vurgu5" xfId="80"/>
    <cellStyle name="Vurgu6" xfId="81"/>
    <cellStyle name="Percent" xfId="82"/>
    <cellStyle name="Yüzde 2" xfId="83"/>
    <cellStyle name="Yüzde 2 2" xfId="84"/>
    <cellStyle name="Yüzde 3"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34</xdr:col>
      <xdr:colOff>0</xdr:colOff>
      <xdr:row>0</xdr:row>
      <xdr:rowOff>0</xdr:rowOff>
    </xdr:to>
    <xdr:sp fLocksText="0">
      <xdr:nvSpPr>
        <xdr:cNvPr id="1" name="Text Box 1"/>
        <xdr:cNvSpPr txBox="1">
          <a:spLocks noChangeArrowheads="1"/>
        </xdr:cNvSpPr>
      </xdr:nvSpPr>
      <xdr:spPr>
        <a:xfrm>
          <a:off x="0" y="0"/>
          <a:ext cx="7762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0</xdr:row>
      <xdr:rowOff>0</xdr:rowOff>
    </xdr:from>
    <xdr:to>
      <xdr:col>33</xdr:col>
      <xdr:colOff>466725</xdr:colOff>
      <xdr:row>0</xdr:row>
      <xdr:rowOff>0</xdr:rowOff>
    </xdr:to>
    <xdr:sp fLocksText="0">
      <xdr:nvSpPr>
        <xdr:cNvPr id="2" name="Text Box 2"/>
        <xdr:cNvSpPr txBox="1">
          <a:spLocks noChangeArrowheads="1"/>
        </xdr:cNvSpPr>
      </xdr:nvSpPr>
      <xdr:spPr>
        <a:xfrm>
          <a:off x="7277100"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6</xdr:col>
      <xdr:colOff>0</xdr:colOff>
      <xdr:row>8</xdr:row>
      <xdr:rowOff>0</xdr:rowOff>
    </xdr:to>
    <xdr:sp fLocksText="0">
      <xdr:nvSpPr>
        <xdr:cNvPr id="1" name="Text Box 1"/>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2" name="Text Box 2"/>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3" name="Text Box 3"/>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4" name="Text Box 4"/>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xdr:row>
      <xdr:rowOff>0</xdr:rowOff>
    </xdr:from>
    <xdr:to>
      <xdr:col>6</xdr:col>
      <xdr:colOff>0</xdr:colOff>
      <xdr:row>8</xdr:row>
      <xdr:rowOff>0</xdr:rowOff>
    </xdr:to>
    <xdr:sp>
      <xdr:nvSpPr>
        <xdr:cNvPr id="5" name="Text Box 5"/>
        <xdr:cNvSpPr txBox="1">
          <a:spLocks noChangeArrowheads="1"/>
        </xdr:cNvSpPr>
      </xdr:nvSpPr>
      <xdr:spPr>
        <a:xfrm>
          <a:off x="19050" y="1362075"/>
          <a:ext cx="96964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8</xdr:row>
      <xdr:rowOff>0</xdr:rowOff>
    </xdr:from>
    <xdr:to>
      <xdr:col>6</xdr:col>
      <xdr:colOff>0</xdr:colOff>
      <xdr:row>8</xdr:row>
      <xdr:rowOff>0</xdr:rowOff>
    </xdr:to>
    <xdr:sp fLocksText="0">
      <xdr:nvSpPr>
        <xdr:cNvPr id="6" name="Text Box 6"/>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8</xdr:row>
      <xdr:rowOff>0</xdr:rowOff>
    </xdr:from>
    <xdr:to>
      <xdr:col>6</xdr:col>
      <xdr:colOff>0</xdr:colOff>
      <xdr:row>8</xdr:row>
      <xdr:rowOff>0</xdr:rowOff>
    </xdr:to>
    <xdr:sp fLocksText="0">
      <xdr:nvSpPr>
        <xdr:cNvPr id="7" name="Text Box 7"/>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8" name="Text Box 8"/>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xdr:row>
      <xdr:rowOff>0</xdr:rowOff>
    </xdr:from>
    <xdr:to>
      <xdr:col>6</xdr:col>
      <xdr:colOff>0</xdr:colOff>
      <xdr:row>8</xdr:row>
      <xdr:rowOff>0</xdr:rowOff>
    </xdr:to>
    <xdr:sp fLocksText="0">
      <xdr:nvSpPr>
        <xdr:cNvPr id="9" name="Text Box 9"/>
        <xdr:cNvSpPr txBox="1">
          <a:spLocks noChangeArrowheads="1"/>
        </xdr:cNvSpPr>
      </xdr:nvSpPr>
      <xdr:spPr>
        <a:xfrm>
          <a:off x="19050" y="1362075"/>
          <a:ext cx="9696450" cy="0"/>
        </a:xfrm>
        <a:prstGeom prst="rect">
          <a:avLst/>
        </a:prstGeom>
        <a:solidFill>
          <a:srgbClr val="FFCC99"/>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0</xdr:rowOff>
    </xdr:from>
    <xdr:to>
      <xdr:col>6</xdr:col>
      <xdr:colOff>0</xdr:colOff>
      <xdr:row>8</xdr:row>
      <xdr:rowOff>0</xdr:rowOff>
    </xdr:to>
    <xdr:sp fLocksText="0">
      <xdr:nvSpPr>
        <xdr:cNvPr id="10" name="Text Box 10"/>
        <xdr:cNvSpPr txBox="1">
          <a:spLocks noChangeArrowheads="1"/>
        </xdr:cNvSpPr>
      </xdr:nvSpPr>
      <xdr:spPr>
        <a:xfrm>
          <a:off x="7867650" y="1362075"/>
          <a:ext cx="184785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8</xdr:row>
      <xdr:rowOff>0</xdr:rowOff>
    </xdr:from>
    <xdr:to>
      <xdr:col>6</xdr:col>
      <xdr:colOff>0</xdr:colOff>
      <xdr:row>8</xdr:row>
      <xdr:rowOff>0</xdr:rowOff>
    </xdr:to>
    <xdr:sp fLocksText="0">
      <xdr:nvSpPr>
        <xdr:cNvPr id="11" name="Text Box 11"/>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12" name="Text Box 12"/>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13" name="Text Box 13"/>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14" name="Text Box 14"/>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15" name="Text Box 16"/>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8</xdr:row>
      <xdr:rowOff>0</xdr:rowOff>
    </xdr:from>
    <xdr:to>
      <xdr:col>6</xdr:col>
      <xdr:colOff>0</xdr:colOff>
      <xdr:row>8</xdr:row>
      <xdr:rowOff>0</xdr:rowOff>
    </xdr:to>
    <xdr:sp fLocksText="0">
      <xdr:nvSpPr>
        <xdr:cNvPr id="16" name="Text Box 17"/>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17" name="Text Box 18"/>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18" name="Text Box 22"/>
        <xdr:cNvSpPr txBox="1">
          <a:spLocks noChangeArrowheads="1"/>
        </xdr:cNvSpPr>
      </xdr:nvSpPr>
      <xdr:spPr>
        <a:xfrm>
          <a:off x="9715500" y="1362075"/>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8</xdr:row>
      <xdr:rowOff>0</xdr:rowOff>
    </xdr:from>
    <xdr:to>
      <xdr:col>6</xdr:col>
      <xdr:colOff>0</xdr:colOff>
      <xdr:row>8</xdr:row>
      <xdr:rowOff>0</xdr:rowOff>
    </xdr:to>
    <xdr:sp fLocksText="0">
      <xdr:nvSpPr>
        <xdr:cNvPr id="19" name="Text Box 23"/>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20" name="Text Box 24"/>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21" name="Text Box 27"/>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22" name="Text Box 28"/>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23" name="Text Box 31"/>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24" name="Text Box 32"/>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25" name="Text Box 35"/>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26" name="Text Box 36"/>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27" name="Text Box 39"/>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28" name="Text Box 40"/>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29" name="Text Box 43"/>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30" name="Text Box 44"/>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31" name="Text Box 47"/>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32" name="Text Box 48"/>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33" name="Text Box 51"/>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34" name="Text Box 52"/>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35" name="Text Box 55"/>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36" name="Text Box 56"/>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37" name="Text Box 59"/>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38" name="Text Box 60"/>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39" name="Text Box 63"/>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40" name="Text Box 64"/>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41" name="Text Box 67"/>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42" name="Text Box 68"/>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43" name="Text Box 73"/>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44" name="Text Box 74"/>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6</xdr:col>
      <xdr:colOff>0</xdr:colOff>
      <xdr:row>8</xdr:row>
      <xdr:rowOff>0</xdr:rowOff>
    </xdr:to>
    <xdr:sp fLocksText="0">
      <xdr:nvSpPr>
        <xdr:cNvPr id="45" name="Text Box 77"/>
        <xdr:cNvSpPr txBox="1">
          <a:spLocks noChangeArrowheads="1"/>
        </xdr:cNvSpPr>
      </xdr:nvSpPr>
      <xdr:spPr>
        <a:xfrm>
          <a:off x="0" y="1362075"/>
          <a:ext cx="9715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fLocksText="0">
      <xdr:nvSpPr>
        <xdr:cNvPr id="46" name="Text Box 78"/>
        <xdr:cNvSpPr txBox="1">
          <a:spLocks noChangeArrowheads="1"/>
        </xdr:cNvSpPr>
      </xdr:nvSpPr>
      <xdr:spPr>
        <a:xfrm>
          <a:off x="9715500" y="136207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523875</xdr:colOff>
      <xdr:row>4</xdr:row>
      <xdr:rowOff>104775</xdr:rowOff>
    </xdr:to>
    <xdr:pic>
      <xdr:nvPicPr>
        <xdr:cNvPr id="47" name="7 Resim" descr="Logo dik medyalar gergedan1.jpg"/>
        <xdr:cNvPicPr preferRelativeResize="1">
          <a:picLocks noChangeAspect="1"/>
        </xdr:cNvPicPr>
      </xdr:nvPicPr>
      <xdr:blipFill>
        <a:blip r:embed="rId1"/>
        <a:stretch>
          <a:fillRect/>
        </a:stretch>
      </xdr:blipFill>
      <xdr:spPr>
        <a:xfrm>
          <a:off x="0" y="0"/>
          <a:ext cx="85725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523875</xdr:colOff>
      <xdr:row>4</xdr:row>
      <xdr:rowOff>114300</xdr:rowOff>
    </xdr:to>
    <xdr:pic>
      <xdr:nvPicPr>
        <xdr:cNvPr id="1" name="7 Resim" descr="Logo dik medyalar gergedan1.jpg"/>
        <xdr:cNvPicPr preferRelativeResize="1">
          <a:picLocks noChangeAspect="1"/>
        </xdr:cNvPicPr>
      </xdr:nvPicPr>
      <xdr:blipFill>
        <a:blip r:embed="rId1"/>
        <a:stretch>
          <a:fillRect/>
        </a:stretch>
      </xdr:blipFill>
      <xdr:spPr>
        <a:xfrm>
          <a:off x="0" y="0"/>
          <a:ext cx="8572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EC119"/>
  <sheetViews>
    <sheetView tabSelected="1" zoomScale="90" zoomScaleNormal="90" zoomScalePageLayoutView="0" workbookViewId="0" topLeftCell="A1">
      <pane xSplit="19" ySplit="8" topLeftCell="AJ9" activePane="bottomRight" state="frozen"/>
      <selection pane="topLeft" activeCell="A1" sqref="A1"/>
      <selection pane="topRight" activeCell="J1" sqref="J1"/>
      <selection pane="bottomLeft" activeCell="A12" sqref="A12"/>
      <selection pane="bottomRight" activeCell="A1" sqref="A1"/>
    </sheetView>
  </sheetViews>
  <sheetFormatPr defaultColWidth="4.140625" defaultRowHeight="12.75"/>
  <cols>
    <col min="1" max="1" width="4.00390625" style="111" customWidth="1"/>
    <col min="2" max="2" width="1.8515625" style="112" hidden="1" customWidth="1"/>
    <col min="3" max="5" width="1.421875" style="112" hidden="1" customWidth="1"/>
    <col min="6" max="6" width="1.28515625" style="112" hidden="1" customWidth="1"/>
    <col min="7" max="7" width="1.421875" style="112" hidden="1" customWidth="1"/>
    <col min="8" max="8" width="1.28515625" style="113" hidden="1" customWidth="1"/>
    <col min="9" max="9" width="4.140625" style="113" hidden="1" customWidth="1"/>
    <col min="10" max="10" width="3.00390625" style="113" bestFit="1" customWidth="1"/>
    <col min="11" max="11" width="45.7109375" style="30" customWidth="1"/>
    <col min="12" max="12" width="13.57421875" style="125" hidden="1" customWidth="1"/>
    <col min="13" max="13" width="15.28125" style="125" hidden="1" customWidth="1"/>
    <col min="14" max="14" width="21.00390625" style="125" customWidth="1"/>
    <col min="15" max="15" width="5.8515625" style="123" bestFit="1" customWidth="1"/>
    <col min="16" max="16" width="13.8515625" style="122" bestFit="1" customWidth="1"/>
    <col min="17" max="17" width="4.7109375" style="124" bestFit="1" customWidth="1"/>
    <col min="18" max="18" width="4.8515625" style="126" bestFit="1" customWidth="1"/>
    <col min="19" max="19" width="6.140625" style="127" bestFit="1" customWidth="1"/>
    <col min="20" max="20" width="7.28125" style="126" hidden="1" customWidth="1"/>
    <col min="21" max="21" width="6.57421875" style="127" hidden="1" customWidth="1"/>
    <col min="22" max="22" width="7.28125" style="126" hidden="1" customWidth="1"/>
    <col min="23" max="23" width="6.57421875" style="127" hidden="1" customWidth="1"/>
    <col min="24" max="24" width="7.28125" style="128" hidden="1" customWidth="1"/>
    <col min="25" max="25" width="6.57421875" style="129" hidden="1" customWidth="1"/>
    <col min="26" max="26" width="11.28125" style="130" hidden="1" customWidth="1"/>
    <col min="27" max="27" width="7.28125" style="131" hidden="1" customWidth="1"/>
    <col min="28" max="28" width="8.140625" style="132" hidden="1" customWidth="1"/>
    <col min="29" max="29" width="5.8515625" style="133" hidden="1" customWidth="1"/>
    <col min="30" max="30" width="8.28125" style="133" hidden="1" customWidth="1"/>
    <col min="31" max="31" width="6.8515625" style="133" hidden="1" customWidth="1"/>
    <col min="32" max="32" width="4.7109375" style="134" hidden="1" customWidth="1"/>
    <col min="33" max="33" width="5.421875" style="134" hidden="1" customWidth="1"/>
    <col min="34" max="34" width="7.28125" style="133" bestFit="1" customWidth="1"/>
    <col min="35" max="35" width="6.57421875" style="127" bestFit="1" customWidth="1"/>
    <col min="36" max="36" width="13.140625" style="128" bestFit="1" customWidth="1"/>
    <col min="37" max="37" width="8.421875" style="129" bestFit="1" customWidth="1"/>
    <col min="38" max="38" width="4.7109375" style="135" bestFit="1" customWidth="1"/>
    <col min="39" max="39" width="6.57421875" style="135" bestFit="1" customWidth="1"/>
    <col min="40" max="40" width="6.57421875" style="127" bestFit="1" customWidth="1"/>
    <col min="41" max="41" width="5.8515625" style="126" bestFit="1" customWidth="1"/>
    <col min="42" max="42" width="8.28125" style="126" bestFit="1" customWidth="1"/>
    <col min="43" max="43" width="6.8515625" style="126" bestFit="1" customWidth="1"/>
    <col min="44" max="45" width="4.7109375" style="127" bestFit="1" customWidth="1"/>
    <col min="46" max="46" width="14.7109375" style="128" bestFit="1" customWidth="1"/>
    <col min="47" max="47" width="8.8515625" style="136" bestFit="1" customWidth="1"/>
    <col min="48" max="48" width="7.140625" style="124" hidden="1" customWidth="1"/>
    <col min="49" max="49" width="7.28125" style="124" hidden="1" customWidth="1"/>
    <col min="50" max="16384" width="4.140625" style="30" customWidth="1"/>
  </cols>
  <sheetData>
    <row r="1" spans="1:49" s="21" customFormat="1" ht="11.25">
      <c r="A1" s="32" t="s">
        <v>806</v>
      </c>
      <c r="B1" s="107"/>
      <c r="C1" s="107"/>
      <c r="D1" s="107"/>
      <c r="E1" s="107"/>
      <c r="F1" s="107"/>
      <c r="G1" s="107"/>
      <c r="H1" s="107"/>
      <c r="I1" s="107"/>
      <c r="J1" s="107"/>
      <c r="K1" s="22" t="s">
        <v>1197</v>
      </c>
      <c r="L1" s="32"/>
      <c r="M1" s="32"/>
      <c r="N1" s="32"/>
      <c r="O1" s="32"/>
      <c r="P1" s="32"/>
      <c r="Q1" s="32"/>
      <c r="R1" s="116"/>
      <c r="S1" s="116"/>
      <c r="T1" s="805" t="s">
        <v>95</v>
      </c>
      <c r="U1" s="806"/>
      <c r="V1" s="806"/>
      <c r="W1" s="806"/>
      <c r="X1" s="806"/>
      <c r="Y1" s="806"/>
      <c r="Z1" s="806"/>
      <c r="AA1" s="806"/>
      <c r="AB1" s="806"/>
      <c r="AC1" s="806"/>
      <c r="AD1" s="806"/>
      <c r="AE1" s="806"/>
      <c r="AF1" s="806"/>
      <c r="AG1" s="806"/>
      <c r="AH1" s="806"/>
      <c r="AI1" s="806"/>
      <c r="AJ1" s="806"/>
      <c r="AK1" s="806"/>
      <c r="AL1" s="806"/>
      <c r="AM1" s="806"/>
      <c r="AN1" s="806"/>
      <c r="AO1" s="806"/>
      <c r="AP1" s="806"/>
      <c r="AQ1" s="806"/>
      <c r="AR1" s="806"/>
      <c r="AS1" s="806"/>
      <c r="AT1" s="806"/>
      <c r="AU1" s="806"/>
      <c r="AV1" s="806"/>
      <c r="AW1" s="806"/>
    </row>
    <row r="2" spans="1:49" s="21" customFormat="1" ht="11.25">
      <c r="A2" s="32"/>
      <c r="B2" s="107"/>
      <c r="C2" s="107"/>
      <c r="D2" s="107"/>
      <c r="E2" s="107"/>
      <c r="F2" s="107"/>
      <c r="G2" s="107"/>
      <c r="H2" s="107"/>
      <c r="I2" s="107"/>
      <c r="J2" s="107"/>
      <c r="K2" s="23" t="s">
        <v>591</v>
      </c>
      <c r="L2" s="108"/>
      <c r="M2" s="108"/>
      <c r="N2" s="114"/>
      <c r="O2" s="114"/>
      <c r="P2" s="114"/>
      <c r="Q2" s="114"/>
      <c r="R2" s="316"/>
      <c r="S2" s="314"/>
      <c r="T2" s="313"/>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row>
    <row r="3" spans="1:49" s="21" customFormat="1" ht="11.25">
      <c r="A3" s="32"/>
      <c r="B3" s="108"/>
      <c r="C3" s="108"/>
      <c r="D3" s="108"/>
      <c r="E3" s="108"/>
      <c r="F3" s="108"/>
      <c r="G3" s="108"/>
      <c r="H3" s="108"/>
      <c r="I3" s="109"/>
      <c r="J3" s="109"/>
      <c r="K3" s="24" t="s">
        <v>43</v>
      </c>
      <c r="L3" s="812"/>
      <c r="M3" s="812"/>
      <c r="N3" s="812"/>
      <c r="O3" s="812"/>
      <c r="P3" s="812"/>
      <c r="Q3" s="812"/>
      <c r="R3" s="812"/>
      <c r="S3" s="812"/>
      <c r="T3" s="115"/>
      <c r="U3" s="116"/>
      <c r="V3" s="116"/>
      <c r="W3" s="117"/>
      <c r="X3" s="317"/>
      <c r="Y3" s="318"/>
      <c r="Z3" s="813"/>
      <c r="AA3" s="814"/>
      <c r="AB3" s="814"/>
      <c r="AC3" s="814"/>
      <c r="AD3" s="814"/>
      <c r="AE3" s="814"/>
      <c r="AF3" s="814"/>
      <c r="AG3" s="312"/>
      <c r="AH3" s="115"/>
      <c r="AI3" s="118"/>
      <c r="AJ3" s="119"/>
      <c r="AK3" s="120"/>
      <c r="AL3" s="119"/>
      <c r="AM3" s="119"/>
      <c r="AN3" s="121"/>
      <c r="AO3" s="119"/>
      <c r="AP3" s="116"/>
      <c r="AQ3" s="116"/>
      <c r="AR3" s="116"/>
      <c r="AS3" s="116"/>
      <c r="AT3" s="816"/>
      <c r="AU3" s="816"/>
      <c r="AV3" s="807"/>
      <c r="AW3" s="807"/>
    </row>
    <row r="4" spans="1:49" s="31" customFormat="1" ht="9">
      <c r="A4" s="137"/>
      <c r="B4" s="138"/>
      <c r="C4" s="138"/>
      <c r="D4" s="138"/>
      <c r="E4" s="138"/>
      <c r="F4" s="138"/>
      <c r="G4" s="138"/>
      <c r="H4" s="138"/>
      <c r="I4" s="138"/>
      <c r="J4" s="138"/>
      <c r="K4" s="810" t="s">
        <v>96</v>
      </c>
      <c r="L4" s="810"/>
      <c r="M4" s="810"/>
      <c r="N4" s="810"/>
      <c r="O4" s="810"/>
      <c r="P4" s="810"/>
      <c r="Q4" s="810"/>
      <c r="R4" s="810" t="s">
        <v>97</v>
      </c>
      <c r="S4" s="810"/>
      <c r="T4" s="810" t="s">
        <v>98</v>
      </c>
      <c r="U4" s="810"/>
      <c r="V4" s="810"/>
      <c r="W4" s="810"/>
      <c r="X4" s="810"/>
      <c r="Y4" s="810"/>
      <c r="Z4" s="810"/>
      <c r="AA4" s="810"/>
      <c r="AB4" s="810"/>
      <c r="AC4" s="810"/>
      <c r="AD4" s="810"/>
      <c r="AE4" s="810"/>
      <c r="AF4" s="810"/>
      <c r="AG4" s="311"/>
      <c r="AH4" s="808" t="s">
        <v>292</v>
      </c>
      <c r="AI4" s="808"/>
      <c r="AJ4" s="808" t="s">
        <v>99</v>
      </c>
      <c r="AK4" s="808"/>
      <c r="AL4" s="809" t="s">
        <v>100</v>
      </c>
      <c r="AM4" s="809"/>
      <c r="AN4" s="809" t="s">
        <v>101</v>
      </c>
      <c r="AO4" s="809"/>
      <c r="AP4" s="309"/>
      <c r="AQ4" s="309"/>
      <c r="AR4" s="309"/>
      <c r="AS4" s="309"/>
      <c r="AT4" s="810" t="s">
        <v>102</v>
      </c>
      <c r="AU4" s="810"/>
      <c r="AV4" s="810"/>
      <c r="AW4" s="810"/>
    </row>
    <row r="5" spans="1:49" s="32" customFormat="1" ht="9.75">
      <c r="A5" s="137"/>
      <c r="B5" s="138"/>
      <c r="C5" s="138"/>
      <c r="D5" s="138"/>
      <c r="E5" s="138"/>
      <c r="F5" s="138"/>
      <c r="G5" s="138"/>
      <c r="H5" s="138"/>
      <c r="I5" s="138"/>
      <c r="J5" s="138"/>
      <c r="K5" s="139"/>
      <c r="L5" s="139"/>
      <c r="M5" s="139"/>
      <c r="N5" s="139"/>
      <c r="O5" s="140" t="s">
        <v>13</v>
      </c>
      <c r="P5" s="139"/>
      <c r="Q5" s="139" t="s">
        <v>16</v>
      </c>
      <c r="R5" s="139" t="s">
        <v>16</v>
      </c>
      <c r="S5" s="139" t="s">
        <v>18</v>
      </c>
      <c r="T5" s="810" t="s">
        <v>2</v>
      </c>
      <c r="U5" s="810"/>
      <c r="V5" s="810" t="s">
        <v>3</v>
      </c>
      <c r="W5" s="810"/>
      <c r="X5" s="810" t="s">
        <v>4</v>
      </c>
      <c r="Y5" s="810"/>
      <c r="Z5" s="810" t="s">
        <v>11</v>
      </c>
      <c r="AA5" s="810"/>
      <c r="AB5" s="810" t="s">
        <v>28</v>
      </c>
      <c r="AC5" s="810"/>
      <c r="AD5" s="810" t="s">
        <v>0</v>
      </c>
      <c r="AE5" s="810"/>
      <c r="AF5" s="810"/>
      <c r="AG5" s="820"/>
      <c r="AH5" s="808" t="s">
        <v>293</v>
      </c>
      <c r="AI5" s="808"/>
      <c r="AJ5" s="808"/>
      <c r="AK5" s="808"/>
      <c r="AL5" s="808" t="s">
        <v>38</v>
      </c>
      <c r="AM5" s="808"/>
      <c r="AN5" s="808" t="s">
        <v>41</v>
      </c>
      <c r="AO5" s="808"/>
      <c r="AP5" s="808" t="s">
        <v>44</v>
      </c>
      <c r="AQ5" s="808"/>
      <c r="AR5" s="808"/>
      <c r="AS5" s="817"/>
      <c r="AT5" s="810"/>
      <c r="AU5" s="810"/>
      <c r="AV5" s="141" t="s">
        <v>28</v>
      </c>
      <c r="AW5" s="141" t="s">
        <v>113</v>
      </c>
    </row>
    <row r="6" spans="1:49" s="32" customFormat="1" ht="9">
      <c r="A6" s="137"/>
      <c r="B6" s="142"/>
      <c r="C6" s="142"/>
      <c r="D6" s="142"/>
      <c r="E6" s="142"/>
      <c r="F6" s="142"/>
      <c r="G6" s="142"/>
      <c r="H6" s="142"/>
      <c r="I6" s="142"/>
      <c r="J6" s="142"/>
      <c r="K6" s="142"/>
      <c r="L6" s="142"/>
      <c r="M6" s="142"/>
      <c r="N6" s="142"/>
      <c r="O6" s="140" t="s">
        <v>14</v>
      </c>
      <c r="P6" s="142"/>
      <c r="Q6" s="139" t="s">
        <v>15</v>
      </c>
      <c r="R6" s="139" t="s">
        <v>17</v>
      </c>
      <c r="S6" s="139" t="s">
        <v>13</v>
      </c>
      <c r="T6" s="141" t="s">
        <v>7</v>
      </c>
      <c r="U6" s="143" t="s">
        <v>6</v>
      </c>
      <c r="V6" s="141" t="s">
        <v>7</v>
      </c>
      <c r="W6" s="143" t="s">
        <v>6</v>
      </c>
      <c r="X6" s="141" t="s">
        <v>7</v>
      </c>
      <c r="Y6" s="143" t="s">
        <v>6</v>
      </c>
      <c r="Z6" s="141" t="s">
        <v>7</v>
      </c>
      <c r="AA6" s="143" t="s">
        <v>6</v>
      </c>
      <c r="AB6" s="143" t="s">
        <v>39</v>
      </c>
      <c r="AC6" s="141" t="s">
        <v>29</v>
      </c>
      <c r="AD6" s="141" t="s">
        <v>7</v>
      </c>
      <c r="AE6" s="141" t="s">
        <v>328</v>
      </c>
      <c r="AF6" s="819" t="s">
        <v>5</v>
      </c>
      <c r="AG6" s="819"/>
      <c r="AH6" s="33"/>
      <c r="AI6" s="33"/>
      <c r="AJ6" s="33"/>
      <c r="AK6" s="33"/>
      <c r="AL6" s="310" t="s">
        <v>6</v>
      </c>
      <c r="AM6" s="310" t="s">
        <v>6</v>
      </c>
      <c r="AN6" s="35" t="s">
        <v>6</v>
      </c>
      <c r="AO6" s="34" t="s">
        <v>29</v>
      </c>
      <c r="AP6" s="34" t="s">
        <v>7</v>
      </c>
      <c r="AQ6" s="34" t="s">
        <v>328</v>
      </c>
      <c r="AR6" s="815" t="s">
        <v>5</v>
      </c>
      <c r="AS6" s="815"/>
      <c r="AT6" s="311"/>
      <c r="AU6" s="311"/>
      <c r="AV6" s="141" t="s">
        <v>29</v>
      </c>
      <c r="AW6" s="141" t="s">
        <v>114</v>
      </c>
    </row>
    <row r="7" spans="1:49" s="36" customFormat="1" ht="9">
      <c r="A7" s="144"/>
      <c r="B7" s="821"/>
      <c r="C7" s="821"/>
      <c r="D7" s="821"/>
      <c r="E7" s="821"/>
      <c r="F7" s="821"/>
      <c r="G7" s="821"/>
      <c r="H7" s="821"/>
      <c r="I7" s="308"/>
      <c r="J7" s="354"/>
      <c r="K7" s="145" t="s">
        <v>56</v>
      </c>
      <c r="L7" s="145" t="s">
        <v>63</v>
      </c>
      <c r="M7" s="145" t="s">
        <v>74</v>
      </c>
      <c r="N7" s="145" t="s">
        <v>54</v>
      </c>
      <c r="O7" s="140" t="s">
        <v>20</v>
      </c>
      <c r="P7" s="139" t="s">
        <v>1</v>
      </c>
      <c r="Q7" s="139" t="s">
        <v>23</v>
      </c>
      <c r="R7" s="139" t="s">
        <v>25</v>
      </c>
      <c r="S7" s="139" t="s">
        <v>26</v>
      </c>
      <c r="T7" s="810" t="s">
        <v>30</v>
      </c>
      <c r="U7" s="810"/>
      <c r="V7" s="810" t="s">
        <v>31</v>
      </c>
      <c r="W7" s="810"/>
      <c r="X7" s="810" t="s">
        <v>32</v>
      </c>
      <c r="Y7" s="810"/>
      <c r="Z7" s="810" t="s">
        <v>40</v>
      </c>
      <c r="AA7" s="810"/>
      <c r="AB7" s="810" t="s">
        <v>34</v>
      </c>
      <c r="AC7" s="810"/>
      <c r="AD7" s="810" t="s">
        <v>156</v>
      </c>
      <c r="AE7" s="810"/>
      <c r="AF7" s="146"/>
      <c r="AG7" s="311"/>
      <c r="AH7" s="34" t="s">
        <v>7</v>
      </c>
      <c r="AI7" s="35" t="s">
        <v>6</v>
      </c>
      <c r="AJ7" s="34" t="s">
        <v>7</v>
      </c>
      <c r="AK7" s="35" t="s">
        <v>6</v>
      </c>
      <c r="AL7" s="808" t="s">
        <v>37</v>
      </c>
      <c r="AM7" s="808"/>
      <c r="AN7" s="808" t="s">
        <v>42</v>
      </c>
      <c r="AO7" s="808"/>
      <c r="AP7" s="808" t="s">
        <v>45</v>
      </c>
      <c r="AQ7" s="808"/>
      <c r="AR7" s="315"/>
      <c r="AS7" s="309"/>
      <c r="AT7" s="141" t="s">
        <v>7</v>
      </c>
      <c r="AU7" s="143" t="s">
        <v>6</v>
      </c>
      <c r="AV7" s="141" t="s">
        <v>34</v>
      </c>
      <c r="AW7" s="141" t="s">
        <v>115</v>
      </c>
    </row>
    <row r="8" spans="1:49" s="36" customFormat="1" ht="10.5" thickBot="1">
      <c r="A8" s="417"/>
      <c r="B8" s="818"/>
      <c r="C8" s="818"/>
      <c r="D8" s="818"/>
      <c r="E8" s="818"/>
      <c r="F8" s="818"/>
      <c r="G8" s="818"/>
      <c r="H8" s="818"/>
      <c r="I8" s="418"/>
      <c r="J8" s="418"/>
      <c r="K8" s="419" t="s">
        <v>53</v>
      </c>
      <c r="L8" s="420" t="s">
        <v>62</v>
      </c>
      <c r="M8" s="420" t="s">
        <v>64</v>
      </c>
      <c r="N8" s="420" t="s">
        <v>55</v>
      </c>
      <c r="O8" s="421" t="s">
        <v>21</v>
      </c>
      <c r="P8" s="422" t="s">
        <v>22</v>
      </c>
      <c r="Q8" s="139" t="s">
        <v>24</v>
      </c>
      <c r="R8" s="139" t="s">
        <v>24</v>
      </c>
      <c r="S8" s="139" t="s">
        <v>27</v>
      </c>
      <c r="T8" s="141" t="s">
        <v>35</v>
      </c>
      <c r="U8" s="143" t="s">
        <v>593</v>
      </c>
      <c r="V8" s="141" t="s">
        <v>35</v>
      </c>
      <c r="W8" s="143" t="s">
        <v>593</v>
      </c>
      <c r="X8" s="141" t="s">
        <v>35</v>
      </c>
      <c r="Y8" s="143" t="s">
        <v>593</v>
      </c>
      <c r="Z8" s="141" t="s">
        <v>592</v>
      </c>
      <c r="AA8" s="143" t="s">
        <v>593</v>
      </c>
      <c r="AB8" s="143" t="s">
        <v>593</v>
      </c>
      <c r="AC8" s="141" t="s">
        <v>594</v>
      </c>
      <c r="AD8" s="141" t="s">
        <v>35</v>
      </c>
      <c r="AE8" s="143" t="s">
        <v>593</v>
      </c>
      <c r="AF8" s="819" t="s">
        <v>36</v>
      </c>
      <c r="AG8" s="819"/>
      <c r="AH8" s="34" t="s">
        <v>35</v>
      </c>
      <c r="AI8" s="35" t="s">
        <v>593</v>
      </c>
      <c r="AJ8" s="34" t="s">
        <v>592</v>
      </c>
      <c r="AK8" s="35" t="s">
        <v>593</v>
      </c>
      <c r="AL8" s="429" t="s">
        <v>33</v>
      </c>
      <c r="AM8" s="35" t="s">
        <v>593</v>
      </c>
      <c r="AN8" s="35" t="s">
        <v>593</v>
      </c>
      <c r="AO8" s="34" t="s">
        <v>594</v>
      </c>
      <c r="AP8" s="34" t="s">
        <v>35</v>
      </c>
      <c r="AQ8" s="35" t="s">
        <v>593</v>
      </c>
      <c r="AR8" s="815" t="s">
        <v>36</v>
      </c>
      <c r="AS8" s="815"/>
      <c r="AT8" s="141" t="s">
        <v>35</v>
      </c>
      <c r="AU8" s="143" t="s">
        <v>593</v>
      </c>
      <c r="AV8" s="141" t="s">
        <v>594</v>
      </c>
      <c r="AW8" s="141" t="s">
        <v>116</v>
      </c>
    </row>
    <row r="9" spans="1:133" s="29" customFormat="1" ht="15.75">
      <c r="A9" s="386">
        <v>1</v>
      </c>
      <c r="B9" s="400"/>
      <c r="C9" s="400"/>
      <c r="D9" s="400">
        <v>3</v>
      </c>
      <c r="E9" s="400"/>
      <c r="F9" s="400" t="s">
        <v>112</v>
      </c>
      <c r="G9" s="400" t="s">
        <v>49</v>
      </c>
      <c r="H9" s="400"/>
      <c r="I9" s="401"/>
      <c r="J9" s="407"/>
      <c r="K9" s="485" t="s">
        <v>1185</v>
      </c>
      <c r="L9" s="487" t="s">
        <v>1186</v>
      </c>
      <c r="M9" s="399" t="s">
        <v>72</v>
      </c>
      <c r="N9" s="487" t="s">
        <v>1187</v>
      </c>
      <c r="O9" s="489">
        <v>41509</v>
      </c>
      <c r="P9" s="398" t="s">
        <v>12</v>
      </c>
      <c r="Q9" s="432">
        <v>193</v>
      </c>
      <c r="R9" s="432">
        <v>209</v>
      </c>
      <c r="S9" s="432">
        <v>2</v>
      </c>
      <c r="T9" s="593">
        <v>225783</v>
      </c>
      <c r="U9" s="592">
        <v>18912</v>
      </c>
      <c r="V9" s="593">
        <v>247527</v>
      </c>
      <c r="W9" s="592">
        <v>19020</v>
      </c>
      <c r="X9" s="593">
        <v>243191</v>
      </c>
      <c r="Y9" s="592">
        <v>19557</v>
      </c>
      <c r="Z9" s="481">
        <f aca="true" t="shared" si="0" ref="Z9:Z55">SUM(T9+V9+X9)</f>
        <v>716501</v>
      </c>
      <c r="AA9" s="482">
        <f aca="true" t="shared" si="1" ref="AA9:AA40">U9+W9+Y9</f>
        <v>57489</v>
      </c>
      <c r="AB9" s="564">
        <f aca="true" t="shared" si="2" ref="AB9:AB40">IF(Z9&lt;&gt;0,AA9/R9,"")</f>
        <v>275.066985645933</v>
      </c>
      <c r="AC9" s="565">
        <f aca="true" t="shared" si="3" ref="AC9:AC40">IF(Z9&lt;&gt;0,Z9/AA9,"")</f>
        <v>12.463271234497034</v>
      </c>
      <c r="AD9" s="566">
        <v>1038389</v>
      </c>
      <c r="AE9" s="567">
        <v>86973</v>
      </c>
      <c r="AF9" s="570">
        <f>IF(AD9&lt;&gt;0,-(AD9-Z9)/AD9,"")</f>
        <v>-0.309987875449374</v>
      </c>
      <c r="AG9" s="570">
        <f>IF(AE9&lt;&gt;0,-(AE9-AA9)/AE9,"")</f>
        <v>-0.33900175916663794</v>
      </c>
      <c r="AH9" s="569">
        <f aca="true" t="shared" si="4" ref="AH9:AH40">AJ9-Z9</f>
        <v>417519</v>
      </c>
      <c r="AI9" s="564">
        <f aca="true" t="shared" si="5" ref="AI9:AI40">AK9-AA9</f>
        <v>43366</v>
      </c>
      <c r="AJ9" s="481">
        <v>1134020</v>
      </c>
      <c r="AK9" s="482">
        <v>100855</v>
      </c>
      <c r="AL9" s="570">
        <f aca="true" t="shared" si="6" ref="AL9:AL40">AA9*1/AK9</f>
        <v>0.5700163601209658</v>
      </c>
      <c r="AM9" s="570">
        <f aca="true" t="shared" si="7" ref="AM9:AM40">AI9*1/AK9</f>
        <v>0.42998363987903426</v>
      </c>
      <c r="AN9" s="564">
        <f aca="true" t="shared" si="8" ref="AN9:AN40">AK9/R9</f>
        <v>482.5598086124402</v>
      </c>
      <c r="AO9" s="565">
        <f aca="true" t="shared" si="9" ref="AO9:AO40">AJ9/AK9</f>
        <v>11.244063259134402</v>
      </c>
      <c r="AP9" s="594">
        <v>1688531</v>
      </c>
      <c r="AQ9" s="595">
        <v>151129</v>
      </c>
      <c r="AR9" s="570">
        <f aca="true" t="shared" si="10" ref="AR9:AR40">IF(AP9&lt;&gt;0,-(AP9-AJ9)/AP9,"")</f>
        <v>-0.32839847180774295</v>
      </c>
      <c r="AS9" s="570">
        <f aca="true" t="shared" si="11" ref="AS9:AS40">IF(AQ9&lt;&gt;0,-(AQ9-AK9)/AQ9,"")</f>
        <v>-0.3326562076107167</v>
      </c>
      <c r="AT9" s="599">
        <v>2820635</v>
      </c>
      <c r="AU9" s="600">
        <v>251666</v>
      </c>
      <c r="AV9" s="431">
        <f aca="true" t="shared" si="12" ref="AV9:AV40">AT9/AU9</f>
        <v>11.20785088172419</v>
      </c>
      <c r="AW9" s="571">
        <v>41516</v>
      </c>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row>
    <row r="10" spans="1:133" s="29" customFormat="1" ht="15.75">
      <c r="A10" s="474">
        <v>2</v>
      </c>
      <c r="B10" s="416"/>
      <c r="C10" s="416" t="s">
        <v>94</v>
      </c>
      <c r="D10" s="416">
        <v>3</v>
      </c>
      <c r="E10" s="416">
        <v>2</v>
      </c>
      <c r="F10" s="416" t="s">
        <v>112</v>
      </c>
      <c r="G10" s="416" t="s">
        <v>49</v>
      </c>
      <c r="H10" s="416"/>
      <c r="I10" s="480"/>
      <c r="J10" s="407"/>
      <c r="K10" s="486" t="s">
        <v>1136</v>
      </c>
      <c r="L10" s="475" t="s">
        <v>975</v>
      </c>
      <c r="M10" s="490" t="s">
        <v>73</v>
      </c>
      <c r="N10" s="488" t="s">
        <v>1137</v>
      </c>
      <c r="O10" s="476">
        <v>41487</v>
      </c>
      <c r="P10" s="390" t="s">
        <v>10</v>
      </c>
      <c r="Q10" s="509">
        <v>216</v>
      </c>
      <c r="R10" s="391">
        <v>242</v>
      </c>
      <c r="S10" s="391">
        <v>5</v>
      </c>
      <c r="T10" s="581">
        <v>177715</v>
      </c>
      <c r="U10" s="582">
        <v>16140</v>
      </c>
      <c r="V10" s="581">
        <v>166605</v>
      </c>
      <c r="W10" s="582">
        <v>14999</v>
      </c>
      <c r="X10" s="581">
        <v>184849</v>
      </c>
      <c r="Y10" s="582">
        <v>16720</v>
      </c>
      <c r="Z10" s="483">
        <f t="shared" si="0"/>
        <v>529169</v>
      </c>
      <c r="AA10" s="484">
        <f t="shared" si="1"/>
        <v>47859</v>
      </c>
      <c r="AB10" s="572">
        <f t="shared" si="2"/>
        <v>197.76446280991735</v>
      </c>
      <c r="AC10" s="573">
        <f t="shared" si="3"/>
        <v>11.05683361541194</v>
      </c>
      <c r="AD10" s="574">
        <v>628277</v>
      </c>
      <c r="AE10" s="575">
        <v>56658</v>
      </c>
      <c r="AF10" s="568">
        <f>IF(AD10&lt;&gt;0,-(AD10-Z10)/AD10,"")</f>
        <v>-0.15774570770535926</v>
      </c>
      <c r="AG10" s="568">
        <f>IF(AE10&lt;&gt;0,-(AE10-AA10)/AE10,"")</f>
        <v>-0.1553002223869533</v>
      </c>
      <c r="AH10" s="606">
        <f t="shared" si="4"/>
        <v>385215</v>
      </c>
      <c r="AI10" s="607">
        <f t="shared" si="5"/>
        <v>41144</v>
      </c>
      <c r="AJ10" s="624">
        <v>914384</v>
      </c>
      <c r="AK10" s="625">
        <v>89003</v>
      </c>
      <c r="AL10" s="608">
        <f t="shared" si="6"/>
        <v>0.5377234475242407</v>
      </c>
      <c r="AM10" s="608">
        <f t="shared" si="7"/>
        <v>0.4622765524757592</v>
      </c>
      <c r="AN10" s="607">
        <f t="shared" si="8"/>
        <v>367.7809917355372</v>
      </c>
      <c r="AO10" s="609">
        <f t="shared" si="9"/>
        <v>10.273631225913734</v>
      </c>
      <c r="AP10" s="616">
        <v>1146987</v>
      </c>
      <c r="AQ10" s="617">
        <v>111316</v>
      </c>
      <c r="AR10" s="608">
        <f t="shared" si="10"/>
        <v>-0.20279480063854255</v>
      </c>
      <c r="AS10" s="608">
        <f t="shared" si="11"/>
        <v>-0.20044737504042545</v>
      </c>
      <c r="AT10" s="632">
        <v>10104880</v>
      </c>
      <c r="AU10" s="633">
        <v>963131</v>
      </c>
      <c r="AV10" s="612">
        <f t="shared" si="12"/>
        <v>10.4916984293933</v>
      </c>
      <c r="AW10" s="613">
        <v>41516</v>
      </c>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row>
    <row r="11" spans="1:133" s="29" customFormat="1" ht="15.75">
      <c r="A11" s="387">
        <v>3</v>
      </c>
      <c r="B11" s="402"/>
      <c r="C11" s="402"/>
      <c r="D11" s="402"/>
      <c r="E11" s="402"/>
      <c r="F11" s="402"/>
      <c r="G11" s="402"/>
      <c r="H11" s="402"/>
      <c r="I11" s="404"/>
      <c r="J11" s="412" t="s">
        <v>365</v>
      </c>
      <c r="K11" s="414" t="s">
        <v>1201</v>
      </c>
      <c r="L11" s="492" t="s">
        <v>267</v>
      </c>
      <c r="M11" s="490" t="s">
        <v>73</v>
      </c>
      <c r="N11" s="392" t="s">
        <v>1202</v>
      </c>
      <c r="O11" s="493">
        <v>41516</v>
      </c>
      <c r="P11" s="491" t="s">
        <v>10</v>
      </c>
      <c r="Q11" s="509">
        <v>71</v>
      </c>
      <c r="R11" s="391">
        <v>85</v>
      </c>
      <c r="S11" s="391">
        <v>1</v>
      </c>
      <c r="T11" s="581">
        <v>90531</v>
      </c>
      <c r="U11" s="582">
        <v>7713</v>
      </c>
      <c r="V11" s="581">
        <v>96090</v>
      </c>
      <c r="W11" s="582">
        <v>8050</v>
      </c>
      <c r="X11" s="581">
        <v>107059</v>
      </c>
      <c r="Y11" s="582">
        <v>9243</v>
      </c>
      <c r="Z11" s="483">
        <f t="shared" si="0"/>
        <v>293680</v>
      </c>
      <c r="AA11" s="484">
        <f t="shared" si="1"/>
        <v>25006</v>
      </c>
      <c r="AB11" s="572">
        <f t="shared" si="2"/>
        <v>294.18823529411765</v>
      </c>
      <c r="AC11" s="573">
        <f t="shared" si="3"/>
        <v>11.744381348476365</v>
      </c>
      <c r="AD11" s="574"/>
      <c r="AE11" s="575"/>
      <c r="AF11" s="568"/>
      <c r="AG11" s="568"/>
      <c r="AH11" s="606">
        <f t="shared" si="4"/>
        <v>240200</v>
      </c>
      <c r="AI11" s="607">
        <f t="shared" si="5"/>
        <v>25280</v>
      </c>
      <c r="AJ11" s="624">
        <v>533880</v>
      </c>
      <c r="AK11" s="625">
        <v>50286</v>
      </c>
      <c r="AL11" s="608">
        <f t="shared" si="6"/>
        <v>0.49727558366145647</v>
      </c>
      <c r="AM11" s="608">
        <f t="shared" si="7"/>
        <v>0.5027244163385435</v>
      </c>
      <c r="AN11" s="607">
        <f t="shared" si="8"/>
        <v>591.6</v>
      </c>
      <c r="AO11" s="609">
        <f t="shared" si="9"/>
        <v>10.616871495048324</v>
      </c>
      <c r="AP11" s="616"/>
      <c r="AQ11" s="617"/>
      <c r="AR11" s="608">
        <f t="shared" si="10"/>
      </c>
      <c r="AS11" s="608">
        <f t="shared" si="11"/>
      </c>
      <c r="AT11" s="632">
        <v>533880</v>
      </c>
      <c r="AU11" s="633">
        <v>50286</v>
      </c>
      <c r="AV11" s="612">
        <f t="shared" si="12"/>
        <v>10.616871495048324</v>
      </c>
      <c r="AW11" s="613">
        <v>41516</v>
      </c>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row>
    <row r="12" spans="1:133" s="25" customFormat="1" ht="15.75">
      <c r="A12" s="387">
        <v>4</v>
      </c>
      <c r="B12" s="402"/>
      <c r="C12" s="402"/>
      <c r="D12" s="402"/>
      <c r="E12" s="402"/>
      <c r="F12" s="402"/>
      <c r="G12" s="402"/>
      <c r="H12" s="402"/>
      <c r="I12" s="404"/>
      <c r="J12" s="412" t="s">
        <v>365</v>
      </c>
      <c r="K12" s="414" t="s">
        <v>1199</v>
      </c>
      <c r="L12" s="492" t="s">
        <v>975</v>
      </c>
      <c r="M12" s="490" t="s">
        <v>73</v>
      </c>
      <c r="N12" s="492" t="s">
        <v>1200</v>
      </c>
      <c r="O12" s="493">
        <v>41516</v>
      </c>
      <c r="P12" s="491" t="s">
        <v>10</v>
      </c>
      <c r="Q12" s="509">
        <v>29</v>
      </c>
      <c r="R12" s="391">
        <v>51</v>
      </c>
      <c r="S12" s="391">
        <v>1</v>
      </c>
      <c r="T12" s="581">
        <v>205413</v>
      </c>
      <c r="U12" s="582">
        <v>15082</v>
      </c>
      <c r="V12" s="581">
        <v>65513</v>
      </c>
      <c r="W12" s="582">
        <v>4842</v>
      </c>
      <c r="X12" s="581">
        <v>52347</v>
      </c>
      <c r="Y12" s="582">
        <v>3908</v>
      </c>
      <c r="Z12" s="483">
        <f t="shared" si="0"/>
        <v>323273</v>
      </c>
      <c r="AA12" s="484">
        <f t="shared" si="1"/>
        <v>23832</v>
      </c>
      <c r="AB12" s="572">
        <f t="shared" si="2"/>
        <v>467.29411764705884</v>
      </c>
      <c r="AC12" s="573">
        <f t="shared" si="3"/>
        <v>13.56466096005371</v>
      </c>
      <c r="AD12" s="574"/>
      <c r="AE12" s="575"/>
      <c r="AF12" s="568"/>
      <c r="AG12" s="568"/>
      <c r="AH12" s="606">
        <f t="shared" si="4"/>
        <v>141564</v>
      </c>
      <c r="AI12" s="607">
        <f t="shared" si="5"/>
        <v>12195</v>
      </c>
      <c r="AJ12" s="624">
        <v>464837</v>
      </c>
      <c r="AK12" s="625">
        <v>36027</v>
      </c>
      <c r="AL12" s="608">
        <f t="shared" si="6"/>
        <v>0.6615038720959281</v>
      </c>
      <c r="AM12" s="608">
        <f t="shared" si="7"/>
        <v>0.33849612790407196</v>
      </c>
      <c r="AN12" s="607">
        <f t="shared" si="8"/>
        <v>706.4117647058823</v>
      </c>
      <c r="AO12" s="609">
        <f t="shared" si="9"/>
        <v>12.90246204235712</v>
      </c>
      <c r="AP12" s="616"/>
      <c r="AQ12" s="617"/>
      <c r="AR12" s="608">
        <f t="shared" si="10"/>
      </c>
      <c r="AS12" s="608">
        <f t="shared" si="11"/>
      </c>
      <c r="AT12" s="632">
        <v>464837</v>
      </c>
      <c r="AU12" s="633">
        <v>36027</v>
      </c>
      <c r="AV12" s="612">
        <f t="shared" si="12"/>
        <v>12.90246204235712</v>
      </c>
      <c r="AW12" s="613">
        <v>41516</v>
      </c>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row>
    <row r="13" spans="1:133" s="25" customFormat="1" ht="15.75">
      <c r="A13" s="387">
        <v>5</v>
      </c>
      <c r="B13" s="402"/>
      <c r="C13" s="402" t="s">
        <v>94</v>
      </c>
      <c r="D13" s="402"/>
      <c r="E13" s="402"/>
      <c r="F13" s="402"/>
      <c r="G13" s="402"/>
      <c r="H13" s="402"/>
      <c r="I13" s="404"/>
      <c r="J13" s="405"/>
      <c r="K13" s="414" t="s">
        <v>1161</v>
      </c>
      <c r="L13" s="492" t="s">
        <v>975</v>
      </c>
      <c r="M13" s="490" t="s">
        <v>73</v>
      </c>
      <c r="N13" s="392" t="s">
        <v>1162</v>
      </c>
      <c r="O13" s="493">
        <v>41495</v>
      </c>
      <c r="P13" s="491" t="s">
        <v>10</v>
      </c>
      <c r="Q13" s="509">
        <v>97</v>
      </c>
      <c r="R13" s="391">
        <v>90</v>
      </c>
      <c r="S13" s="391">
        <v>4</v>
      </c>
      <c r="T13" s="581">
        <v>87247</v>
      </c>
      <c r="U13" s="582">
        <v>6737</v>
      </c>
      <c r="V13" s="581">
        <v>87603</v>
      </c>
      <c r="W13" s="582">
        <v>6699</v>
      </c>
      <c r="X13" s="581">
        <v>91821</v>
      </c>
      <c r="Y13" s="582">
        <v>7305</v>
      </c>
      <c r="Z13" s="483">
        <f t="shared" si="0"/>
        <v>266671</v>
      </c>
      <c r="AA13" s="484">
        <f t="shared" si="1"/>
        <v>20741</v>
      </c>
      <c r="AB13" s="572">
        <f t="shared" si="2"/>
        <v>230.45555555555555</v>
      </c>
      <c r="AC13" s="573">
        <f t="shared" si="3"/>
        <v>12.8571910708259</v>
      </c>
      <c r="AD13" s="574">
        <v>316880</v>
      </c>
      <c r="AE13" s="575">
        <v>25452</v>
      </c>
      <c r="AF13" s="568">
        <f>IF(AD13&lt;&gt;0,-(AD13-Z13)/AD13,"")</f>
        <v>-0.158447992931078</v>
      </c>
      <c r="AG13" s="568">
        <f>IF(AE13&lt;&gt;0,-(AE13-AA13)/AE13,"")</f>
        <v>-0.1850935093509351</v>
      </c>
      <c r="AH13" s="606">
        <f t="shared" si="4"/>
        <v>165364</v>
      </c>
      <c r="AI13" s="607">
        <f t="shared" si="5"/>
        <v>16152</v>
      </c>
      <c r="AJ13" s="624">
        <v>432035</v>
      </c>
      <c r="AK13" s="625">
        <v>36893</v>
      </c>
      <c r="AL13" s="608">
        <f t="shared" si="6"/>
        <v>0.5621933700159922</v>
      </c>
      <c r="AM13" s="608">
        <f t="shared" si="7"/>
        <v>0.4378066299840078</v>
      </c>
      <c r="AN13" s="607">
        <f t="shared" si="8"/>
        <v>409.9222222222222</v>
      </c>
      <c r="AO13" s="609">
        <f t="shared" si="9"/>
        <v>11.71048708427073</v>
      </c>
      <c r="AP13" s="616">
        <v>520958</v>
      </c>
      <c r="AQ13" s="617">
        <v>46516</v>
      </c>
      <c r="AR13" s="608">
        <f t="shared" si="10"/>
        <v>-0.17069130332963503</v>
      </c>
      <c r="AS13" s="608">
        <f t="shared" si="11"/>
        <v>-0.20687505374494797</v>
      </c>
      <c r="AT13" s="632">
        <v>2643248</v>
      </c>
      <c r="AU13" s="633">
        <v>230599</v>
      </c>
      <c r="AV13" s="612">
        <f t="shared" si="12"/>
        <v>11.462530193105781</v>
      </c>
      <c r="AW13" s="613">
        <v>41516</v>
      </c>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row>
    <row r="14" spans="1:133" s="27" customFormat="1" ht="15.75">
      <c r="A14" s="474">
        <v>6</v>
      </c>
      <c r="B14" s="402"/>
      <c r="C14" s="402"/>
      <c r="D14" s="402"/>
      <c r="E14" s="402">
        <v>2</v>
      </c>
      <c r="F14" s="402"/>
      <c r="G14" s="402"/>
      <c r="H14" s="402"/>
      <c r="I14" s="406"/>
      <c r="J14" s="412" t="s">
        <v>365</v>
      </c>
      <c r="K14" s="414" t="s">
        <v>1203</v>
      </c>
      <c r="L14" s="492" t="s">
        <v>263</v>
      </c>
      <c r="M14" s="490" t="s">
        <v>67</v>
      </c>
      <c r="N14" s="494" t="s">
        <v>1204</v>
      </c>
      <c r="O14" s="493">
        <v>41516</v>
      </c>
      <c r="P14" s="491" t="s">
        <v>59</v>
      </c>
      <c r="Q14" s="509">
        <v>65</v>
      </c>
      <c r="R14" s="509">
        <v>86</v>
      </c>
      <c r="S14" s="509">
        <v>1</v>
      </c>
      <c r="T14" s="590">
        <v>73405.63</v>
      </c>
      <c r="U14" s="591">
        <v>6878</v>
      </c>
      <c r="V14" s="590">
        <v>72277.35</v>
      </c>
      <c r="W14" s="591">
        <v>6658</v>
      </c>
      <c r="X14" s="590">
        <v>75651.97</v>
      </c>
      <c r="Y14" s="591">
        <v>7059</v>
      </c>
      <c r="Z14" s="483">
        <f t="shared" si="0"/>
        <v>221334.95</v>
      </c>
      <c r="AA14" s="484">
        <f t="shared" si="1"/>
        <v>20595</v>
      </c>
      <c r="AB14" s="572">
        <f t="shared" si="2"/>
        <v>239.47674418604652</v>
      </c>
      <c r="AC14" s="573">
        <f t="shared" si="3"/>
        <v>10.747023549405196</v>
      </c>
      <c r="AD14" s="574"/>
      <c r="AE14" s="575"/>
      <c r="AF14" s="568"/>
      <c r="AG14" s="568"/>
      <c r="AH14" s="606">
        <f t="shared" si="4"/>
        <v>176447.53999999998</v>
      </c>
      <c r="AI14" s="607">
        <f t="shared" si="5"/>
        <v>19292</v>
      </c>
      <c r="AJ14" s="626">
        <v>397782.49</v>
      </c>
      <c r="AK14" s="627">
        <v>39887</v>
      </c>
      <c r="AL14" s="608">
        <f t="shared" si="6"/>
        <v>0.516333642540176</v>
      </c>
      <c r="AM14" s="608">
        <f t="shared" si="7"/>
        <v>0.483666357459824</v>
      </c>
      <c r="AN14" s="607">
        <f t="shared" si="8"/>
        <v>463.80232558139534</v>
      </c>
      <c r="AO14" s="609">
        <f t="shared" si="9"/>
        <v>9.97273522701632</v>
      </c>
      <c r="AP14" s="614"/>
      <c r="AQ14" s="615"/>
      <c r="AR14" s="608">
        <f t="shared" si="10"/>
      </c>
      <c r="AS14" s="608">
        <f t="shared" si="11"/>
      </c>
      <c r="AT14" s="634">
        <f>1906+397782.49</f>
        <v>399688.49</v>
      </c>
      <c r="AU14" s="635">
        <f>221+39887</f>
        <v>40108</v>
      </c>
      <c r="AV14" s="612">
        <f t="shared" si="12"/>
        <v>9.965305924005186</v>
      </c>
      <c r="AW14" s="613">
        <v>41516</v>
      </c>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row>
    <row r="15" spans="1:133" s="28" customFormat="1" ht="15.75">
      <c r="A15" s="387">
        <v>7</v>
      </c>
      <c r="B15" s="402"/>
      <c r="C15" s="402"/>
      <c r="D15" s="402"/>
      <c r="E15" s="402"/>
      <c r="F15" s="402"/>
      <c r="G15" s="402"/>
      <c r="H15" s="402" t="s">
        <v>48</v>
      </c>
      <c r="I15" s="404"/>
      <c r="J15" s="407"/>
      <c r="K15" s="414" t="s">
        <v>1145</v>
      </c>
      <c r="L15" s="392" t="s">
        <v>770</v>
      </c>
      <c r="M15" s="490"/>
      <c r="N15" s="392" t="s">
        <v>1146</v>
      </c>
      <c r="O15" s="495">
        <v>41488</v>
      </c>
      <c r="P15" s="491" t="s">
        <v>12</v>
      </c>
      <c r="Q15" s="509">
        <v>193</v>
      </c>
      <c r="R15" s="509">
        <v>167</v>
      </c>
      <c r="S15" s="509">
        <v>5</v>
      </c>
      <c r="T15" s="585">
        <v>51167</v>
      </c>
      <c r="U15" s="586">
        <v>5580</v>
      </c>
      <c r="V15" s="585">
        <v>56206</v>
      </c>
      <c r="W15" s="586">
        <v>6028</v>
      </c>
      <c r="X15" s="585">
        <v>78034</v>
      </c>
      <c r="Y15" s="586">
        <v>8359</v>
      </c>
      <c r="Z15" s="483">
        <f t="shared" si="0"/>
        <v>185407</v>
      </c>
      <c r="AA15" s="484">
        <f t="shared" si="1"/>
        <v>19967</v>
      </c>
      <c r="AB15" s="572">
        <f t="shared" si="2"/>
        <v>119.562874251497</v>
      </c>
      <c r="AC15" s="573">
        <f t="shared" si="3"/>
        <v>9.285671357740272</v>
      </c>
      <c r="AD15" s="574">
        <v>252655</v>
      </c>
      <c r="AE15" s="575">
        <v>26145</v>
      </c>
      <c r="AF15" s="568">
        <f aca="true" t="shared" si="13" ref="AF15:AG18">IF(AD15&lt;&gt;0,-(AD15-Z15)/AD15,"")</f>
        <v>-0.26616532425639705</v>
      </c>
      <c r="AG15" s="568">
        <f t="shared" si="13"/>
        <v>-0.23629757123733028</v>
      </c>
      <c r="AH15" s="606">
        <f t="shared" si="4"/>
        <v>161407</v>
      </c>
      <c r="AI15" s="607">
        <f t="shared" si="5"/>
        <v>19975</v>
      </c>
      <c r="AJ15" s="622">
        <v>346814</v>
      </c>
      <c r="AK15" s="623">
        <v>39942</v>
      </c>
      <c r="AL15" s="608">
        <f t="shared" si="6"/>
        <v>0.4998998547894447</v>
      </c>
      <c r="AM15" s="608">
        <f t="shared" si="7"/>
        <v>0.5001001452105553</v>
      </c>
      <c r="AN15" s="607">
        <f t="shared" si="8"/>
        <v>239.17365269461078</v>
      </c>
      <c r="AO15" s="609">
        <f t="shared" si="9"/>
        <v>8.682940263381903</v>
      </c>
      <c r="AP15" s="618">
        <v>466986</v>
      </c>
      <c r="AQ15" s="619">
        <v>52054</v>
      </c>
      <c r="AR15" s="608">
        <f t="shared" si="10"/>
        <v>-0.2573353376760759</v>
      </c>
      <c r="AS15" s="608">
        <f t="shared" si="11"/>
        <v>-0.2326814461904945</v>
      </c>
      <c r="AT15" s="630">
        <v>3264267</v>
      </c>
      <c r="AU15" s="631">
        <v>360501</v>
      </c>
      <c r="AV15" s="612">
        <f t="shared" si="12"/>
        <v>9.054807060174591</v>
      </c>
      <c r="AW15" s="613">
        <v>41516</v>
      </c>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row>
    <row r="16" spans="1:133" s="28" customFormat="1" ht="15.75">
      <c r="A16" s="387">
        <v>8</v>
      </c>
      <c r="B16" s="402"/>
      <c r="C16" s="402" t="s">
        <v>94</v>
      </c>
      <c r="D16" s="402">
        <v>3</v>
      </c>
      <c r="E16" s="402">
        <v>2</v>
      </c>
      <c r="F16" s="402" t="s">
        <v>112</v>
      </c>
      <c r="G16" s="402" t="s">
        <v>49</v>
      </c>
      <c r="H16" s="402"/>
      <c r="I16" s="406"/>
      <c r="J16" s="407"/>
      <c r="K16" s="414" t="s">
        <v>1166</v>
      </c>
      <c r="L16" s="492" t="s">
        <v>80</v>
      </c>
      <c r="M16" s="490" t="s">
        <v>69</v>
      </c>
      <c r="N16" s="494" t="s">
        <v>1167</v>
      </c>
      <c r="O16" s="493">
        <v>41502</v>
      </c>
      <c r="P16" s="491" t="s">
        <v>59</v>
      </c>
      <c r="Q16" s="509">
        <v>108</v>
      </c>
      <c r="R16" s="509">
        <v>97</v>
      </c>
      <c r="S16" s="509">
        <v>3</v>
      </c>
      <c r="T16" s="590">
        <v>52079.18</v>
      </c>
      <c r="U16" s="591">
        <v>4944</v>
      </c>
      <c r="V16" s="590">
        <v>48521.5</v>
      </c>
      <c r="W16" s="591">
        <v>4541</v>
      </c>
      <c r="X16" s="590">
        <v>58543.44</v>
      </c>
      <c r="Y16" s="591">
        <v>5636</v>
      </c>
      <c r="Z16" s="483">
        <f t="shared" si="0"/>
        <v>159144.12</v>
      </c>
      <c r="AA16" s="484">
        <f t="shared" si="1"/>
        <v>15121</v>
      </c>
      <c r="AB16" s="572">
        <f t="shared" si="2"/>
        <v>155.88659793814432</v>
      </c>
      <c r="AC16" s="573">
        <f t="shared" si="3"/>
        <v>10.524708683288141</v>
      </c>
      <c r="AD16" s="574">
        <v>317682.51</v>
      </c>
      <c r="AE16" s="575">
        <v>28089</v>
      </c>
      <c r="AF16" s="568">
        <f t="shared" si="13"/>
        <v>-0.4990466425111033</v>
      </c>
      <c r="AG16" s="568">
        <f t="shared" si="13"/>
        <v>-0.4616753889422906</v>
      </c>
      <c r="AH16" s="606">
        <f t="shared" si="4"/>
        <v>131903.69</v>
      </c>
      <c r="AI16" s="607">
        <f t="shared" si="5"/>
        <v>14337</v>
      </c>
      <c r="AJ16" s="626">
        <v>291047.81</v>
      </c>
      <c r="AK16" s="627">
        <v>29458</v>
      </c>
      <c r="AL16" s="608">
        <f t="shared" si="6"/>
        <v>0.5133070812682463</v>
      </c>
      <c r="AM16" s="608">
        <f t="shared" si="7"/>
        <v>0.4866929187317537</v>
      </c>
      <c r="AN16" s="607">
        <f t="shared" si="8"/>
        <v>303.69072164948454</v>
      </c>
      <c r="AO16" s="609">
        <f t="shared" si="9"/>
        <v>9.880094032181411</v>
      </c>
      <c r="AP16" s="614">
        <v>600359.84</v>
      </c>
      <c r="AQ16" s="615">
        <v>57408</v>
      </c>
      <c r="AR16" s="608">
        <f t="shared" si="10"/>
        <v>-0.5152110607531643</v>
      </c>
      <c r="AS16" s="608">
        <f t="shared" si="11"/>
        <v>-0.48686594202898553</v>
      </c>
      <c r="AT16" s="634">
        <f>1190+858555.21+600359.84+291047.81</f>
        <v>1751152.8599999999</v>
      </c>
      <c r="AU16" s="635">
        <f>119+80094+57408+29458</f>
        <v>167079</v>
      </c>
      <c r="AV16" s="612">
        <f t="shared" si="12"/>
        <v>10.480987197672956</v>
      </c>
      <c r="AW16" s="613">
        <v>41516</v>
      </c>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row>
    <row r="17" spans="1:133" s="27" customFormat="1" ht="15.75">
      <c r="A17" s="387">
        <v>9</v>
      </c>
      <c r="B17" s="402"/>
      <c r="C17" s="402" t="s">
        <v>94</v>
      </c>
      <c r="D17" s="402"/>
      <c r="E17" s="402"/>
      <c r="F17" s="402"/>
      <c r="G17" s="402"/>
      <c r="H17" s="402"/>
      <c r="I17" s="404"/>
      <c r="J17" s="405"/>
      <c r="K17" s="414" t="s">
        <v>1183</v>
      </c>
      <c r="L17" s="492" t="s">
        <v>975</v>
      </c>
      <c r="M17" s="490" t="s">
        <v>73</v>
      </c>
      <c r="N17" s="392" t="s">
        <v>1184</v>
      </c>
      <c r="O17" s="493">
        <v>41509</v>
      </c>
      <c r="P17" s="491" t="s">
        <v>10</v>
      </c>
      <c r="Q17" s="509">
        <v>39</v>
      </c>
      <c r="R17" s="391">
        <v>48</v>
      </c>
      <c r="S17" s="391">
        <v>2</v>
      </c>
      <c r="T17" s="581">
        <v>49132</v>
      </c>
      <c r="U17" s="582">
        <v>3711</v>
      </c>
      <c r="V17" s="581">
        <v>50397</v>
      </c>
      <c r="W17" s="582">
        <v>3760</v>
      </c>
      <c r="X17" s="581">
        <v>52938</v>
      </c>
      <c r="Y17" s="582">
        <v>3914</v>
      </c>
      <c r="Z17" s="483">
        <f t="shared" si="0"/>
        <v>152467</v>
      </c>
      <c r="AA17" s="484">
        <f t="shared" si="1"/>
        <v>11385</v>
      </c>
      <c r="AB17" s="572">
        <f t="shared" si="2"/>
        <v>237.1875</v>
      </c>
      <c r="AC17" s="573">
        <f t="shared" si="3"/>
        <v>13.391919191919191</v>
      </c>
      <c r="AD17" s="574">
        <v>186475</v>
      </c>
      <c r="AE17" s="575">
        <v>13937</v>
      </c>
      <c r="AF17" s="568">
        <f t="shared" si="13"/>
        <v>-0.18237297224829066</v>
      </c>
      <c r="AG17" s="568">
        <f t="shared" si="13"/>
        <v>-0.18310970797158643</v>
      </c>
      <c r="AH17" s="606">
        <f t="shared" si="4"/>
        <v>115256</v>
      </c>
      <c r="AI17" s="607">
        <f t="shared" si="5"/>
        <v>10604</v>
      </c>
      <c r="AJ17" s="624">
        <v>267723</v>
      </c>
      <c r="AK17" s="625">
        <v>21989</v>
      </c>
      <c r="AL17" s="608">
        <f t="shared" si="6"/>
        <v>0.5177588794397199</v>
      </c>
      <c r="AM17" s="608">
        <f t="shared" si="7"/>
        <v>0.4822411205602801</v>
      </c>
      <c r="AN17" s="607">
        <f t="shared" si="8"/>
        <v>458.1041666666667</v>
      </c>
      <c r="AO17" s="609">
        <f t="shared" si="9"/>
        <v>12.17531493019237</v>
      </c>
      <c r="AP17" s="616">
        <v>339284</v>
      </c>
      <c r="AQ17" s="617">
        <v>28021</v>
      </c>
      <c r="AR17" s="608">
        <f t="shared" si="10"/>
        <v>-0.21091769726836515</v>
      </c>
      <c r="AS17" s="608">
        <f t="shared" si="11"/>
        <v>-0.21526712108775561</v>
      </c>
      <c r="AT17" s="632">
        <v>607007</v>
      </c>
      <c r="AU17" s="633">
        <v>50010</v>
      </c>
      <c r="AV17" s="612">
        <f t="shared" si="12"/>
        <v>12.1377124575085</v>
      </c>
      <c r="AW17" s="613">
        <v>41516</v>
      </c>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row>
    <row r="18" spans="1:133" s="27" customFormat="1" ht="15.75">
      <c r="A18" s="474">
        <v>10</v>
      </c>
      <c r="B18" s="402"/>
      <c r="C18" s="403"/>
      <c r="D18" s="403"/>
      <c r="E18" s="402"/>
      <c r="F18" s="403"/>
      <c r="G18" s="402"/>
      <c r="H18" s="402"/>
      <c r="I18" s="404"/>
      <c r="J18" s="410"/>
      <c r="K18" s="383" t="s">
        <v>1174</v>
      </c>
      <c r="L18" s="492" t="s">
        <v>1175</v>
      </c>
      <c r="M18" s="492" t="s">
        <v>236</v>
      </c>
      <c r="N18" s="491" t="s">
        <v>1174</v>
      </c>
      <c r="O18" s="493">
        <v>41502</v>
      </c>
      <c r="P18" s="491" t="s">
        <v>151</v>
      </c>
      <c r="Q18" s="509">
        <v>52</v>
      </c>
      <c r="R18" s="509">
        <v>50</v>
      </c>
      <c r="S18" s="509">
        <v>3</v>
      </c>
      <c r="T18" s="579">
        <v>31429.1</v>
      </c>
      <c r="U18" s="580">
        <v>2199</v>
      </c>
      <c r="V18" s="579">
        <v>33498.9</v>
      </c>
      <c r="W18" s="580">
        <v>2351</v>
      </c>
      <c r="X18" s="579">
        <v>29358.9</v>
      </c>
      <c r="Y18" s="580">
        <v>2135</v>
      </c>
      <c r="Z18" s="483">
        <f t="shared" si="0"/>
        <v>94286.9</v>
      </c>
      <c r="AA18" s="484">
        <f t="shared" si="1"/>
        <v>6685</v>
      </c>
      <c r="AB18" s="572">
        <f t="shared" si="2"/>
        <v>133.7</v>
      </c>
      <c r="AC18" s="573">
        <f t="shared" si="3"/>
        <v>14.104248317127897</v>
      </c>
      <c r="AD18" s="574">
        <v>136497.3</v>
      </c>
      <c r="AE18" s="575">
        <v>10140</v>
      </c>
      <c r="AF18" s="568">
        <f t="shared" si="13"/>
        <v>-0.3092398164652341</v>
      </c>
      <c r="AG18" s="568">
        <f t="shared" si="13"/>
        <v>-0.34072978303747536</v>
      </c>
      <c r="AH18" s="606">
        <f t="shared" si="4"/>
        <v>55688.100000000006</v>
      </c>
      <c r="AI18" s="607">
        <f t="shared" si="5"/>
        <v>4790</v>
      </c>
      <c r="AJ18" s="620">
        <v>149975</v>
      </c>
      <c r="AK18" s="621">
        <v>11475</v>
      </c>
      <c r="AL18" s="608">
        <f t="shared" si="6"/>
        <v>0.5825708061002178</v>
      </c>
      <c r="AM18" s="608">
        <f t="shared" si="7"/>
        <v>0.4174291938997821</v>
      </c>
      <c r="AN18" s="607">
        <f t="shared" si="8"/>
        <v>229.5</v>
      </c>
      <c r="AO18" s="609">
        <f t="shared" si="9"/>
        <v>13.069716775599128</v>
      </c>
      <c r="AP18" s="610">
        <v>225999.6</v>
      </c>
      <c r="AQ18" s="611">
        <v>18171</v>
      </c>
      <c r="AR18" s="608">
        <f t="shared" si="10"/>
        <v>-0.33639263078341736</v>
      </c>
      <c r="AS18" s="608">
        <f t="shared" si="11"/>
        <v>-0.3684992570579495</v>
      </c>
      <c r="AT18" s="628">
        <v>820506.63</v>
      </c>
      <c r="AU18" s="629">
        <v>63721</v>
      </c>
      <c r="AV18" s="612">
        <f t="shared" si="12"/>
        <v>12.876549803047661</v>
      </c>
      <c r="AW18" s="613">
        <v>41516</v>
      </c>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row>
    <row r="19" spans="1:133" s="27" customFormat="1" ht="15.75">
      <c r="A19" s="387">
        <v>11</v>
      </c>
      <c r="B19" s="402"/>
      <c r="C19" s="402"/>
      <c r="D19" s="402"/>
      <c r="E19" s="402"/>
      <c r="F19" s="402"/>
      <c r="G19" s="402"/>
      <c r="H19" s="402"/>
      <c r="I19" s="404"/>
      <c r="J19" s="412" t="s">
        <v>365</v>
      </c>
      <c r="K19" s="414" t="s">
        <v>1208</v>
      </c>
      <c r="L19" s="392" t="s">
        <v>1007</v>
      </c>
      <c r="M19" s="392" t="s">
        <v>92</v>
      </c>
      <c r="N19" s="392" t="s">
        <v>1209</v>
      </c>
      <c r="O19" s="495">
        <v>41516</v>
      </c>
      <c r="P19" s="491" t="s">
        <v>12</v>
      </c>
      <c r="Q19" s="509">
        <v>39</v>
      </c>
      <c r="R19" s="509">
        <v>39</v>
      </c>
      <c r="S19" s="509">
        <v>1</v>
      </c>
      <c r="T19" s="585">
        <v>22873</v>
      </c>
      <c r="U19" s="586">
        <v>1793</v>
      </c>
      <c r="V19" s="585">
        <v>29612</v>
      </c>
      <c r="W19" s="586">
        <v>2058</v>
      </c>
      <c r="X19" s="585">
        <v>25722</v>
      </c>
      <c r="Y19" s="586">
        <v>2065</v>
      </c>
      <c r="Z19" s="483">
        <f t="shared" si="0"/>
        <v>78207</v>
      </c>
      <c r="AA19" s="484">
        <f t="shared" si="1"/>
        <v>5916</v>
      </c>
      <c r="AB19" s="572">
        <f t="shared" si="2"/>
        <v>151.69230769230768</v>
      </c>
      <c r="AC19" s="573">
        <f t="shared" si="3"/>
        <v>13.219574036511156</v>
      </c>
      <c r="AD19" s="574"/>
      <c r="AE19" s="575"/>
      <c r="AF19" s="568"/>
      <c r="AG19" s="568"/>
      <c r="AH19" s="606">
        <f t="shared" si="4"/>
        <v>44727</v>
      </c>
      <c r="AI19" s="607">
        <f t="shared" si="5"/>
        <v>4416</v>
      </c>
      <c r="AJ19" s="622">
        <v>122934</v>
      </c>
      <c r="AK19" s="623">
        <v>10332</v>
      </c>
      <c r="AL19" s="608">
        <f t="shared" si="6"/>
        <v>0.5725900116144018</v>
      </c>
      <c r="AM19" s="608">
        <f t="shared" si="7"/>
        <v>0.4274099883855981</v>
      </c>
      <c r="AN19" s="607">
        <f t="shared" si="8"/>
        <v>264.9230769230769</v>
      </c>
      <c r="AO19" s="609">
        <f t="shared" si="9"/>
        <v>11.898373983739837</v>
      </c>
      <c r="AP19" s="618"/>
      <c r="AQ19" s="619"/>
      <c r="AR19" s="608">
        <f t="shared" si="10"/>
      </c>
      <c r="AS19" s="608">
        <f t="shared" si="11"/>
      </c>
      <c r="AT19" s="630">
        <v>122934</v>
      </c>
      <c r="AU19" s="631">
        <v>10332</v>
      </c>
      <c r="AV19" s="612">
        <f t="shared" si="12"/>
        <v>11.898373983739837</v>
      </c>
      <c r="AW19" s="613">
        <v>41516</v>
      </c>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row>
    <row r="20" spans="1:133" s="27" customFormat="1" ht="15.75">
      <c r="A20" s="387">
        <v>12</v>
      </c>
      <c r="B20" s="402"/>
      <c r="C20" s="402"/>
      <c r="D20" s="403"/>
      <c r="E20" s="402"/>
      <c r="F20" s="403"/>
      <c r="G20" s="402"/>
      <c r="H20" s="403"/>
      <c r="I20" s="404"/>
      <c r="J20" s="405"/>
      <c r="K20" s="415" t="s">
        <v>1194</v>
      </c>
      <c r="L20" s="496" t="s">
        <v>1195</v>
      </c>
      <c r="M20" s="492" t="s">
        <v>1196</v>
      </c>
      <c r="N20" s="496" t="s">
        <v>1193</v>
      </c>
      <c r="O20" s="495">
        <v>41509</v>
      </c>
      <c r="P20" s="491" t="s">
        <v>8</v>
      </c>
      <c r="Q20" s="556">
        <v>30</v>
      </c>
      <c r="R20" s="423">
        <v>30</v>
      </c>
      <c r="S20" s="423">
        <v>2</v>
      </c>
      <c r="T20" s="581">
        <v>14619</v>
      </c>
      <c r="U20" s="582">
        <v>1183</v>
      </c>
      <c r="V20" s="581">
        <v>14838</v>
      </c>
      <c r="W20" s="582">
        <v>1179</v>
      </c>
      <c r="X20" s="581">
        <v>18162</v>
      </c>
      <c r="Y20" s="582">
        <v>1467</v>
      </c>
      <c r="Z20" s="483">
        <f t="shared" si="0"/>
        <v>47619</v>
      </c>
      <c r="AA20" s="484">
        <f t="shared" si="1"/>
        <v>3829</v>
      </c>
      <c r="AB20" s="572">
        <f t="shared" si="2"/>
        <v>127.63333333333334</v>
      </c>
      <c r="AC20" s="573">
        <f t="shared" si="3"/>
        <v>12.436406372420997</v>
      </c>
      <c r="AD20" s="574">
        <v>71492</v>
      </c>
      <c r="AE20" s="575">
        <v>5689</v>
      </c>
      <c r="AF20" s="568">
        <f>IF(AD20&lt;&gt;0,-(AD20-Z20)/AD20,"")</f>
        <v>-0.3339254741789291</v>
      </c>
      <c r="AG20" s="568">
        <f>IF(AE20&lt;&gt;0,-(AE20-AA20)/AE20,"")</f>
        <v>-0.32694673932149765</v>
      </c>
      <c r="AH20" s="606">
        <f t="shared" si="4"/>
        <v>39643</v>
      </c>
      <c r="AI20" s="607">
        <f t="shared" si="5"/>
        <v>3924</v>
      </c>
      <c r="AJ20" s="624">
        <v>87262</v>
      </c>
      <c r="AK20" s="625">
        <v>7753</v>
      </c>
      <c r="AL20" s="608">
        <f t="shared" si="6"/>
        <v>0.4938733393525087</v>
      </c>
      <c r="AM20" s="608">
        <f t="shared" si="7"/>
        <v>0.5061266606474913</v>
      </c>
      <c r="AN20" s="607">
        <f t="shared" si="8"/>
        <v>258.43333333333334</v>
      </c>
      <c r="AO20" s="609">
        <f t="shared" si="9"/>
        <v>11.2552560299239</v>
      </c>
      <c r="AP20" s="614">
        <v>133320</v>
      </c>
      <c r="AQ20" s="615">
        <v>11908</v>
      </c>
      <c r="AR20" s="608">
        <f t="shared" si="10"/>
        <v>-0.34546954695469545</v>
      </c>
      <c r="AS20" s="608">
        <f t="shared" si="11"/>
        <v>-0.348925092374874</v>
      </c>
      <c r="AT20" s="632">
        <v>220582</v>
      </c>
      <c r="AU20" s="633">
        <v>19661</v>
      </c>
      <c r="AV20" s="612">
        <f t="shared" si="12"/>
        <v>11.219266568333248</v>
      </c>
      <c r="AW20" s="613">
        <v>41516</v>
      </c>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row>
    <row r="21" spans="1:133" s="27" customFormat="1" ht="15.75">
      <c r="A21" s="387">
        <v>13</v>
      </c>
      <c r="B21" s="402"/>
      <c r="C21" s="402"/>
      <c r="D21" s="403">
        <v>3</v>
      </c>
      <c r="E21" s="402">
        <v>2</v>
      </c>
      <c r="F21" s="403"/>
      <c r="G21" s="402"/>
      <c r="H21" s="403"/>
      <c r="I21" s="404"/>
      <c r="J21" s="412" t="s">
        <v>365</v>
      </c>
      <c r="K21" s="415" t="s">
        <v>1213</v>
      </c>
      <c r="L21" s="496" t="s">
        <v>1215</v>
      </c>
      <c r="M21" s="492" t="s">
        <v>400</v>
      </c>
      <c r="N21" s="496" t="s">
        <v>1214</v>
      </c>
      <c r="O21" s="495">
        <v>41516</v>
      </c>
      <c r="P21" s="491" t="s">
        <v>8</v>
      </c>
      <c r="Q21" s="556">
        <v>41</v>
      </c>
      <c r="R21" s="423">
        <v>41</v>
      </c>
      <c r="S21" s="423">
        <v>1</v>
      </c>
      <c r="T21" s="581">
        <v>9750</v>
      </c>
      <c r="U21" s="582">
        <v>803</v>
      </c>
      <c r="V21" s="581">
        <v>12690</v>
      </c>
      <c r="W21" s="582">
        <v>1061</v>
      </c>
      <c r="X21" s="581">
        <v>13941</v>
      </c>
      <c r="Y21" s="582">
        <v>1202</v>
      </c>
      <c r="Z21" s="483">
        <f t="shared" si="0"/>
        <v>36381</v>
      </c>
      <c r="AA21" s="484">
        <f t="shared" si="1"/>
        <v>3066</v>
      </c>
      <c r="AB21" s="572">
        <f t="shared" si="2"/>
        <v>74.78048780487805</v>
      </c>
      <c r="AC21" s="573">
        <f t="shared" si="3"/>
        <v>11.865949119373777</v>
      </c>
      <c r="AD21" s="574"/>
      <c r="AE21" s="575"/>
      <c r="AF21" s="568"/>
      <c r="AG21" s="568"/>
      <c r="AH21" s="606">
        <f t="shared" si="4"/>
        <v>30898</v>
      </c>
      <c r="AI21" s="607">
        <f t="shared" si="5"/>
        <v>3111</v>
      </c>
      <c r="AJ21" s="624">
        <v>67279</v>
      </c>
      <c r="AK21" s="625">
        <v>6177</v>
      </c>
      <c r="AL21" s="608">
        <f t="shared" si="6"/>
        <v>0.4963574550752793</v>
      </c>
      <c r="AM21" s="608">
        <f t="shared" si="7"/>
        <v>0.5036425449247207</v>
      </c>
      <c r="AN21" s="607">
        <f t="shared" si="8"/>
        <v>150.65853658536585</v>
      </c>
      <c r="AO21" s="609">
        <f t="shared" si="9"/>
        <v>10.89185688845718</v>
      </c>
      <c r="AP21" s="614"/>
      <c r="AQ21" s="615"/>
      <c r="AR21" s="608">
        <f t="shared" si="10"/>
      </c>
      <c r="AS21" s="608">
        <f t="shared" si="11"/>
      </c>
      <c r="AT21" s="632">
        <v>67279</v>
      </c>
      <c r="AU21" s="633">
        <v>6177</v>
      </c>
      <c r="AV21" s="612">
        <f t="shared" si="12"/>
        <v>10.89185688845718</v>
      </c>
      <c r="AW21" s="613">
        <v>41516</v>
      </c>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row>
    <row r="22" spans="1:133" s="27" customFormat="1" ht="15.75">
      <c r="A22" s="474">
        <v>14</v>
      </c>
      <c r="B22" s="402"/>
      <c r="C22" s="402" t="s">
        <v>94</v>
      </c>
      <c r="D22" s="402">
        <v>3</v>
      </c>
      <c r="E22" s="402">
        <v>2</v>
      </c>
      <c r="F22" s="402"/>
      <c r="G22" s="402"/>
      <c r="H22" s="402"/>
      <c r="I22" s="406"/>
      <c r="J22" s="410"/>
      <c r="K22" s="414" t="s">
        <v>1129</v>
      </c>
      <c r="L22" s="492" t="s">
        <v>80</v>
      </c>
      <c r="M22" s="490" t="s">
        <v>69</v>
      </c>
      <c r="N22" s="494" t="s">
        <v>1130</v>
      </c>
      <c r="O22" s="493">
        <v>41451</v>
      </c>
      <c r="P22" s="491" t="s">
        <v>59</v>
      </c>
      <c r="Q22" s="509">
        <v>150</v>
      </c>
      <c r="R22" s="509">
        <v>38</v>
      </c>
      <c r="S22" s="509">
        <v>6</v>
      </c>
      <c r="T22" s="590">
        <v>11838</v>
      </c>
      <c r="U22" s="591">
        <v>1182</v>
      </c>
      <c r="V22" s="590">
        <v>12765.5</v>
      </c>
      <c r="W22" s="591">
        <v>1289</v>
      </c>
      <c r="X22" s="590">
        <v>14472.5</v>
      </c>
      <c r="Y22" s="591">
        <v>1500</v>
      </c>
      <c r="Z22" s="483">
        <f t="shared" si="0"/>
        <v>39076</v>
      </c>
      <c r="AA22" s="484">
        <f t="shared" si="1"/>
        <v>3971</v>
      </c>
      <c r="AB22" s="572">
        <f t="shared" si="2"/>
        <v>104.5</v>
      </c>
      <c r="AC22" s="573">
        <f t="shared" si="3"/>
        <v>9.840342483001763</v>
      </c>
      <c r="AD22" s="574">
        <v>67371.4</v>
      </c>
      <c r="AE22" s="575">
        <v>8836</v>
      </c>
      <c r="AF22" s="568">
        <f aca="true" t="shared" si="14" ref="AF22:AG29">IF(AD22&lt;&gt;0,-(AD22-Z22)/AD22,"")</f>
        <v>-0.41999127226092964</v>
      </c>
      <c r="AG22" s="568">
        <f t="shared" si="14"/>
        <v>-0.5505885015844273</v>
      </c>
      <c r="AH22" s="606">
        <f t="shared" si="4"/>
        <v>27031.929999999993</v>
      </c>
      <c r="AI22" s="607">
        <f t="shared" si="5"/>
        <v>3100</v>
      </c>
      <c r="AJ22" s="626">
        <v>66107.93</v>
      </c>
      <c r="AK22" s="627">
        <v>7071</v>
      </c>
      <c r="AL22" s="608">
        <f t="shared" si="6"/>
        <v>0.561589591288361</v>
      </c>
      <c r="AM22" s="608">
        <f t="shared" si="7"/>
        <v>0.4384104087116391</v>
      </c>
      <c r="AN22" s="607">
        <f t="shared" si="8"/>
        <v>186.07894736842104</v>
      </c>
      <c r="AO22" s="609">
        <f t="shared" si="9"/>
        <v>9.349162777542073</v>
      </c>
      <c r="AP22" s="614">
        <v>130438.96</v>
      </c>
      <c r="AQ22" s="615">
        <v>17732</v>
      </c>
      <c r="AR22" s="608">
        <f t="shared" si="10"/>
        <v>-0.4931887681410524</v>
      </c>
      <c r="AS22" s="608">
        <f t="shared" si="11"/>
        <v>-0.6012294157455448</v>
      </c>
      <c r="AT22" s="634">
        <f>8309.5+2056514.25+1217497.2+1057216.56+459620.14+130854.96+66107.93</f>
        <v>4996120.539999999</v>
      </c>
      <c r="AU22" s="635">
        <f>579+175704+102950+95381+40463+17801+7071</f>
        <v>439949</v>
      </c>
      <c r="AV22" s="612">
        <f t="shared" si="12"/>
        <v>11.356135688454795</v>
      </c>
      <c r="AW22" s="613">
        <v>41516</v>
      </c>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s="25" customFormat="1" ht="15.75">
      <c r="A23" s="387">
        <v>15</v>
      </c>
      <c r="B23" s="402"/>
      <c r="C23" s="403"/>
      <c r="D23" s="403"/>
      <c r="E23" s="402"/>
      <c r="F23" s="403"/>
      <c r="G23" s="402"/>
      <c r="H23" s="402"/>
      <c r="I23" s="404"/>
      <c r="J23" s="410"/>
      <c r="K23" s="383" t="s">
        <v>1188</v>
      </c>
      <c r="L23" s="492" t="s">
        <v>1190</v>
      </c>
      <c r="M23" s="491" t="s">
        <v>313</v>
      </c>
      <c r="N23" s="491" t="s">
        <v>1189</v>
      </c>
      <c r="O23" s="495">
        <v>41509</v>
      </c>
      <c r="P23" s="491" t="s">
        <v>139</v>
      </c>
      <c r="Q23" s="509">
        <v>20</v>
      </c>
      <c r="R23" s="509">
        <v>20</v>
      </c>
      <c r="S23" s="509">
        <v>2</v>
      </c>
      <c r="T23" s="574">
        <v>11554</v>
      </c>
      <c r="U23" s="575">
        <v>843</v>
      </c>
      <c r="V23" s="574">
        <v>12024.95</v>
      </c>
      <c r="W23" s="575">
        <v>901</v>
      </c>
      <c r="X23" s="574">
        <v>11970.869999999999</v>
      </c>
      <c r="Y23" s="575">
        <v>917</v>
      </c>
      <c r="Z23" s="483">
        <f t="shared" si="0"/>
        <v>35549.82</v>
      </c>
      <c r="AA23" s="484">
        <f t="shared" si="1"/>
        <v>2661</v>
      </c>
      <c r="AB23" s="572">
        <f t="shared" si="2"/>
        <v>133.05</v>
      </c>
      <c r="AC23" s="573">
        <f t="shared" si="3"/>
        <v>13.35957158962796</v>
      </c>
      <c r="AD23" s="574">
        <v>48971</v>
      </c>
      <c r="AE23" s="575">
        <v>3614</v>
      </c>
      <c r="AF23" s="568">
        <f t="shared" si="14"/>
        <v>-0.27406383369749443</v>
      </c>
      <c r="AG23" s="568">
        <f t="shared" si="14"/>
        <v>-0.2636967349197565</v>
      </c>
      <c r="AH23" s="606">
        <f t="shared" si="4"/>
        <v>22692.810000000005</v>
      </c>
      <c r="AI23" s="607">
        <f t="shared" si="5"/>
        <v>2119</v>
      </c>
      <c r="AJ23" s="622">
        <v>58242.630000000005</v>
      </c>
      <c r="AK23" s="623">
        <v>4780</v>
      </c>
      <c r="AL23" s="608">
        <f t="shared" si="6"/>
        <v>0.5566945606694561</v>
      </c>
      <c r="AM23" s="608">
        <f t="shared" si="7"/>
        <v>0.44330543933054395</v>
      </c>
      <c r="AN23" s="607">
        <f t="shared" si="8"/>
        <v>239</v>
      </c>
      <c r="AO23" s="609">
        <f t="shared" si="9"/>
        <v>12.184650627615063</v>
      </c>
      <c r="AP23" s="616">
        <v>83609.73</v>
      </c>
      <c r="AQ23" s="617">
        <v>6814</v>
      </c>
      <c r="AR23" s="608">
        <f t="shared" si="10"/>
        <v>-0.303398898668851</v>
      </c>
      <c r="AS23" s="608">
        <f t="shared" si="11"/>
        <v>-0.298503081890226</v>
      </c>
      <c r="AT23" s="630">
        <v>141852.36</v>
      </c>
      <c r="AU23" s="631">
        <v>11594</v>
      </c>
      <c r="AV23" s="612">
        <f t="shared" si="12"/>
        <v>12.234980162152837</v>
      </c>
      <c r="AW23" s="613">
        <v>41516</v>
      </c>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s="27" customFormat="1" ht="15.75">
      <c r="A24" s="387">
        <v>16</v>
      </c>
      <c r="B24" s="402"/>
      <c r="C24" s="402"/>
      <c r="D24" s="402"/>
      <c r="E24" s="402"/>
      <c r="F24" s="402"/>
      <c r="G24" s="402"/>
      <c r="H24" s="402" t="s">
        <v>48</v>
      </c>
      <c r="I24" s="404"/>
      <c r="J24" s="407"/>
      <c r="K24" s="383" t="s">
        <v>1179</v>
      </c>
      <c r="L24" s="491" t="s">
        <v>1180</v>
      </c>
      <c r="M24" s="491"/>
      <c r="N24" s="491" t="s">
        <v>1179</v>
      </c>
      <c r="O24" s="493">
        <v>41502</v>
      </c>
      <c r="P24" s="491" t="s">
        <v>47</v>
      </c>
      <c r="Q24" s="509">
        <v>56</v>
      </c>
      <c r="R24" s="556">
        <v>38</v>
      </c>
      <c r="S24" s="556">
        <v>3</v>
      </c>
      <c r="T24" s="585">
        <v>7765.5</v>
      </c>
      <c r="U24" s="586">
        <v>924</v>
      </c>
      <c r="V24" s="585">
        <v>8531</v>
      </c>
      <c r="W24" s="586">
        <v>1014</v>
      </c>
      <c r="X24" s="585">
        <v>13630</v>
      </c>
      <c r="Y24" s="586">
        <v>1571</v>
      </c>
      <c r="Z24" s="483">
        <f t="shared" si="0"/>
        <v>29926.5</v>
      </c>
      <c r="AA24" s="484">
        <f t="shared" si="1"/>
        <v>3509</v>
      </c>
      <c r="AB24" s="572">
        <f t="shared" si="2"/>
        <v>92.34210526315789</v>
      </c>
      <c r="AC24" s="573">
        <f t="shared" si="3"/>
        <v>8.528498147620404</v>
      </c>
      <c r="AD24" s="574">
        <v>46610.5</v>
      </c>
      <c r="AE24" s="575">
        <v>5243</v>
      </c>
      <c r="AF24" s="568">
        <f t="shared" si="14"/>
        <v>-0.35794509820748543</v>
      </c>
      <c r="AG24" s="568">
        <f t="shared" si="14"/>
        <v>-0.33072668319664317</v>
      </c>
      <c r="AH24" s="606">
        <f t="shared" si="4"/>
        <v>24847.08</v>
      </c>
      <c r="AI24" s="607">
        <f t="shared" si="5"/>
        <v>3454</v>
      </c>
      <c r="AJ24" s="622">
        <v>54773.58</v>
      </c>
      <c r="AK24" s="623">
        <v>6963</v>
      </c>
      <c r="AL24" s="608">
        <f t="shared" si="6"/>
        <v>0.5039494470774092</v>
      </c>
      <c r="AM24" s="608">
        <f t="shared" si="7"/>
        <v>0.4960505529225908</v>
      </c>
      <c r="AN24" s="607">
        <f t="shared" si="8"/>
        <v>183.23684210526315</v>
      </c>
      <c r="AO24" s="609">
        <f t="shared" si="9"/>
        <v>7.866376561826799</v>
      </c>
      <c r="AP24" s="614">
        <v>84148</v>
      </c>
      <c r="AQ24" s="615">
        <v>10129</v>
      </c>
      <c r="AR24" s="608">
        <f t="shared" si="10"/>
        <v>-0.3490804297190664</v>
      </c>
      <c r="AS24" s="608">
        <f t="shared" si="11"/>
        <v>-0.31256787441998224</v>
      </c>
      <c r="AT24" s="630">
        <f>114504.36+84148+54773.58</f>
        <v>253425.94</v>
      </c>
      <c r="AU24" s="631">
        <f>13567+10129+6963</f>
        <v>30659</v>
      </c>
      <c r="AV24" s="612">
        <f t="shared" si="12"/>
        <v>8.265955836785283</v>
      </c>
      <c r="AW24" s="613">
        <v>41516</v>
      </c>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s="25" customFormat="1" ht="15.75">
      <c r="A25" s="387">
        <v>17</v>
      </c>
      <c r="B25" s="402"/>
      <c r="C25" s="402"/>
      <c r="D25" s="402"/>
      <c r="E25" s="402"/>
      <c r="F25" s="402"/>
      <c r="G25" s="402"/>
      <c r="H25" s="402"/>
      <c r="I25" s="406"/>
      <c r="J25" s="410"/>
      <c r="K25" s="414" t="s">
        <v>1147</v>
      </c>
      <c r="L25" s="492" t="s">
        <v>1148</v>
      </c>
      <c r="M25" s="490" t="s">
        <v>67</v>
      </c>
      <c r="N25" s="494" t="s">
        <v>1147</v>
      </c>
      <c r="O25" s="493">
        <v>41488</v>
      </c>
      <c r="P25" s="390" t="s">
        <v>59</v>
      </c>
      <c r="Q25" s="509">
        <v>125</v>
      </c>
      <c r="R25" s="509">
        <v>59</v>
      </c>
      <c r="S25" s="509">
        <v>5</v>
      </c>
      <c r="T25" s="590">
        <v>9734</v>
      </c>
      <c r="U25" s="591">
        <v>926</v>
      </c>
      <c r="V25" s="590">
        <v>9226.5</v>
      </c>
      <c r="W25" s="591">
        <v>871</v>
      </c>
      <c r="X25" s="590">
        <v>10391.5</v>
      </c>
      <c r="Y25" s="591">
        <v>1029</v>
      </c>
      <c r="Z25" s="483">
        <f t="shared" si="0"/>
        <v>29352</v>
      </c>
      <c r="AA25" s="484">
        <f t="shared" si="1"/>
        <v>2826</v>
      </c>
      <c r="AB25" s="572">
        <f t="shared" si="2"/>
        <v>47.898305084745765</v>
      </c>
      <c r="AC25" s="573">
        <f t="shared" si="3"/>
        <v>10.386411889596603</v>
      </c>
      <c r="AD25" s="574">
        <v>68579.74</v>
      </c>
      <c r="AE25" s="575">
        <v>6613</v>
      </c>
      <c r="AF25" s="568">
        <f t="shared" si="14"/>
        <v>-0.572001876939166</v>
      </c>
      <c r="AG25" s="568">
        <f t="shared" si="14"/>
        <v>-0.5726599122939664</v>
      </c>
      <c r="AH25" s="606">
        <f t="shared" si="4"/>
        <v>22670.699999999997</v>
      </c>
      <c r="AI25" s="607">
        <f t="shared" si="5"/>
        <v>2604</v>
      </c>
      <c r="AJ25" s="626">
        <v>52022.7</v>
      </c>
      <c r="AK25" s="627">
        <v>5430</v>
      </c>
      <c r="AL25" s="608">
        <f t="shared" si="6"/>
        <v>0.5204419889502763</v>
      </c>
      <c r="AM25" s="608">
        <f t="shared" si="7"/>
        <v>0.47955801104972373</v>
      </c>
      <c r="AN25" s="607">
        <f t="shared" si="8"/>
        <v>92.03389830508475</v>
      </c>
      <c r="AO25" s="609">
        <f t="shared" si="9"/>
        <v>9.580607734806629</v>
      </c>
      <c r="AP25" s="614">
        <v>124160.55</v>
      </c>
      <c r="AQ25" s="615">
        <v>12812</v>
      </c>
      <c r="AR25" s="608">
        <f t="shared" si="10"/>
        <v>-0.5810045944545188</v>
      </c>
      <c r="AS25" s="608">
        <f t="shared" si="11"/>
        <v>-0.5761785825788324</v>
      </c>
      <c r="AT25" s="634">
        <f>770+483988.89+387526.56+275331.41+124160.55+52022.7</f>
        <v>1323800.1099999999</v>
      </c>
      <c r="AU25" s="635">
        <f>77+42880+37444+25809+12812+5430</f>
        <v>124452</v>
      </c>
      <c r="AV25" s="612">
        <f t="shared" si="12"/>
        <v>10.637033635457847</v>
      </c>
      <c r="AW25" s="613">
        <v>41516</v>
      </c>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s="25" customFormat="1" ht="15.75">
      <c r="A26" s="474">
        <v>18</v>
      </c>
      <c r="B26" s="402"/>
      <c r="C26" s="402"/>
      <c r="D26" s="403"/>
      <c r="E26" s="402"/>
      <c r="F26" s="403"/>
      <c r="G26" s="402"/>
      <c r="H26" s="403"/>
      <c r="I26" s="404"/>
      <c r="J26" s="405"/>
      <c r="K26" s="415" t="s">
        <v>1191</v>
      </c>
      <c r="L26" s="496" t="s">
        <v>780</v>
      </c>
      <c r="M26" s="492" t="s">
        <v>400</v>
      </c>
      <c r="N26" s="496" t="s">
        <v>1192</v>
      </c>
      <c r="O26" s="495">
        <v>41509</v>
      </c>
      <c r="P26" s="491" t="s">
        <v>8</v>
      </c>
      <c r="Q26" s="556">
        <v>20</v>
      </c>
      <c r="R26" s="423">
        <v>20</v>
      </c>
      <c r="S26" s="423">
        <v>2</v>
      </c>
      <c r="T26" s="581">
        <v>9601</v>
      </c>
      <c r="U26" s="582">
        <v>654</v>
      </c>
      <c r="V26" s="581">
        <v>11135</v>
      </c>
      <c r="W26" s="582">
        <v>750</v>
      </c>
      <c r="X26" s="581">
        <v>8363</v>
      </c>
      <c r="Y26" s="582">
        <v>599</v>
      </c>
      <c r="Z26" s="483">
        <f t="shared" si="0"/>
        <v>29099</v>
      </c>
      <c r="AA26" s="484">
        <f t="shared" si="1"/>
        <v>2003</v>
      </c>
      <c r="AB26" s="572">
        <f t="shared" si="2"/>
        <v>100.15</v>
      </c>
      <c r="AC26" s="573">
        <f t="shared" si="3"/>
        <v>14.527708437343984</v>
      </c>
      <c r="AD26" s="574">
        <v>49309</v>
      </c>
      <c r="AE26" s="575">
        <v>3287</v>
      </c>
      <c r="AF26" s="568">
        <f t="shared" si="14"/>
        <v>-0.4098643249711006</v>
      </c>
      <c r="AG26" s="568">
        <f t="shared" si="14"/>
        <v>-0.39062975357468815</v>
      </c>
      <c r="AH26" s="606">
        <f t="shared" si="4"/>
        <v>15207</v>
      </c>
      <c r="AI26" s="607">
        <f t="shared" si="5"/>
        <v>1289</v>
      </c>
      <c r="AJ26" s="624">
        <v>44306</v>
      </c>
      <c r="AK26" s="625">
        <v>3292</v>
      </c>
      <c r="AL26" s="608">
        <f t="shared" si="6"/>
        <v>0.6084447144592953</v>
      </c>
      <c r="AM26" s="608">
        <f t="shared" si="7"/>
        <v>0.39155528554070473</v>
      </c>
      <c r="AN26" s="607">
        <f t="shared" si="8"/>
        <v>164.6</v>
      </c>
      <c r="AO26" s="609">
        <f t="shared" si="9"/>
        <v>13.45868772782503</v>
      </c>
      <c r="AP26" s="614">
        <v>77040</v>
      </c>
      <c r="AQ26" s="615">
        <v>5531</v>
      </c>
      <c r="AR26" s="608">
        <f t="shared" si="10"/>
        <v>-0.42489615784008306</v>
      </c>
      <c r="AS26" s="608">
        <f t="shared" si="11"/>
        <v>-0.4048092569155668</v>
      </c>
      <c r="AT26" s="632">
        <v>121346</v>
      </c>
      <c r="AU26" s="633">
        <v>8823</v>
      </c>
      <c r="AV26" s="612">
        <f t="shared" si="12"/>
        <v>13.753371868978805</v>
      </c>
      <c r="AW26" s="613">
        <v>41516</v>
      </c>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s="25" customFormat="1" ht="15.75">
      <c r="A27" s="387">
        <v>19</v>
      </c>
      <c r="B27" s="402"/>
      <c r="C27" s="402"/>
      <c r="D27" s="402"/>
      <c r="E27" s="402"/>
      <c r="F27" s="402"/>
      <c r="G27" s="402"/>
      <c r="H27" s="402"/>
      <c r="I27" s="406"/>
      <c r="J27" s="410"/>
      <c r="K27" s="414" t="s">
        <v>1127</v>
      </c>
      <c r="L27" s="492" t="s">
        <v>1128</v>
      </c>
      <c r="M27" s="490" t="s">
        <v>313</v>
      </c>
      <c r="N27" s="494" t="s">
        <v>1126</v>
      </c>
      <c r="O27" s="493">
        <v>41481</v>
      </c>
      <c r="P27" s="491" t="s">
        <v>59</v>
      </c>
      <c r="Q27" s="509">
        <v>42</v>
      </c>
      <c r="R27" s="509">
        <v>33</v>
      </c>
      <c r="S27" s="509">
        <v>6</v>
      </c>
      <c r="T27" s="590">
        <v>4319</v>
      </c>
      <c r="U27" s="591">
        <v>515</v>
      </c>
      <c r="V27" s="590">
        <v>5117.5</v>
      </c>
      <c r="W27" s="591">
        <v>604</v>
      </c>
      <c r="X27" s="590">
        <v>5995</v>
      </c>
      <c r="Y27" s="591">
        <v>698</v>
      </c>
      <c r="Z27" s="483">
        <f t="shared" si="0"/>
        <v>15431.5</v>
      </c>
      <c r="AA27" s="484">
        <f t="shared" si="1"/>
        <v>1817</v>
      </c>
      <c r="AB27" s="572">
        <f t="shared" si="2"/>
        <v>55.06060606060606</v>
      </c>
      <c r="AC27" s="573">
        <f t="shared" si="3"/>
        <v>8.492845349477161</v>
      </c>
      <c r="AD27" s="574">
        <v>19150</v>
      </c>
      <c r="AE27" s="575">
        <v>2244</v>
      </c>
      <c r="AF27" s="568">
        <f t="shared" si="14"/>
        <v>-0.194177545691906</v>
      </c>
      <c r="AG27" s="568">
        <f t="shared" si="14"/>
        <v>-0.19028520499108734</v>
      </c>
      <c r="AH27" s="606">
        <f t="shared" si="4"/>
        <v>13249.5</v>
      </c>
      <c r="AI27" s="607">
        <f t="shared" si="5"/>
        <v>1708</v>
      </c>
      <c r="AJ27" s="626">
        <v>28681</v>
      </c>
      <c r="AK27" s="627">
        <v>3525</v>
      </c>
      <c r="AL27" s="608">
        <f t="shared" si="6"/>
        <v>0.5154609929078015</v>
      </c>
      <c r="AM27" s="608">
        <f t="shared" si="7"/>
        <v>0.4845390070921986</v>
      </c>
      <c r="AN27" s="607">
        <f t="shared" si="8"/>
        <v>106.81818181818181</v>
      </c>
      <c r="AO27" s="609">
        <f t="shared" si="9"/>
        <v>8.13645390070922</v>
      </c>
      <c r="AP27" s="614">
        <v>40698.87</v>
      </c>
      <c r="AQ27" s="615">
        <v>5196</v>
      </c>
      <c r="AR27" s="608">
        <f t="shared" si="10"/>
        <v>-0.2952875595808926</v>
      </c>
      <c r="AS27" s="608">
        <f t="shared" si="11"/>
        <v>-0.3215935334872979</v>
      </c>
      <c r="AT27" s="634">
        <f>190439.85+132666.13+70432.07+36924.7+40698.87+28681</f>
        <v>499842.62</v>
      </c>
      <c r="AU27" s="635">
        <f>16217+10795+6870+4371+5196+3525</f>
        <v>46974</v>
      </c>
      <c r="AV27" s="612">
        <f t="shared" si="12"/>
        <v>10.640835781496147</v>
      </c>
      <c r="AW27" s="613">
        <v>41516</v>
      </c>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s="25" customFormat="1" ht="15.75">
      <c r="A28" s="387">
        <v>20</v>
      </c>
      <c r="B28" s="402"/>
      <c r="C28" s="402" t="s">
        <v>94</v>
      </c>
      <c r="D28" s="402">
        <v>3</v>
      </c>
      <c r="E28" s="402">
        <v>2</v>
      </c>
      <c r="F28" s="402"/>
      <c r="G28" s="402"/>
      <c r="H28" s="402"/>
      <c r="I28" s="404"/>
      <c r="J28" s="407"/>
      <c r="K28" s="414" t="s">
        <v>1071</v>
      </c>
      <c r="L28" s="392" t="s">
        <v>71</v>
      </c>
      <c r="M28" s="490" t="s">
        <v>72</v>
      </c>
      <c r="N28" s="392" t="s">
        <v>1070</v>
      </c>
      <c r="O28" s="495">
        <v>41460</v>
      </c>
      <c r="P28" s="491" t="s">
        <v>12</v>
      </c>
      <c r="Q28" s="509">
        <v>143</v>
      </c>
      <c r="R28" s="509">
        <v>18</v>
      </c>
      <c r="S28" s="509">
        <v>9</v>
      </c>
      <c r="T28" s="585">
        <v>2034</v>
      </c>
      <c r="U28" s="586">
        <v>279</v>
      </c>
      <c r="V28" s="585">
        <v>1999</v>
      </c>
      <c r="W28" s="586">
        <v>276</v>
      </c>
      <c r="X28" s="585">
        <v>2543</v>
      </c>
      <c r="Y28" s="586">
        <v>352</v>
      </c>
      <c r="Z28" s="483">
        <f t="shared" si="0"/>
        <v>6576</v>
      </c>
      <c r="AA28" s="484">
        <f t="shared" si="1"/>
        <v>907</v>
      </c>
      <c r="AB28" s="572">
        <f t="shared" si="2"/>
        <v>50.388888888888886</v>
      </c>
      <c r="AC28" s="573">
        <f t="shared" si="3"/>
        <v>7.250275633958104</v>
      </c>
      <c r="AD28" s="574">
        <v>11792</v>
      </c>
      <c r="AE28" s="575">
        <v>1604</v>
      </c>
      <c r="AF28" s="568">
        <f t="shared" si="14"/>
        <v>-0.4423337856173677</v>
      </c>
      <c r="AG28" s="568">
        <f t="shared" si="14"/>
        <v>-0.43453865336658354</v>
      </c>
      <c r="AH28" s="606">
        <f t="shared" si="4"/>
        <v>21567</v>
      </c>
      <c r="AI28" s="607">
        <f t="shared" si="5"/>
        <v>3478</v>
      </c>
      <c r="AJ28" s="622">
        <v>28143</v>
      </c>
      <c r="AK28" s="623">
        <v>4385</v>
      </c>
      <c r="AL28" s="608">
        <f t="shared" si="6"/>
        <v>0.20684150513112884</v>
      </c>
      <c r="AM28" s="608">
        <f t="shared" si="7"/>
        <v>0.7931584948688711</v>
      </c>
      <c r="AN28" s="607">
        <f t="shared" si="8"/>
        <v>243.61111111111111</v>
      </c>
      <c r="AO28" s="609">
        <f t="shared" si="9"/>
        <v>6.418015963511973</v>
      </c>
      <c r="AP28" s="618">
        <v>25100</v>
      </c>
      <c r="AQ28" s="619">
        <v>3494</v>
      </c>
      <c r="AR28" s="608">
        <f t="shared" si="10"/>
        <v>0.12123505976095618</v>
      </c>
      <c r="AS28" s="608">
        <f t="shared" si="11"/>
        <v>0.25500858614768174</v>
      </c>
      <c r="AT28" s="630">
        <v>3035705</v>
      </c>
      <c r="AU28" s="631">
        <v>304547</v>
      </c>
      <c r="AV28" s="612">
        <f t="shared" si="12"/>
        <v>9.967935983608442</v>
      </c>
      <c r="AW28" s="613">
        <v>41516</v>
      </c>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s="25" customFormat="1" ht="15.75">
      <c r="A29" s="387">
        <v>21</v>
      </c>
      <c r="B29" s="402"/>
      <c r="C29" s="402"/>
      <c r="D29" s="402"/>
      <c r="E29" s="402"/>
      <c r="F29" s="402"/>
      <c r="G29" s="402"/>
      <c r="H29" s="402"/>
      <c r="I29" s="406"/>
      <c r="J29" s="410"/>
      <c r="K29" s="414" t="s">
        <v>1157</v>
      </c>
      <c r="L29" s="492" t="s">
        <v>1159</v>
      </c>
      <c r="M29" s="490" t="s">
        <v>69</v>
      </c>
      <c r="N29" s="494" t="s">
        <v>1158</v>
      </c>
      <c r="O29" s="493">
        <v>41495</v>
      </c>
      <c r="P29" s="491" t="s">
        <v>59</v>
      </c>
      <c r="Q29" s="509">
        <v>56</v>
      </c>
      <c r="R29" s="509">
        <v>43</v>
      </c>
      <c r="S29" s="509">
        <v>5</v>
      </c>
      <c r="T29" s="590">
        <v>3980</v>
      </c>
      <c r="U29" s="591">
        <v>450</v>
      </c>
      <c r="V29" s="590">
        <v>4229.5</v>
      </c>
      <c r="W29" s="591">
        <v>484</v>
      </c>
      <c r="X29" s="590">
        <v>4809.5</v>
      </c>
      <c r="Y29" s="591">
        <v>575</v>
      </c>
      <c r="Z29" s="483">
        <f t="shared" si="0"/>
        <v>13019</v>
      </c>
      <c r="AA29" s="484">
        <f t="shared" si="1"/>
        <v>1509</v>
      </c>
      <c r="AB29" s="572">
        <f t="shared" si="2"/>
        <v>35.093023255813954</v>
      </c>
      <c r="AC29" s="573">
        <f t="shared" si="3"/>
        <v>8.627567925778662</v>
      </c>
      <c r="AD29" s="574">
        <v>22561.29</v>
      </c>
      <c r="AE29" s="575">
        <v>2241</v>
      </c>
      <c r="AF29" s="568">
        <f t="shared" si="14"/>
        <v>-0.42294966289604896</v>
      </c>
      <c r="AG29" s="568">
        <f t="shared" si="14"/>
        <v>-0.32663989290495316</v>
      </c>
      <c r="AH29" s="606">
        <f t="shared" si="4"/>
        <v>13387.580000000002</v>
      </c>
      <c r="AI29" s="607">
        <f t="shared" si="5"/>
        <v>1705</v>
      </c>
      <c r="AJ29" s="626">
        <v>26406.58</v>
      </c>
      <c r="AK29" s="627">
        <v>3214</v>
      </c>
      <c r="AL29" s="608">
        <f t="shared" si="6"/>
        <v>0.46950840074673306</v>
      </c>
      <c r="AM29" s="608">
        <f t="shared" si="7"/>
        <v>0.5304915992532669</v>
      </c>
      <c r="AN29" s="607">
        <f t="shared" si="8"/>
        <v>74.74418604651163</v>
      </c>
      <c r="AO29" s="609">
        <f t="shared" si="9"/>
        <v>8.21611076540137</v>
      </c>
      <c r="AP29" s="614">
        <v>42853.84</v>
      </c>
      <c r="AQ29" s="615">
        <v>4707</v>
      </c>
      <c r="AR29" s="608">
        <f t="shared" si="10"/>
        <v>-0.38379897810791275</v>
      </c>
      <c r="AS29" s="608">
        <f t="shared" si="11"/>
        <v>-0.3171871680475887</v>
      </c>
      <c r="AT29" s="634">
        <f>2498+159085.99+88246.35+42853.84+26406.58</f>
        <v>319090.76</v>
      </c>
      <c r="AU29" s="635">
        <f>172+14037+8194+4707+3214</f>
        <v>30324</v>
      </c>
      <c r="AV29" s="612">
        <f t="shared" si="12"/>
        <v>10.522713362353253</v>
      </c>
      <c r="AW29" s="613">
        <v>41516</v>
      </c>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s="25" customFormat="1" ht="15.75">
      <c r="A30" s="474">
        <v>22</v>
      </c>
      <c r="B30" s="402"/>
      <c r="C30" s="402"/>
      <c r="D30" s="402"/>
      <c r="E30" s="402"/>
      <c r="F30" s="402"/>
      <c r="G30" s="402"/>
      <c r="H30" s="402"/>
      <c r="I30" s="404"/>
      <c r="J30" s="412" t="s">
        <v>365</v>
      </c>
      <c r="K30" s="383" t="s">
        <v>1210</v>
      </c>
      <c r="L30" s="491" t="s">
        <v>1212</v>
      </c>
      <c r="M30" s="491" t="s">
        <v>82</v>
      </c>
      <c r="N30" s="491" t="s">
        <v>1211</v>
      </c>
      <c r="O30" s="493">
        <v>41516</v>
      </c>
      <c r="P30" s="491" t="s">
        <v>47</v>
      </c>
      <c r="Q30" s="509">
        <v>54</v>
      </c>
      <c r="R30" s="556">
        <v>54</v>
      </c>
      <c r="S30" s="556">
        <v>1</v>
      </c>
      <c r="T30" s="585">
        <v>3412.5</v>
      </c>
      <c r="U30" s="586">
        <v>384</v>
      </c>
      <c r="V30" s="585">
        <v>3848.5</v>
      </c>
      <c r="W30" s="586">
        <v>431</v>
      </c>
      <c r="X30" s="585">
        <v>4850</v>
      </c>
      <c r="Y30" s="586">
        <v>540</v>
      </c>
      <c r="Z30" s="483">
        <f t="shared" si="0"/>
        <v>12111</v>
      </c>
      <c r="AA30" s="484">
        <f t="shared" si="1"/>
        <v>1355</v>
      </c>
      <c r="AB30" s="572">
        <f t="shared" si="2"/>
        <v>25.09259259259259</v>
      </c>
      <c r="AC30" s="573">
        <f t="shared" si="3"/>
        <v>8.9380073800738</v>
      </c>
      <c r="AD30" s="574"/>
      <c r="AE30" s="575"/>
      <c r="AF30" s="568"/>
      <c r="AG30" s="568"/>
      <c r="AH30" s="606">
        <f t="shared" si="4"/>
        <v>12060.939999999999</v>
      </c>
      <c r="AI30" s="607">
        <f t="shared" si="5"/>
        <v>1499</v>
      </c>
      <c r="AJ30" s="622">
        <v>24171.94</v>
      </c>
      <c r="AK30" s="623">
        <v>2854</v>
      </c>
      <c r="AL30" s="608">
        <f t="shared" si="6"/>
        <v>0.47477224947442187</v>
      </c>
      <c r="AM30" s="608">
        <f t="shared" si="7"/>
        <v>0.5252277505255781</v>
      </c>
      <c r="AN30" s="607">
        <f t="shared" si="8"/>
        <v>52.851851851851855</v>
      </c>
      <c r="AO30" s="609">
        <f t="shared" si="9"/>
        <v>8.469495444989487</v>
      </c>
      <c r="AP30" s="614"/>
      <c r="AQ30" s="615"/>
      <c r="AR30" s="608">
        <f t="shared" si="10"/>
      </c>
      <c r="AS30" s="608">
        <f t="shared" si="11"/>
      </c>
      <c r="AT30" s="630">
        <f>24171.94</f>
        <v>24171.94</v>
      </c>
      <c r="AU30" s="631">
        <f>2854</f>
        <v>2854</v>
      </c>
      <c r="AV30" s="612">
        <f t="shared" si="12"/>
        <v>8.469495444989487</v>
      </c>
      <c r="AW30" s="613">
        <v>41516</v>
      </c>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s="25" customFormat="1" ht="15.75">
      <c r="A31" s="387">
        <v>23</v>
      </c>
      <c r="B31" s="402"/>
      <c r="C31" s="402" t="s">
        <v>94</v>
      </c>
      <c r="D31" s="402">
        <v>3</v>
      </c>
      <c r="E31" s="402">
        <v>2</v>
      </c>
      <c r="F31" s="402"/>
      <c r="G31" s="402"/>
      <c r="H31" s="402"/>
      <c r="I31" s="404"/>
      <c r="J31" s="407"/>
      <c r="K31" s="414" t="s">
        <v>1033</v>
      </c>
      <c r="L31" s="392" t="s">
        <v>70</v>
      </c>
      <c r="M31" s="490" t="s">
        <v>72</v>
      </c>
      <c r="N31" s="392" t="s">
        <v>1031</v>
      </c>
      <c r="O31" s="495">
        <v>41446</v>
      </c>
      <c r="P31" s="491" t="s">
        <v>12</v>
      </c>
      <c r="Q31" s="509">
        <v>113</v>
      </c>
      <c r="R31" s="509">
        <v>26</v>
      </c>
      <c r="S31" s="509">
        <v>11</v>
      </c>
      <c r="T31" s="585">
        <v>2519</v>
      </c>
      <c r="U31" s="586">
        <v>311</v>
      </c>
      <c r="V31" s="585">
        <v>3184</v>
      </c>
      <c r="W31" s="586">
        <v>390</v>
      </c>
      <c r="X31" s="585">
        <v>3835</v>
      </c>
      <c r="Y31" s="586">
        <v>474</v>
      </c>
      <c r="Z31" s="483">
        <f t="shared" si="0"/>
        <v>9538</v>
      </c>
      <c r="AA31" s="484">
        <f t="shared" si="1"/>
        <v>1175</v>
      </c>
      <c r="AB31" s="572">
        <f t="shared" si="2"/>
        <v>45.19230769230769</v>
      </c>
      <c r="AC31" s="573">
        <f t="shared" si="3"/>
        <v>8.117446808510639</v>
      </c>
      <c r="AD31" s="574">
        <v>18707</v>
      </c>
      <c r="AE31" s="575">
        <v>2283</v>
      </c>
      <c r="AF31" s="568">
        <f aca="true" t="shared" si="15" ref="AF31:AG34">IF(AD31&lt;&gt;0,-(AD31-Z31)/AD31,"")</f>
        <v>-0.49013738172876464</v>
      </c>
      <c r="AG31" s="568">
        <f t="shared" si="15"/>
        <v>-0.4853263250109505</v>
      </c>
      <c r="AH31" s="606">
        <f t="shared" si="4"/>
        <v>13562</v>
      </c>
      <c r="AI31" s="607">
        <f t="shared" si="5"/>
        <v>1977</v>
      </c>
      <c r="AJ31" s="622">
        <v>23100</v>
      </c>
      <c r="AK31" s="623">
        <v>3152</v>
      </c>
      <c r="AL31" s="608">
        <f t="shared" si="6"/>
        <v>0.3727791878172589</v>
      </c>
      <c r="AM31" s="608">
        <f t="shared" si="7"/>
        <v>0.6272208121827412</v>
      </c>
      <c r="AN31" s="607">
        <f t="shared" si="8"/>
        <v>121.23076923076923</v>
      </c>
      <c r="AO31" s="609">
        <f t="shared" si="9"/>
        <v>7.3286802030456855</v>
      </c>
      <c r="AP31" s="618">
        <v>35041</v>
      </c>
      <c r="AQ31" s="619">
        <v>4458</v>
      </c>
      <c r="AR31" s="608">
        <f t="shared" si="10"/>
        <v>-0.3407722382352102</v>
      </c>
      <c r="AS31" s="608">
        <f t="shared" si="11"/>
        <v>-0.2929564827276806</v>
      </c>
      <c r="AT31" s="630">
        <v>8342983</v>
      </c>
      <c r="AU31" s="631">
        <v>752813</v>
      </c>
      <c r="AV31" s="612">
        <f t="shared" si="12"/>
        <v>11.082410904168764</v>
      </c>
      <c r="AW31" s="613">
        <v>41516</v>
      </c>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s="25" customFormat="1" ht="15.75">
      <c r="A32" s="387">
        <v>24</v>
      </c>
      <c r="B32" s="402"/>
      <c r="C32" s="402"/>
      <c r="D32" s="402"/>
      <c r="E32" s="402"/>
      <c r="F32" s="402"/>
      <c r="G32" s="402"/>
      <c r="H32" s="402"/>
      <c r="I32" s="411"/>
      <c r="J32" s="410"/>
      <c r="K32" s="414" t="s">
        <v>941</v>
      </c>
      <c r="L32" s="492" t="s">
        <v>334</v>
      </c>
      <c r="M32" s="490" t="s">
        <v>67</v>
      </c>
      <c r="N32" s="494" t="s">
        <v>938</v>
      </c>
      <c r="O32" s="493">
        <v>41425</v>
      </c>
      <c r="P32" s="491" t="s">
        <v>59</v>
      </c>
      <c r="Q32" s="509">
        <v>48</v>
      </c>
      <c r="R32" s="509">
        <v>13</v>
      </c>
      <c r="S32" s="509">
        <v>14</v>
      </c>
      <c r="T32" s="590">
        <v>2674</v>
      </c>
      <c r="U32" s="591">
        <v>240</v>
      </c>
      <c r="V32" s="590">
        <v>4325</v>
      </c>
      <c r="W32" s="591">
        <v>381</v>
      </c>
      <c r="X32" s="590">
        <v>3731.5</v>
      </c>
      <c r="Y32" s="591">
        <v>330</v>
      </c>
      <c r="Z32" s="483">
        <f t="shared" si="0"/>
        <v>10730.5</v>
      </c>
      <c r="AA32" s="484">
        <f t="shared" si="1"/>
        <v>951</v>
      </c>
      <c r="AB32" s="572">
        <f t="shared" si="2"/>
        <v>73.15384615384616</v>
      </c>
      <c r="AC32" s="573">
        <f t="shared" si="3"/>
        <v>11.283385909568874</v>
      </c>
      <c r="AD32" s="574">
        <v>10292</v>
      </c>
      <c r="AE32" s="575">
        <v>953</v>
      </c>
      <c r="AF32" s="568">
        <f t="shared" si="15"/>
        <v>0.04260590750097163</v>
      </c>
      <c r="AG32" s="568">
        <f t="shared" si="15"/>
        <v>-0.002098635886673662</v>
      </c>
      <c r="AH32" s="606">
        <f t="shared" si="4"/>
        <v>9161.04</v>
      </c>
      <c r="AI32" s="607">
        <f t="shared" si="5"/>
        <v>972</v>
      </c>
      <c r="AJ32" s="626">
        <v>19891.54</v>
      </c>
      <c r="AK32" s="627">
        <v>1923</v>
      </c>
      <c r="AL32" s="608">
        <f t="shared" si="6"/>
        <v>0.49453978159126366</v>
      </c>
      <c r="AM32" s="608">
        <f t="shared" si="7"/>
        <v>0.5054602184087363</v>
      </c>
      <c r="AN32" s="607">
        <f t="shared" si="8"/>
        <v>147.92307692307693</v>
      </c>
      <c r="AO32" s="609">
        <f t="shared" si="9"/>
        <v>10.344014560582425</v>
      </c>
      <c r="AP32" s="614">
        <v>19612.44</v>
      </c>
      <c r="AQ32" s="615">
        <v>1932</v>
      </c>
      <c r="AR32" s="608">
        <f t="shared" si="10"/>
        <v>0.014230763739748966</v>
      </c>
      <c r="AS32" s="608">
        <f t="shared" si="11"/>
        <v>-0.004658385093167702</v>
      </c>
      <c r="AT32" s="634">
        <f>340603.22+377197.88+292651.48+173882.75+144490.91+90875.16+64658.08+84588.52+71863.58+49657+62198+37054+19612.44+19891.54</f>
        <v>1829224.56</v>
      </c>
      <c r="AU32" s="635">
        <f>31109+34354+27079+16831+14013+9355+6976+9368+8338+5828+6779+3918+1932+1923</f>
        <v>177803</v>
      </c>
      <c r="AV32" s="612">
        <f t="shared" si="12"/>
        <v>10.28792855013695</v>
      </c>
      <c r="AW32" s="613">
        <v>41516</v>
      </c>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row>
    <row r="33" spans="1:133" s="25" customFormat="1" ht="15.75">
      <c r="A33" s="387">
        <v>25</v>
      </c>
      <c r="B33" s="402"/>
      <c r="C33" s="402"/>
      <c r="D33" s="402"/>
      <c r="E33" s="402"/>
      <c r="F33" s="402"/>
      <c r="G33" s="402"/>
      <c r="H33" s="402" t="s">
        <v>48</v>
      </c>
      <c r="I33" s="404"/>
      <c r="J33" s="405"/>
      <c r="K33" s="414" t="s">
        <v>644</v>
      </c>
      <c r="L33" s="492" t="s">
        <v>646</v>
      </c>
      <c r="M33" s="490"/>
      <c r="N33" s="392" t="s">
        <v>644</v>
      </c>
      <c r="O33" s="493">
        <v>41306</v>
      </c>
      <c r="P33" s="491" t="s">
        <v>12</v>
      </c>
      <c r="Q33" s="509">
        <v>248</v>
      </c>
      <c r="R33" s="509">
        <v>4</v>
      </c>
      <c r="S33" s="509">
        <v>31</v>
      </c>
      <c r="T33" s="585">
        <v>0</v>
      </c>
      <c r="U33" s="586">
        <v>0</v>
      </c>
      <c r="V33" s="585">
        <v>0</v>
      </c>
      <c r="W33" s="586">
        <v>0</v>
      </c>
      <c r="X33" s="585">
        <v>0</v>
      </c>
      <c r="Y33" s="586">
        <v>0</v>
      </c>
      <c r="Z33" s="483">
        <f t="shared" si="0"/>
        <v>0</v>
      </c>
      <c r="AA33" s="484">
        <f t="shared" si="1"/>
        <v>0</v>
      </c>
      <c r="AB33" s="572">
        <f t="shared" si="2"/>
      </c>
      <c r="AC33" s="573">
        <f t="shared" si="3"/>
      </c>
      <c r="AD33" s="574">
        <v>2935</v>
      </c>
      <c r="AE33" s="575">
        <v>440</v>
      </c>
      <c r="AF33" s="568">
        <f t="shared" si="15"/>
        <v>-1</v>
      </c>
      <c r="AG33" s="568">
        <f t="shared" si="15"/>
        <v>-1</v>
      </c>
      <c r="AH33" s="606">
        <f t="shared" si="4"/>
        <v>18438</v>
      </c>
      <c r="AI33" s="607">
        <f t="shared" si="5"/>
        <v>3059</v>
      </c>
      <c r="AJ33" s="622">
        <v>18438</v>
      </c>
      <c r="AK33" s="623">
        <v>3059</v>
      </c>
      <c r="AL33" s="608">
        <f t="shared" si="6"/>
        <v>0</v>
      </c>
      <c r="AM33" s="608">
        <f t="shared" si="7"/>
        <v>1</v>
      </c>
      <c r="AN33" s="607">
        <f t="shared" si="8"/>
        <v>764.75</v>
      </c>
      <c r="AO33" s="609">
        <f t="shared" si="9"/>
        <v>6.02745995423341</v>
      </c>
      <c r="AP33" s="614">
        <v>3619</v>
      </c>
      <c r="AQ33" s="615">
        <v>548</v>
      </c>
      <c r="AR33" s="608">
        <f t="shared" si="10"/>
        <v>4.094777562862669</v>
      </c>
      <c r="AS33" s="608">
        <f t="shared" si="11"/>
        <v>4.5821167883211675</v>
      </c>
      <c r="AT33" s="630">
        <v>12972053</v>
      </c>
      <c r="AU33" s="631">
        <v>1397115</v>
      </c>
      <c r="AV33" s="612">
        <f t="shared" si="12"/>
        <v>9.284885639335345</v>
      </c>
      <c r="AW33" s="613">
        <v>41516</v>
      </c>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row>
    <row r="34" spans="1:133" s="25" customFormat="1" ht="15.75">
      <c r="A34" s="474">
        <v>26</v>
      </c>
      <c r="B34" s="402"/>
      <c r="C34" s="403"/>
      <c r="D34" s="403"/>
      <c r="E34" s="402"/>
      <c r="F34" s="403"/>
      <c r="G34" s="402"/>
      <c r="H34" s="402"/>
      <c r="I34" s="404"/>
      <c r="J34" s="410"/>
      <c r="K34" s="383" t="s">
        <v>1176</v>
      </c>
      <c r="L34" s="492" t="s">
        <v>1178</v>
      </c>
      <c r="M34" s="492" t="s">
        <v>284</v>
      </c>
      <c r="N34" s="491" t="s">
        <v>1177</v>
      </c>
      <c r="O34" s="495">
        <v>41502</v>
      </c>
      <c r="P34" s="491" t="s">
        <v>244</v>
      </c>
      <c r="Q34" s="509">
        <v>25</v>
      </c>
      <c r="R34" s="517">
        <v>25</v>
      </c>
      <c r="S34" s="517">
        <v>3</v>
      </c>
      <c r="T34" s="574">
        <v>2194</v>
      </c>
      <c r="U34" s="575">
        <v>223</v>
      </c>
      <c r="V34" s="574">
        <v>2954</v>
      </c>
      <c r="W34" s="575">
        <v>295</v>
      </c>
      <c r="X34" s="574">
        <v>2809</v>
      </c>
      <c r="Y34" s="575">
        <v>294</v>
      </c>
      <c r="Z34" s="483">
        <f t="shared" si="0"/>
        <v>7957</v>
      </c>
      <c r="AA34" s="484">
        <f t="shared" si="1"/>
        <v>812</v>
      </c>
      <c r="AB34" s="572">
        <f t="shared" si="2"/>
        <v>32.48</v>
      </c>
      <c r="AC34" s="573">
        <f t="shared" si="3"/>
        <v>9.799261083743842</v>
      </c>
      <c r="AD34" s="574">
        <v>9004</v>
      </c>
      <c r="AE34" s="575">
        <v>869</v>
      </c>
      <c r="AF34" s="568">
        <f t="shared" si="15"/>
        <v>-0.11628165259884496</v>
      </c>
      <c r="AG34" s="568">
        <f t="shared" si="15"/>
        <v>-0.06559263521288838</v>
      </c>
      <c r="AH34" s="606">
        <f t="shared" si="4"/>
        <v>7298</v>
      </c>
      <c r="AI34" s="607">
        <f t="shared" si="5"/>
        <v>854</v>
      </c>
      <c r="AJ34" s="624">
        <v>15255</v>
      </c>
      <c r="AK34" s="625">
        <v>1666</v>
      </c>
      <c r="AL34" s="608">
        <f t="shared" si="6"/>
        <v>0.48739495798319327</v>
      </c>
      <c r="AM34" s="608">
        <f t="shared" si="7"/>
        <v>0.5126050420168067</v>
      </c>
      <c r="AN34" s="607">
        <f t="shared" si="8"/>
        <v>66.64</v>
      </c>
      <c r="AO34" s="609">
        <f t="shared" si="9"/>
        <v>9.156662665066026</v>
      </c>
      <c r="AP34" s="610">
        <v>15268</v>
      </c>
      <c r="AQ34" s="611">
        <v>1598</v>
      </c>
      <c r="AR34" s="608">
        <f t="shared" si="10"/>
        <v>-0.0008514540214828399</v>
      </c>
      <c r="AS34" s="608">
        <f t="shared" si="11"/>
        <v>0.0425531914893617</v>
      </c>
      <c r="AT34" s="630">
        <v>63243</v>
      </c>
      <c r="AU34" s="631">
        <v>6525</v>
      </c>
      <c r="AV34" s="612">
        <f t="shared" si="12"/>
        <v>9.692413793103448</v>
      </c>
      <c r="AW34" s="613">
        <v>41516</v>
      </c>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row>
    <row r="35" spans="1:133" s="25" customFormat="1" ht="15.75">
      <c r="A35" s="387">
        <v>27</v>
      </c>
      <c r="B35" s="402"/>
      <c r="C35" s="402"/>
      <c r="D35" s="402"/>
      <c r="E35" s="402"/>
      <c r="F35" s="402"/>
      <c r="G35" s="402"/>
      <c r="H35" s="402"/>
      <c r="I35" s="406"/>
      <c r="J35" s="412" t="s">
        <v>365</v>
      </c>
      <c r="K35" s="414" t="s">
        <v>1205</v>
      </c>
      <c r="L35" s="492" t="s">
        <v>1207</v>
      </c>
      <c r="M35" s="490" t="s">
        <v>313</v>
      </c>
      <c r="N35" s="494" t="s">
        <v>1206</v>
      </c>
      <c r="O35" s="493">
        <v>41516</v>
      </c>
      <c r="P35" s="491" t="s">
        <v>59</v>
      </c>
      <c r="Q35" s="509">
        <v>7</v>
      </c>
      <c r="R35" s="509">
        <v>7</v>
      </c>
      <c r="S35" s="509">
        <v>1</v>
      </c>
      <c r="T35" s="590">
        <v>2674.5</v>
      </c>
      <c r="U35" s="591">
        <v>216</v>
      </c>
      <c r="V35" s="590">
        <v>2929</v>
      </c>
      <c r="W35" s="591">
        <v>233</v>
      </c>
      <c r="X35" s="590">
        <v>3627.5</v>
      </c>
      <c r="Y35" s="591">
        <v>290</v>
      </c>
      <c r="Z35" s="483">
        <f t="shared" si="0"/>
        <v>9231</v>
      </c>
      <c r="AA35" s="484">
        <f t="shared" si="1"/>
        <v>739</v>
      </c>
      <c r="AB35" s="572">
        <f t="shared" si="2"/>
        <v>105.57142857142857</v>
      </c>
      <c r="AC35" s="573">
        <f t="shared" si="3"/>
        <v>12.491204330175913</v>
      </c>
      <c r="AD35" s="574"/>
      <c r="AE35" s="575"/>
      <c r="AF35" s="568"/>
      <c r="AG35" s="568"/>
      <c r="AH35" s="606">
        <f t="shared" si="4"/>
        <v>5060</v>
      </c>
      <c r="AI35" s="607">
        <f t="shared" si="5"/>
        <v>488</v>
      </c>
      <c r="AJ35" s="626">
        <v>14291</v>
      </c>
      <c r="AK35" s="627">
        <v>1227</v>
      </c>
      <c r="AL35" s="608">
        <f t="shared" si="6"/>
        <v>0.6022819885900571</v>
      </c>
      <c r="AM35" s="608">
        <f t="shared" si="7"/>
        <v>0.39771801140994295</v>
      </c>
      <c r="AN35" s="607">
        <f t="shared" si="8"/>
        <v>175.28571428571428</v>
      </c>
      <c r="AO35" s="609">
        <f t="shared" si="9"/>
        <v>11.647106764466178</v>
      </c>
      <c r="AP35" s="614"/>
      <c r="AQ35" s="615"/>
      <c r="AR35" s="608">
        <f t="shared" si="10"/>
      </c>
      <c r="AS35" s="608">
        <f t="shared" si="11"/>
      </c>
      <c r="AT35" s="634">
        <f>14291</f>
        <v>14291</v>
      </c>
      <c r="AU35" s="635">
        <f>1227</f>
        <v>1227</v>
      </c>
      <c r="AV35" s="612">
        <f t="shared" si="12"/>
        <v>11.647106764466178</v>
      </c>
      <c r="AW35" s="613">
        <v>41516</v>
      </c>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row>
    <row r="36" spans="1:133" s="25" customFormat="1" ht="15.75">
      <c r="A36" s="387">
        <v>28</v>
      </c>
      <c r="B36" s="402"/>
      <c r="C36" s="403"/>
      <c r="D36" s="403"/>
      <c r="E36" s="402"/>
      <c r="F36" s="403" t="s">
        <v>112</v>
      </c>
      <c r="G36" s="402"/>
      <c r="H36" s="402"/>
      <c r="I36" s="404"/>
      <c r="J36" s="410"/>
      <c r="K36" s="383" t="s">
        <v>1104</v>
      </c>
      <c r="L36" s="492" t="s">
        <v>975</v>
      </c>
      <c r="M36" s="491" t="s">
        <v>313</v>
      </c>
      <c r="N36" s="491" t="s">
        <v>1105</v>
      </c>
      <c r="O36" s="495">
        <v>41474</v>
      </c>
      <c r="P36" s="491" t="s">
        <v>139</v>
      </c>
      <c r="Q36" s="509">
        <v>15</v>
      </c>
      <c r="R36" s="509">
        <v>14</v>
      </c>
      <c r="S36" s="509">
        <v>7</v>
      </c>
      <c r="T36" s="574">
        <v>1020</v>
      </c>
      <c r="U36" s="575">
        <v>108</v>
      </c>
      <c r="V36" s="574">
        <v>2176</v>
      </c>
      <c r="W36" s="575">
        <v>210</v>
      </c>
      <c r="X36" s="574">
        <v>2806</v>
      </c>
      <c r="Y36" s="575">
        <v>284</v>
      </c>
      <c r="Z36" s="483">
        <f t="shared" si="0"/>
        <v>6002</v>
      </c>
      <c r="AA36" s="484">
        <f t="shared" si="1"/>
        <v>602</v>
      </c>
      <c r="AB36" s="572">
        <f t="shared" si="2"/>
        <v>43</v>
      </c>
      <c r="AC36" s="573">
        <f t="shared" si="3"/>
        <v>9.970099667774086</v>
      </c>
      <c r="AD36" s="574">
        <v>7047</v>
      </c>
      <c r="AE36" s="575">
        <v>759</v>
      </c>
      <c r="AF36" s="568">
        <f aca="true" t="shared" si="16" ref="AF36:AF67">IF(AD36&lt;&gt;0,-(AD36-Z36)/AD36,"")</f>
        <v>-0.14829005250461189</v>
      </c>
      <c r="AG36" s="568">
        <f aca="true" t="shared" si="17" ref="AG36:AG67">IF(AE36&lt;&gt;0,-(AE36-AA36)/AE36,"")</f>
        <v>-0.20685111989459815</v>
      </c>
      <c r="AH36" s="606">
        <f t="shared" si="4"/>
        <v>7020.949999999999</v>
      </c>
      <c r="AI36" s="607">
        <f t="shared" si="5"/>
        <v>805</v>
      </c>
      <c r="AJ36" s="622">
        <v>13022.949999999999</v>
      </c>
      <c r="AK36" s="623">
        <v>1407</v>
      </c>
      <c r="AL36" s="608">
        <f t="shared" si="6"/>
        <v>0.42786069651741293</v>
      </c>
      <c r="AM36" s="608">
        <f t="shared" si="7"/>
        <v>0.572139303482587</v>
      </c>
      <c r="AN36" s="607">
        <f t="shared" si="8"/>
        <v>100.5</v>
      </c>
      <c r="AO36" s="609">
        <f t="shared" si="9"/>
        <v>9.255828002842927</v>
      </c>
      <c r="AP36" s="616">
        <v>13659.2</v>
      </c>
      <c r="AQ36" s="617">
        <v>1586</v>
      </c>
      <c r="AR36" s="608">
        <f t="shared" si="10"/>
        <v>-0.046580326812697796</v>
      </c>
      <c r="AS36" s="608">
        <f t="shared" si="11"/>
        <v>-0.1128625472887768</v>
      </c>
      <c r="AT36" s="630">
        <v>263712.05</v>
      </c>
      <c r="AU36" s="631">
        <v>22444</v>
      </c>
      <c r="AV36" s="612">
        <f t="shared" si="12"/>
        <v>11.749779451078238</v>
      </c>
      <c r="AW36" s="613">
        <v>41516</v>
      </c>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row>
    <row r="37" spans="1:133" s="25" customFormat="1" ht="15.75">
      <c r="A37" s="387">
        <v>29</v>
      </c>
      <c r="B37" s="402"/>
      <c r="C37" s="402"/>
      <c r="D37" s="402"/>
      <c r="E37" s="402"/>
      <c r="F37" s="402"/>
      <c r="G37" s="402"/>
      <c r="H37" s="402" t="s">
        <v>48</v>
      </c>
      <c r="I37" s="409"/>
      <c r="J37" s="405"/>
      <c r="K37" s="383" t="s">
        <v>836</v>
      </c>
      <c r="L37" s="491" t="s">
        <v>837</v>
      </c>
      <c r="M37" s="491"/>
      <c r="N37" s="491" t="s">
        <v>836</v>
      </c>
      <c r="O37" s="493">
        <v>41397</v>
      </c>
      <c r="P37" s="491" t="s">
        <v>47</v>
      </c>
      <c r="Q37" s="509">
        <v>21</v>
      </c>
      <c r="R37" s="556">
        <v>1</v>
      </c>
      <c r="S37" s="556">
        <v>13</v>
      </c>
      <c r="T37" s="585">
        <v>5840</v>
      </c>
      <c r="U37" s="586">
        <v>1140</v>
      </c>
      <c r="V37" s="585">
        <v>6166</v>
      </c>
      <c r="W37" s="586">
        <v>1192</v>
      </c>
      <c r="X37" s="585">
        <v>0</v>
      </c>
      <c r="Y37" s="586">
        <v>0</v>
      </c>
      <c r="Z37" s="483">
        <f t="shared" si="0"/>
        <v>12006</v>
      </c>
      <c r="AA37" s="484">
        <f t="shared" si="1"/>
        <v>2332</v>
      </c>
      <c r="AB37" s="572">
        <f t="shared" si="2"/>
        <v>2332</v>
      </c>
      <c r="AC37" s="573">
        <f t="shared" si="3"/>
        <v>5.148370497427101</v>
      </c>
      <c r="AD37" s="574">
        <v>293.5</v>
      </c>
      <c r="AE37" s="575">
        <v>22</v>
      </c>
      <c r="AF37" s="568">
        <f t="shared" si="16"/>
        <v>39.90630323679727</v>
      </c>
      <c r="AG37" s="568">
        <f t="shared" si="17"/>
        <v>105</v>
      </c>
      <c r="AH37" s="606">
        <f t="shared" si="4"/>
        <v>0</v>
      </c>
      <c r="AI37" s="607">
        <f t="shared" si="5"/>
        <v>0</v>
      </c>
      <c r="AJ37" s="622">
        <v>12006</v>
      </c>
      <c r="AK37" s="623">
        <v>2332</v>
      </c>
      <c r="AL37" s="608">
        <f t="shared" si="6"/>
        <v>1</v>
      </c>
      <c r="AM37" s="608">
        <f t="shared" si="7"/>
        <v>0</v>
      </c>
      <c r="AN37" s="607">
        <f t="shared" si="8"/>
        <v>2332</v>
      </c>
      <c r="AO37" s="609">
        <f t="shared" si="9"/>
        <v>5.148370497427101</v>
      </c>
      <c r="AP37" s="614">
        <v>469</v>
      </c>
      <c r="AQ37" s="615">
        <v>60</v>
      </c>
      <c r="AR37" s="608">
        <f t="shared" si="10"/>
        <v>24.599147121535182</v>
      </c>
      <c r="AS37" s="608">
        <f t="shared" si="11"/>
        <v>37.86666666666667</v>
      </c>
      <c r="AT37" s="630">
        <f>17811.5+10803.5+3816.5+1022+234+326+278+456+266+534+453+469+12006</f>
        <v>48475.5</v>
      </c>
      <c r="AU37" s="631">
        <f>1808+1143+381+119+22+29+24+59+31+65+56+60+2332</f>
        <v>6129</v>
      </c>
      <c r="AV37" s="612">
        <f t="shared" si="12"/>
        <v>7.909202153695546</v>
      </c>
      <c r="AW37" s="613">
        <v>41516</v>
      </c>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row>
    <row r="38" spans="1:133" s="27" customFormat="1" ht="15.75">
      <c r="A38" s="474">
        <v>30</v>
      </c>
      <c r="B38" s="402"/>
      <c r="C38" s="402"/>
      <c r="D38" s="402"/>
      <c r="E38" s="402">
        <v>2</v>
      </c>
      <c r="F38" s="402" t="s">
        <v>112</v>
      </c>
      <c r="G38" s="402"/>
      <c r="H38" s="402"/>
      <c r="I38" s="404"/>
      <c r="J38" s="407"/>
      <c r="K38" s="414" t="s">
        <v>1164</v>
      </c>
      <c r="L38" s="392" t="s">
        <v>1163</v>
      </c>
      <c r="M38" s="490" t="s">
        <v>72</v>
      </c>
      <c r="N38" s="392" t="s">
        <v>1165</v>
      </c>
      <c r="O38" s="495">
        <v>41502</v>
      </c>
      <c r="P38" s="491" t="s">
        <v>12</v>
      </c>
      <c r="Q38" s="509">
        <v>31</v>
      </c>
      <c r="R38" s="509">
        <v>15</v>
      </c>
      <c r="S38" s="509">
        <v>3</v>
      </c>
      <c r="T38" s="585">
        <v>1561</v>
      </c>
      <c r="U38" s="586">
        <v>140</v>
      </c>
      <c r="V38" s="585">
        <v>1991</v>
      </c>
      <c r="W38" s="586">
        <v>164</v>
      </c>
      <c r="X38" s="585">
        <v>2369</v>
      </c>
      <c r="Y38" s="586">
        <v>204</v>
      </c>
      <c r="Z38" s="483">
        <f t="shared" si="0"/>
        <v>5921</v>
      </c>
      <c r="AA38" s="484">
        <f t="shared" si="1"/>
        <v>508</v>
      </c>
      <c r="AB38" s="572">
        <f t="shared" si="2"/>
        <v>33.86666666666667</v>
      </c>
      <c r="AC38" s="573">
        <f t="shared" si="3"/>
        <v>11.655511811023622</v>
      </c>
      <c r="AD38" s="574">
        <v>30710</v>
      </c>
      <c r="AE38" s="575">
        <v>2431</v>
      </c>
      <c r="AF38" s="568">
        <f t="shared" si="16"/>
        <v>-0.8071963529794856</v>
      </c>
      <c r="AG38" s="568">
        <f t="shared" si="17"/>
        <v>-0.7910324969148499</v>
      </c>
      <c r="AH38" s="606">
        <f t="shared" si="4"/>
        <v>5713</v>
      </c>
      <c r="AI38" s="607">
        <f t="shared" si="5"/>
        <v>580</v>
      </c>
      <c r="AJ38" s="622">
        <v>11634</v>
      </c>
      <c r="AK38" s="623">
        <v>1088</v>
      </c>
      <c r="AL38" s="608">
        <f t="shared" si="6"/>
        <v>0.46691176470588236</v>
      </c>
      <c r="AM38" s="608">
        <f t="shared" si="7"/>
        <v>0.5330882352941176</v>
      </c>
      <c r="AN38" s="607">
        <f t="shared" si="8"/>
        <v>72.53333333333333</v>
      </c>
      <c r="AO38" s="609">
        <f t="shared" si="9"/>
        <v>10.693014705882353</v>
      </c>
      <c r="AP38" s="618">
        <v>58591</v>
      </c>
      <c r="AQ38" s="619">
        <v>5140</v>
      </c>
      <c r="AR38" s="608">
        <f t="shared" si="10"/>
        <v>-0.8014370807803246</v>
      </c>
      <c r="AS38" s="608">
        <f t="shared" si="11"/>
        <v>-0.7883268482490272</v>
      </c>
      <c r="AT38" s="630">
        <v>167537</v>
      </c>
      <c r="AU38" s="631">
        <v>14893</v>
      </c>
      <c r="AV38" s="612">
        <f t="shared" si="12"/>
        <v>11.249378902840261</v>
      </c>
      <c r="AW38" s="613">
        <v>41516</v>
      </c>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row>
    <row r="39" spans="1:133" s="27" customFormat="1" ht="15.75">
      <c r="A39" s="387">
        <v>31</v>
      </c>
      <c r="B39" s="402"/>
      <c r="C39" s="402"/>
      <c r="D39" s="403"/>
      <c r="E39" s="402"/>
      <c r="F39" s="403"/>
      <c r="G39" s="402"/>
      <c r="H39" s="403"/>
      <c r="I39" s="404"/>
      <c r="J39" s="405"/>
      <c r="K39" s="415" t="s">
        <v>1046</v>
      </c>
      <c r="L39" s="496" t="s">
        <v>1049</v>
      </c>
      <c r="M39" s="492" t="s">
        <v>1047</v>
      </c>
      <c r="N39" s="496" t="s">
        <v>1048</v>
      </c>
      <c r="O39" s="495">
        <v>41453</v>
      </c>
      <c r="P39" s="491" t="s">
        <v>8</v>
      </c>
      <c r="Q39" s="556">
        <v>20</v>
      </c>
      <c r="R39" s="423">
        <v>8</v>
      </c>
      <c r="S39" s="423">
        <v>10</v>
      </c>
      <c r="T39" s="581">
        <v>1948</v>
      </c>
      <c r="U39" s="582">
        <v>210</v>
      </c>
      <c r="V39" s="581">
        <v>1905</v>
      </c>
      <c r="W39" s="582">
        <v>201</v>
      </c>
      <c r="X39" s="581">
        <v>2398</v>
      </c>
      <c r="Y39" s="582">
        <v>260</v>
      </c>
      <c r="Z39" s="483">
        <f t="shared" si="0"/>
        <v>6251</v>
      </c>
      <c r="AA39" s="484">
        <f t="shared" si="1"/>
        <v>671</v>
      </c>
      <c r="AB39" s="572">
        <f t="shared" si="2"/>
        <v>83.875</v>
      </c>
      <c r="AC39" s="573">
        <f t="shared" si="3"/>
        <v>9.315946348733235</v>
      </c>
      <c r="AD39" s="574">
        <v>6279</v>
      </c>
      <c r="AE39" s="575">
        <v>673</v>
      </c>
      <c r="AF39" s="568">
        <f t="shared" si="16"/>
        <v>-0.004459308807134894</v>
      </c>
      <c r="AG39" s="568">
        <f t="shared" si="17"/>
        <v>-0.0029717682020802376</v>
      </c>
      <c r="AH39" s="606">
        <f t="shared" si="4"/>
        <v>4910</v>
      </c>
      <c r="AI39" s="607">
        <f t="shared" si="5"/>
        <v>611</v>
      </c>
      <c r="AJ39" s="624">
        <v>11161</v>
      </c>
      <c r="AK39" s="625">
        <v>1282</v>
      </c>
      <c r="AL39" s="608">
        <f t="shared" si="6"/>
        <v>0.5234009360374415</v>
      </c>
      <c r="AM39" s="608">
        <f t="shared" si="7"/>
        <v>0.4765990639625585</v>
      </c>
      <c r="AN39" s="607">
        <f t="shared" si="8"/>
        <v>160.25</v>
      </c>
      <c r="AO39" s="609">
        <f t="shared" si="9"/>
        <v>8.705928237129486</v>
      </c>
      <c r="AP39" s="614">
        <v>12661</v>
      </c>
      <c r="AQ39" s="615">
        <v>1418</v>
      </c>
      <c r="AR39" s="608">
        <f t="shared" si="10"/>
        <v>-0.11847405418213411</v>
      </c>
      <c r="AS39" s="608">
        <f t="shared" si="11"/>
        <v>-0.09590973201692525</v>
      </c>
      <c r="AT39" s="632">
        <v>235401</v>
      </c>
      <c r="AU39" s="633">
        <v>22564</v>
      </c>
      <c r="AV39" s="612">
        <f t="shared" si="12"/>
        <v>10.43259173905336</v>
      </c>
      <c r="AW39" s="613">
        <v>41516</v>
      </c>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row>
    <row r="40" spans="1:133" s="27" customFormat="1" ht="15.75">
      <c r="A40" s="387">
        <v>32</v>
      </c>
      <c r="B40" s="402"/>
      <c r="C40" s="402"/>
      <c r="D40" s="402"/>
      <c r="E40" s="402"/>
      <c r="F40" s="402"/>
      <c r="G40" s="402"/>
      <c r="H40" s="402"/>
      <c r="I40" s="404"/>
      <c r="J40" s="410"/>
      <c r="K40" s="413" t="s">
        <v>1119</v>
      </c>
      <c r="L40" s="491" t="s">
        <v>1120</v>
      </c>
      <c r="M40" s="491" t="s">
        <v>403</v>
      </c>
      <c r="N40" s="491" t="s">
        <v>1118</v>
      </c>
      <c r="O40" s="495">
        <v>41481</v>
      </c>
      <c r="P40" s="491" t="s">
        <v>46</v>
      </c>
      <c r="Q40" s="509">
        <v>25</v>
      </c>
      <c r="R40" s="509">
        <v>10</v>
      </c>
      <c r="S40" s="509">
        <v>6</v>
      </c>
      <c r="T40" s="574">
        <v>1469</v>
      </c>
      <c r="U40" s="575">
        <v>175</v>
      </c>
      <c r="V40" s="574">
        <v>1755</v>
      </c>
      <c r="W40" s="575">
        <v>211</v>
      </c>
      <c r="X40" s="574">
        <v>1979</v>
      </c>
      <c r="Y40" s="575">
        <v>245</v>
      </c>
      <c r="Z40" s="483">
        <f t="shared" si="0"/>
        <v>5203</v>
      </c>
      <c r="AA40" s="484">
        <f t="shared" si="1"/>
        <v>631</v>
      </c>
      <c r="AB40" s="572">
        <f t="shared" si="2"/>
        <v>63.1</v>
      </c>
      <c r="AC40" s="573">
        <f t="shared" si="3"/>
        <v>8.245641838351823</v>
      </c>
      <c r="AD40" s="574">
        <v>9145.5</v>
      </c>
      <c r="AE40" s="575">
        <v>1106</v>
      </c>
      <c r="AF40" s="568">
        <f t="shared" si="16"/>
        <v>-0.43108632660871465</v>
      </c>
      <c r="AG40" s="568">
        <f t="shared" si="17"/>
        <v>-0.4294755877034358</v>
      </c>
      <c r="AH40" s="606">
        <f t="shared" si="4"/>
        <v>5155</v>
      </c>
      <c r="AI40" s="607">
        <f t="shared" si="5"/>
        <v>689</v>
      </c>
      <c r="AJ40" s="622">
        <v>10358</v>
      </c>
      <c r="AK40" s="623">
        <v>1320</v>
      </c>
      <c r="AL40" s="608">
        <f t="shared" si="6"/>
        <v>0.478030303030303</v>
      </c>
      <c r="AM40" s="608">
        <f t="shared" si="7"/>
        <v>0.521969696969697</v>
      </c>
      <c r="AN40" s="607">
        <f t="shared" si="8"/>
        <v>132</v>
      </c>
      <c r="AO40" s="609">
        <f t="shared" si="9"/>
        <v>7.846969696969697</v>
      </c>
      <c r="AP40" s="614">
        <v>18206.5</v>
      </c>
      <c r="AQ40" s="615">
        <v>2332</v>
      </c>
      <c r="AR40" s="608">
        <f t="shared" si="10"/>
        <v>-0.43108230576991735</v>
      </c>
      <c r="AS40" s="608">
        <f t="shared" si="11"/>
        <v>-0.4339622641509434</v>
      </c>
      <c r="AT40" s="630">
        <v>126949.62</v>
      </c>
      <c r="AU40" s="631">
        <v>14425</v>
      </c>
      <c r="AV40" s="612">
        <f t="shared" si="12"/>
        <v>8.800666897746966</v>
      </c>
      <c r="AW40" s="613">
        <v>41516</v>
      </c>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row>
    <row r="41" spans="1:133" s="27" customFormat="1" ht="15.75">
      <c r="A41" s="387">
        <v>33</v>
      </c>
      <c r="B41" s="402"/>
      <c r="C41" s="402"/>
      <c r="D41" s="402"/>
      <c r="E41" s="402"/>
      <c r="F41" s="402"/>
      <c r="G41" s="402"/>
      <c r="H41" s="402" t="s">
        <v>48</v>
      </c>
      <c r="I41" s="404"/>
      <c r="J41" s="407"/>
      <c r="K41" s="383" t="s">
        <v>1124</v>
      </c>
      <c r="L41" s="491" t="s">
        <v>1125</v>
      </c>
      <c r="M41" s="491"/>
      <c r="N41" s="491" t="s">
        <v>1124</v>
      </c>
      <c r="O41" s="493">
        <v>41481</v>
      </c>
      <c r="P41" s="491" t="s">
        <v>47</v>
      </c>
      <c r="Q41" s="509">
        <v>36</v>
      </c>
      <c r="R41" s="556">
        <v>4</v>
      </c>
      <c r="S41" s="556">
        <v>6</v>
      </c>
      <c r="T41" s="585">
        <v>1426</v>
      </c>
      <c r="U41" s="586">
        <v>168</v>
      </c>
      <c r="V41" s="585">
        <v>1335</v>
      </c>
      <c r="W41" s="586">
        <v>146</v>
      </c>
      <c r="X41" s="585">
        <v>2296</v>
      </c>
      <c r="Y41" s="586">
        <v>253</v>
      </c>
      <c r="Z41" s="483">
        <f t="shared" si="0"/>
        <v>5057</v>
      </c>
      <c r="AA41" s="484">
        <f aca="true" t="shared" si="18" ref="AA41:AA72">U41+W41+Y41</f>
        <v>567</v>
      </c>
      <c r="AB41" s="572">
        <f aca="true" t="shared" si="19" ref="AB41:AB72">IF(Z41&lt;&gt;0,AA41/R41,"")</f>
        <v>141.75</v>
      </c>
      <c r="AC41" s="573">
        <f aca="true" t="shared" si="20" ref="AC41:AC72">IF(Z41&lt;&gt;0,Z41/AA41,"")</f>
        <v>8.918871252204585</v>
      </c>
      <c r="AD41" s="574">
        <v>8436</v>
      </c>
      <c r="AE41" s="575">
        <v>946</v>
      </c>
      <c r="AF41" s="568">
        <f t="shared" si="16"/>
        <v>-0.4005452821242295</v>
      </c>
      <c r="AG41" s="568">
        <f t="shared" si="17"/>
        <v>-0.40063424947145876</v>
      </c>
      <c r="AH41" s="606">
        <f aca="true" t="shared" si="21" ref="AH41:AH72">AJ41-Z41</f>
        <v>4817</v>
      </c>
      <c r="AI41" s="607">
        <f aca="true" t="shared" si="22" ref="AI41:AI72">AK41-AA41</f>
        <v>594</v>
      </c>
      <c r="AJ41" s="622">
        <v>9874</v>
      </c>
      <c r="AK41" s="623">
        <v>1161</v>
      </c>
      <c r="AL41" s="608">
        <f aca="true" t="shared" si="23" ref="AL41:AL72">AA41*1/AK41</f>
        <v>0.4883720930232558</v>
      </c>
      <c r="AM41" s="608">
        <f aca="true" t="shared" si="24" ref="AM41:AM72">AI41*1/AK41</f>
        <v>0.5116279069767442</v>
      </c>
      <c r="AN41" s="607">
        <f aca="true" t="shared" si="25" ref="AN41:AN72">AK41/R41</f>
        <v>290.25</v>
      </c>
      <c r="AO41" s="609">
        <f aca="true" t="shared" si="26" ref="AO41:AO72">AJ41/AK41</f>
        <v>8.50473729543497</v>
      </c>
      <c r="AP41" s="614">
        <v>14486.29</v>
      </c>
      <c r="AQ41" s="615">
        <v>1743</v>
      </c>
      <c r="AR41" s="608">
        <f aca="true" t="shared" si="27" ref="AR41:AR72">IF(AP41&lt;&gt;0,-(AP41-AJ41)/AP41,"")</f>
        <v>-0.3183900087600069</v>
      </c>
      <c r="AS41" s="608">
        <f aca="true" t="shared" si="28" ref="AS41:AS72">IF(AQ41&lt;&gt;0,-(AQ41-AK41)/AQ41,"")</f>
        <v>-0.33390705679862304</v>
      </c>
      <c r="AT41" s="630">
        <f>75791.5+45396.5+46241.25+26225.58+16734.29+9874</f>
        <v>220263.12000000002</v>
      </c>
      <c r="AU41" s="631">
        <f>7928+4962+5981+3263+2099+1161</f>
        <v>25394</v>
      </c>
      <c r="AV41" s="612">
        <f aca="true" t="shared" si="29" ref="AV41:AV72">AT41/AU41</f>
        <v>8.673825313066079</v>
      </c>
      <c r="AW41" s="613">
        <v>41516</v>
      </c>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row>
    <row r="42" spans="1:133" s="27" customFormat="1" ht="15.75">
      <c r="A42" s="474">
        <v>34</v>
      </c>
      <c r="B42" s="402"/>
      <c r="C42" s="402"/>
      <c r="D42" s="402"/>
      <c r="E42" s="402"/>
      <c r="F42" s="402"/>
      <c r="G42" s="402"/>
      <c r="H42" s="402"/>
      <c r="I42" s="411"/>
      <c r="J42" s="405"/>
      <c r="K42" s="414" t="s">
        <v>1053</v>
      </c>
      <c r="L42" s="492" t="s">
        <v>1054</v>
      </c>
      <c r="M42" s="490" t="s">
        <v>81</v>
      </c>
      <c r="N42" s="494" t="s">
        <v>1052</v>
      </c>
      <c r="O42" s="493">
        <v>41453</v>
      </c>
      <c r="P42" s="390" t="s">
        <v>59</v>
      </c>
      <c r="Q42" s="509">
        <v>22</v>
      </c>
      <c r="R42" s="509">
        <v>14</v>
      </c>
      <c r="S42" s="509">
        <v>10</v>
      </c>
      <c r="T42" s="590">
        <v>1197.5</v>
      </c>
      <c r="U42" s="591">
        <v>157</v>
      </c>
      <c r="V42" s="590">
        <v>1302.5</v>
      </c>
      <c r="W42" s="591">
        <v>163</v>
      </c>
      <c r="X42" s="590">
        <v>1674</v>
      </c>
      <c r="Y42" s="591">
        <v>207</v>
      </c>
      <c r="Z42" s="483">
        <f t="shared" si="0"/>
        <v>4174</v>
      </c>
      <c r="AA42" s="484">
        <f t="shared" si="18"/>
        <v>527</v>
      </c>
      <c r="AB42" s="572">
        <f t="shared" si="19"/>
        <v>37.642857142857146</v>
      </c>
      <c r="AC42" s="573">
        <f t="shared" si="20"/>
        <v>7.920303605313093</v>
      </c>
      <c r="AD42" s="574">
        <v>8117</v>
      </c>
      <c r="AE42" s="575">
        <v>926</v>
      </c>
      <c r="AF42" s="568">
        <f t="shared" si="16"/>
        <v>-0.4857706049032894</v>
      </c>
      <c r="AG42" s="568">
        <f t="shared" si="17"/>
        <v>-0.43088552915766737</v>
      </c>
      <c r="AH42" s="606">
        <f t="shared" si="21"/>
        <v>5118</v>
      </c>
      <c r="AI42" s="607">
        <f t="shared" si="22"/>
        <v>706</v>
      </c>
      <c r="AJ42" s="626">
        <v>9292</v>
      </c>
      <c r="AK42" s="627">
        <v>1233</v>
      </c>
      <c r="AL42" s="608">
        <f t="shared" si="23"/>
        <v>0.42741281427412814</v>
      </c>
      <c r="AM42" s="608">
        <f t="shared" si="24"/>
        <v>0.5725871857258719</v>
      </c>
      <c r="AN42" s="607">
        <f t="shared" si="25"/>
        <v>88.07142857142857</v>
      </c>
      <c r="AO42" s="609">
        <f t="shared" si="26"/>
        <v>7.536090835360908</v>
      </c>
      <c r="AP42" s="614">
        <v>16461.89</v>
      </c>
      <c r="AQ42" s="615">
        <v>2012</v>
      </c>
      <c r="AR42" s="608">
        <f t="shared" si="27"/>
        <v>-0.4355447643010614</v>
      </c>
      <c r="AS42" s="608">
        <f t="shared" si="28"/>
        <v>-0.3871769383697813</v>
      </c>
      <c r="AT42" s="634">
        <f>48261.64+22456.51+12015.65+15543.81+21327.24+13750.5+30117.44+10884.5+16461.89+9292</f>
        <v>200111.18</v>
      </c>
      <c r="AU42" s="635">
        <f>4870+2416+1418+1884+2629+1920+4068+1433+2012+1233</f>
        <v>23883</v>
      </c>
      <c r="AV42" s="612">
        <f t="shared" si="29"/>
        <v>8.37881254448771</v>
      </c>
      <c r="AW42" s="613">
        <v>41516</v>
      </c>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row>
    <row r="43" spans="1:133" s="27" customFormat="1" ht="15.75">
      <c r="A43" s="387">
        <v>35</v>
      </c>
      <c r="B43" s="402"/>
      <c r="C43" s="403"/>
      <c r="D43" s="403"/>
      <c r="E43" s="402"/>
      <c r="F43" s="403"/>
      <c r="G43" s="402"/>
      <c r="H43" s="402"/>
      <c r="I43" s="404"/>
      <c r="J43" s="407"/>
      <c r="K43" s="383" t="s">
        <v>1139</v>
      </c>
      <c r="L43" s="492" t="s">
        <v>1140</v>
      </c>
      <c r="M43" s="492" t="s">
        <v>236</v>
      </c>
      <c r="N43" s="491" t="s">
        <v>1141</v>
      </c>
      <c r="O43" s="493">
        <v>41488</v>
      </c>
      <c r="P43" s="491" t="s">
        <v>151</v>
      </c>
      <c r="Q43" s="509">
        <v>79</v>
      </c>
      <c r="R43" s="509">
        <v>17</v>
      </c>
      <c r="S43" s="509">
        <v>5</v>
      </c>
      <c r="T43" s="579">
        <v>1639</v>
      </c>
      <c r="U43" s="580">
        <v>177</v>
      </c>
      <c r="V43" s="579">
        <v>1333</v>
      </c>
      <c r="W43" s="580">
        <v>160</v>
      </c>
      <c r="X43" s="579">
        <v>1594</v>
      </c>
      <c r="Y43" s="580">
        <v>192</v>
      </c>
      <c r="Z43" s="483">
        <f t="shared" si="0"/>
        <v>4566</v>
      </c>
      <c r="AA43" s="484">
        <f t="shared" si="18"/>
        <v>529</v>
      </c>
      <c r="AB43" s="572">
        <f t="shared" si="19"/>
        <v>31.11764705882353</v>
      </c>
      <c r="AC43" s="573">
        <f t="shared" si="20"/>
        <v>8.631379962192817</v>
      </c>
      <c r="AD43" s="574">
        <v>15675.5</v>
      </c>
      <c r="AE43" s="575">
        <v>1678</v>
      </c>
      <c r="AF43" s="568">
        <f t="shared" si="16"/>
        <v>-0.7087174252814902</v>
      </c>
      <c r="AG43" s="568">
        <f t="shared" si="17"/>
        <v>-0.6847437425506555</v>
      </c>
      <c r="AH43" s="606">
        <f t="shared" si="21"/>
        <v>3626.5</v>
      </c>
      <c r="AI43" s="607">
        <f t="shared" si="22"/>
        <v>488</v>
      </c>
      <c r="AJ43" s="620">
        <v>8192.5</v>
      </c>
      <c r="AK43" s="621">
        <v>1017</v>
      </c>
      <c r="AL43" s="608">
        <f t="shared" si="23"/>
        <v>0.52015732546706</v>
      </c>
      <c r="AM43" s="608">
        <f t="shared" si="24"/>
        <v>0.47984267453294</v>
      </c>
      <c r="AN43" s="607">
        <f t="shared" si="25"/>
        <v>59.8235294117647</v>
      </c>
      <c r="AO43" s="609">
        <f t="shared" si="26"/>
        <v>8.055555555555555</v>
      </c>
      <c r="AP43" s="610">
        <v>25913.2</v>
      </c>
      <c r="AQ43" s="611">
        <v>2887</v>
      </c>
      <c r="AR43" s="608">
        <f t="shared" si="27"/>
        <v>-0.6838483861506877</v>
      </c>
      <c r="AS43" s="608">
        <f t="shared" si="28"/>
        <v>-0.6477312088673364</v>
      </c>
      <c r="AT43" s="628">
        <v>493358.97</v>
      </c>
      <c r="AU43" s="629">
        <v>45336</v>
      </c>
      <c r="AV43" s="612">
        <f t="shared" si="29"/>
        <v>10.882278321863419</v>
      </c>
      <c r="AW43" s="613">
        <v>41516</v>
      </c>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row>
    <row r="44" spans="1:133" s="27" customFormat="1" ht="15.75">
      <c r="A44" s="387">
        <v>36</v>
      </c>
      <c r="B44" s="402"/>
      <c r="C44" s="402"/>
      <c r="D44" s="402"/>
      <c r="E44" s="402"/>
      <c r="F44" s="402"/>
      <c r="G44" s="402"/>
      <c r="H44" s="402"/>
      <c r="I44" s="406"/>
      <c r="J44" s="410"/>
      <c r="K44" s="414" t="s">
        <v>1087</v>
      </c>
      <c r="L44" s="492" t="s">
        <v>80</v>
      </c>
      <c r="M44" s="490" t="s">
        <v>69</v>
      </c>
      <c r="N44" s="494" t="s">
        <v>1091</v>
      </c>
      <c r="O44" s="493">
        <v>41406</v>
      </c>
      <c r="P44" s="491" t="s">
        <v>59</v>
      </c>
      <c r="Q44" s="509">
        <v>59</v>
      </c>
      <c r="R44" s="509">
        <v>14</v>
      </c>
      <c r="S44" s="509">
        <v>8</v>
      </c>
      <c r="T44" s="590">
        <v>1321.5</v>
      </c>
      <c r="U44" s="591">
        <v>165</v>
      </c>
      <c r="V44" s="590">
        <v>1463.5</v>
      </c>
      <c r="W44" s="591">
        <v>180</v>
      </c>
      <c r="X44" s="590">
        <v>1239.5</v>
      </c>
      <c r="Y44" s="591">
        <v>152</v>
      </c>
      <c r="Z44" s="483">
        <f t="shared" si="0"/>
        <v>4024.5</v>
      </c>
      <c r="AA44" s="484">
        <f t="shared" si="18"/>
        <v>497</v>
      </c>
      <c r="AB44" s="572">
        <f t="shared" si="19"/>
        <v>35.5</v>
      </c>
      <c r="AC44" s="573">
        <f t="shared" si="20"/>
        <v>8.09758551307847</v>
      </c>
      <c r="AD44" s="574">
        <v>3803</v>
      </c>
      <c r="AE44" s="575">
        <v>446</v>
      </c>
      <c r="AF44" s="568">
        <f t="shared" si="16"/>
        <v>0.05824349198001578</v>
      </c>
      <c r="AG44" s="568">
        <f t="shared" si="17"/>
        <v>0.11434977578475336</v>
      </c>
      <c r="AH44" s="606">
        <f t="shared" si="21"/>
        <v>3646.5</v>
      </c>
      <c r="AI44" s="607">
        <f t="shared" si="22"/>
        <v>508</v>
      </c>
      <c r="AJ44" s="626">
        <v>7671</v>
      </c>
      <c r="AK44" s="627">
        <v>1005</v>
      </c>
      <c r="AL44" s="608">
        <f t="shared" si="23"/>
        <v>0.4945273631840796</v>
      </c>
      <c r="AM44" s="608">
        <f t="shared" si="24"/>
        <v>0.5054726368159204</v>
      </c>
      <c r="AN44" s="607">
        <f t="shared" si="25"/>
        <v>71.78571428571429</v>
      </c>
      <c r="AO44" s="609">
        <f t="shared" si="26"/>
        <v>7.632835820895522</v>
      </c>
      <c r="AP44" s="614">
        <v>9632</v>
      </c>
      <c r="AQ44" s="615">
        <v>1376</v>
      </c>
      <c r="AR44" s="608">
        <f t="shared" si="27"/>
        <v>-0.2035921926910299</v>
      </c>
      <c r="AS44" s="608">
        <f t="shared" si="28"/>
        <v>-0.2696220930232558</v>
      </c>
      <c r="AT44" s="634">
        <f>7564+203463.62+165525.48+102724.84+31921.1+21163.52+5226.58+9632+7671</f>
        <v>554892.1399999999</v>
      </c>
      <c r="AU44" s="635">
        <f>760+17006+13840+8677+2651+2717+672+1376+1005</f>
        <v>48704</v>
      </c>
      <c r="AV44" s="612">
        <f t="shared" si="29"/>
        <v>11.393153334428382</v>
      </c>
      <c r="AW44" s="613">
        <v>41516</v>
      </c>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row>
    <row r="45" spans="1:133" s="27" customFormat="1" ht="15.75">
      <c r="A45" s="387">
        <v>37</v>
      </c>
      <c r="B45" s="402"/>
      <c r="C45" s="402"/>
      <c r="D45" s="402"/>
      <c r="E45" s="402"/>
      <c r="F45" s="402"/>
      <c r="G45" s="402"/>
      <c r="H45" s="402"/>
      <c r="I45" s="404"/>
      <c r="J45" s="410"/>
      <c r="K45" s="413" t="s">
        <v>1055</v>
      </c>
      <c r="L45" s="491" t="s">
        <v>1056</v>
      </c>
      <c r="M45" s="491" t="s">
        <v>403</v>
      </c>
      <c r="N45" s="491" t="s">
        <v>1057</v>
      </c>
      <c r="O45" s="495">
        <v>41453</v>
      </c>
      <c r="P45" s="491" t="s">
        <v>46</v>
      </c>
      <c r="Q45" s="509">
        <v>40</v>
      </c>
      <c r="R45" s="509">
        <v>5</v>
      </c>
      <c r="S45" s="509">
        <v>10</v>
      </c>
      <c r="T45" s="574">
        <v>1160.5</v>
      </c>
      <c r="U45" s="575">
        <v>115</v>
      </c>
      <c r="V45" s="574">
        <v>1143</v>
      </c>
      <c r="W45" s="575">
        <v>111</v>
      </c>
      <c r="X45" s="574">
        <v>1341</v>
      </c>
      <c r="Y45" s="575">
        <v>130</v>
      </c>
      <c r="Z45" s="483">
        <f t="shared" si="0"/>
        <v>3644.5</v>
      </c>
      <c r="AA45" s="484">
        <f t="shared" si="18"/>
        <v>356</v>
      </c>
      <c r="AB45" s="572">
        <f t="shared" si="19"/>
        <v>71.2</v>
      </c>
      <c r="AC45" s="573">
        <f t="shared" si="20"/>
        <v>10.237359550561798</v>
      </c>
      <c r="AD45" s="574">
        <v>802.5</v>
      </c>
      <c r="AE45" s="575">
        <v>113</v>
      </c>
      <c r="AF45" s="568">
        <f t="shared" si="16"/>
        <v>3.5414330218068537</v>
      </c>
      <c r="AG45" s="568">
        <f t="shared" si="17"/>
        <v>2.150442477876106</v>
      </c>
      <c r="AH45" s="606">
        <f t="shared" si="21"/>
        <v>3607</v>
      </c>
      <c r="AI45" s="607">
        <f t="shared" si="22"/>
        <v>398</v>
      </c>
      <c r="AJ45" s="622">
        <v>7251.5</v>
      </c>
      <c r="AK45" s="623">
        <v>754</v>
      </c>
      <c r="AL45" s="608">
        <f t="shared" si="23"/>
        <v>0.47214854111405835</v>
      </c>
      <c r="AM45" s="608">
        <f t="shared" si="24"/>
        <v>0.5278514588859416</v>
      </c>
      <c r="AN45" s="607">
        <f t="shared" si="25"/>
        <v>150.8</v>
      </c>
      <c r="AO45" s="609">
        <f t="shared" si="26"/>
        <v>9.61737400530504</v>
      </c>
      <c r="AP45" s="614">
        <v>1573.5</v>
      </c>
      <c r="AQ45" s="615">
        <v>231</v>
      </c>
      <c r="AR45" s="608">
        <f t="shared" si="27"/>
        <v>3.6085160470289166</v>
      </c>
      <c r="AS45" s="608">
        <f t="shared" si="28"/>
        <v>2.264069264069264</v>
      </c>
      <c r="AT45" s="630">
        <v>109575.32</v>
      </c>
      <c r="AU45" s="631">
        <v>12670</v>
      </c>
      <c r="AV45" s="612">
        <f t="shared" si="29"/>
        <v>8.64840726124704</v>
      </c>
      <c r="AW45" s="613">
        <v>41516</v>
      </c>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row>
    <row r="46" spans="1:133" s="27" customFormat="1" ht="15.75">
      <c r="A46" s="474">
        <v>38</v>
      </c>
      <c r="B46" s="402"/>
      <c r="C46" s="402"/>
      <c r="D46" s="402"/>
      <c r="E46" s="402"/>
      <c r="F46" s="402"/>
      <c r="G46" s="402"/>
      <c r="H46" s="402"/>
      <c r="I46" s="404"/>
      <c r="J46" s="410"/>
      <c r="K46" s="413" t="s">
        <v>1106</v>
      </c>
      <c r="L46" s="491" t="s">
        <v>963</v>
      </c>
      <c r="M46" s="491" t="s">
        <v>75</v>
      </c>
      <c r="N46" s="491" t="s">
        <v>1107</v>
      </c>
      <c r="O46" s="495">
        <v>41474</v>
      </c>
      <c r="P46" s="491" t="s">
        <v>46</v>
      </c>
      <c r="Q46" s="509">
        <v>20</v>
      </c>
      <c r="R46" s="509">
        <v>9</v>
      </c>
      <c r="S46" s="509">
        <v>7</v>
      </c>
      <c r="T46" s="574">
        <v>808.5</v>
      </c>
      <c r="U46" s="575">
        <v>96</v>
      </c>
      <c r="V46" s="574">
        <v>1352</v>
      </c>
      <c r="W46" s="575">
        <v>151</v>
      </c>
      <c r="X46" s="574">
        <v>1439.5</v>
      </c>
      <c r="Y46" s="575">
        <v>160</v>
      </c>
      <c r="Z46" s="483">
        <f t="shared" si="0"/>
        <v>3600</v>
      </c>
      <c r="AA46" s="484">
        <f t="shared" si="18"/>
        <v>407</v>
      </c>
      <c r="AB46" s="572">
        <f t="shared" si="19"/>
        <v>45.22222222222222</v>
      </c>
      <c r="AC46" s="573">
        <f t="shared" si="20"/>
        <v>8.845208845208845</v>
      </c>
      <c r="AD46" s="574">
        <v>3203</v>
      </c>
      <c r="AE46" s="575">
        <v>418</v>
      </c>
      <c r="AF46" s="568">
        <f t="shared" si="16"/>
        <v>0.12394630034342803</v>
      </c>
      <c r="AG46" s="568">
        <f t="shared" si="17"/>
        <v>-0.02631578947368421</v>
      </c>
      <c r="AH46" s="606">
        <f t="shared" si="21"/>
        <v>3143.7700000000004</v>
      </c>
      <c r="AI46" s="607">
        <f t="shared" si="22"/>
        <v>396</v>
      </c>
      <c r="AJ46" s="622">
        <v>6743.77</v>
      </c>
      <c r="AK46" s="623">
        <v>803</v>
      </c>
      <c r="AL46" s="608">
        <f t="shared" si="23"/>
        <v>0.5068493150684932</v>
      </c>
      <c r="AM46" s="608">
        <f t="shared" si="24"/>
        <v>0.4931506849315068</v>
      </c>
      <c r="AN46" s="607">
        <f t="shared" si="25"/>
        <v>89.22222222222223</v>
      </c>
      <c r="AO46" s="609">
        <f t="shared" si="26"/>
        <v>8.398219178082192</v>
      </c>
      <c r="AP46" s="614">
        <v>6119</v>
      </c>
      <c r="AQ46" s="615">
        <v>828</v>
      </c>
      <c r="AR46" s="608">
        <f t="shared" si="27"/>
        <v>0.10210328485046584</v>
      </c>
      <c r="AS46" s="608">
        <f t="shared" si="28"/>
        <v>-0.030193236714975844</v>
      </c>
      <c r="AT46" s="630">
        <v>97334.93</v>
      </c>
      <c r="AU46" s="631">
        <v>10960</v>
      </c>
      <c r="AV46" s="612">
        <f t="shared" si="29"/>
        <v>8.880924270072992</v>
      </c>
      <c r="AW46" s="613">
        <v>41516</v>
      </c>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row>
    <row r="47" spans="1:133" s="27" customFormat="1" ht="15.75">
      <c r="A47" s="387">
        <v>39</v>
      </c>
      <c r="B47" s="402" t="s">
        <v>105</v>
      </c>
      <c r="C47" s="402"/>
      <c r="D47" s="403">
        <v>3</v>
      </c>
      <c r="E47" s="402">
        <v>2</v>
      </c>
      <c r="F47" s="402"/>
      <c r="G47" s="402"/>
      <c r="H47" s="402"/>
      <c r="I47" s="406"/>
      <c r="J47" s="407"/>
      <c r="K47" s="414" t="s">
        <v>584</v>
      </c>
      <c r="L47" s="492" t="s">
        <v>80</v>
      </c>
      <c r="M47" s="490" t="s">
        <v>69</v>
      </c>
      <c r="N47" s="494" t="s">
        <v>585</v>
      </c>
      <c r="O47" s="493">
        <v>41271</v>
      </c>
      <c r="P47" s="491" t="s">
        <v>59</v>
      </c>
      <c r="Q47" s="509">
        <v>105</v>
      </c>
      <c r="R47" s="509">
        <v>2</v>
      </c>
      <c r="S47" s="509">
        <v>22</v>
      </c>
      <c r="T47" s="577">
        <v>0</v>
      </c>
      <c r="U47" s="578">
        <v>0</v>
      </c>
      <c r="V47" s="577">
        <v>0</v>
      </c>
      <c r="W47" s="578">
        <v>0</v>
      </c>
      <c r="X47" s="577">
        <v>0</v>
      </c>
      <c r="Y47" s="578">
        <v>0</v>
      </c>
      <c r="Z47" s="483">
        <f t="shared" si="0"/>
        <v>0</v>
      </c>
      <c r="AA47" s="484">
        <f t="shared" si="18"/>
        <v>0</v>
      </c>
      <c r="AB47" s="572">
        <f t="shared" si="19"/>
      </c>
      <c r="AC47" s="573">
        <f t="shared" si="20"/>
      </c>
      <c r="AD47" s="574">
        <v>0</v>
      </c>
      <c r="AE47" s="575">
        <v>0</v>
      </c>
      <c r="AF47" s="568">
        <f t="shared" si="16"/>
      </c>
      <c r="AG47" s="568">
        <f t="shared" si="17"/>
      </c>
      <c r="AH47" s="606">
        <f t="shared" si="21"/>
        <v>6051.6</v>
      </c>
      <c r="AI47" s="607">
        <f t="shared" si="22"/>
        <v>628</v>
      </c>
      <c r="AJ47" s="626">
        <v>6051.6</v>
      </c>
      <c r="AK47" s="627">
        <v>628</v>
      </c>
      <c r="AL47" s="608">
        <f t="shared" si="23"/>
        <v>0</v>
      </c>
      <c r="AM47" s="608">
        <f t="shared" si="24"/>
        <v>1</v>
      </c>
      <c r="AN47" s="607">
        <f t="shared" si="25"/>
        <v>314</v>
      </c>
      <c r="AO47" s="609">
        <f t="shared" si="26"/>
        <v>9.636305732484077</v>
      </c>
      <c r="AP47" s="618">
        <v>356</v>
      </c>
      <c r="AQ47" s="619">
        <v>33</v>
      </c>
      <c r="AR47" s="608">
        <f t="shared" si="27"/>
        <v>15.998876404494384</v>
      </c>
      <c r="AS47" s="608">
        <f t="shared" si="28"/>
        <v>18.03030303030303</v>
      </c>
      <c r="AT47" s="634">
        <f>4817979.03+191946+106642.1+43773.5+46170+62795.45+14506.5+4559+6817+1425.6+1455+1728.5+3706.5+1188+2142+3363.6+356+6051.6</f>
        <v>5316605.379999999</v>
      </c>
      <c r="AU47" s="635">
        <f>392133+13149+7673+2702+3625+5575+1571+266+990+285+264+392+378+238+253+621+33+628</f>
        <v>430776</v>
      </c>
      <c r="AV47" s="612">
        <f t="shared" si="29"/>
        <v>12.341925687596335</v>
      </c>
      <c r="AW47" s="613">
        <v>41516</v>
      </c>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row>
    <row r="48" spans="1:133" s="27" customFormat="1" ht="15.75">
      <c r="A48" s="387">
        <v>40</v>
      </c>
      <c r="B48" s="402"/>
      <c r="C48" s="402"/>
      <c r="D48" s="402"/>
      <c r="E48" s="402"/>
      <c r="F48" s="402"/>
      <c r="G48" s="407"/>
      <c r="H48" s="402" t="s">
        <v>48</v>
      </c>
      <c r="I48" s="409"/>
      <c r="J48" s="405"/>
      <c r="K48" s="414" t="s">
        <v>653</v>
      </c>
      <c r="L48" s="492" t="s">
        <v>654</v>
      </c>
      <c r="M48" s="490"/>
      <c r="N48" s="392" t="s">
        <v>653</v>
      </c>
      <c r="O48" s="493">
        <v>41313</v>
      </c>
      <c r="P48" s="491" t="s">
        <v>12</v>
      </c>
      <c r="Q48" s="509">
        <v>182</v>
      </c>
      <c r="R48" s="509">
        <v>1</v>
      </c>
      <c r="S48" s="509">
        <v>30</v>
      </c>
      <c r="T48" s="585">
        <v>0</v>
      </c>
      <c r="U48" s="586">
        <v>0</v>
      </c>
      <c r="V48" s="585">
        <v>0</v>
      </c>
      <c r="W48" s="586">
        <v>0</v>
      </c>
      <c r="X48" s="585">
        <v>0</v>
      </c>
      <c r="Y48" s="586">
        <v>0</v>
      </c>
      <c r="Z48" s="483">
        <f t="shared" si="0"/>
        <v>0</v>
      </c>
      <c r="AA48" s="484">
        <f t="shared" si="18"/>
        <v>0</v>
      </c>
      <c r="AB48" s="572">
        <f t="shared" si="19"/>
      </c>
      <c r="AC48" s="573">
        <f t="shared" si="20"/>
      </c>
      <c r="AD48" s="574">
        <v>0</v>
      </c>
      <c r="AE48" s="575">
        <v>0</v>
      </c>
      <c r="AF48" s="568">
        <f t="shared" si="16"/>
      </c>
      <c r="AG48" s="568">
        <f t="shared" si="17"/>
      </c>
      <c r="AH48" s="606">
        <f t="shared" si="21"/>
        <v>5978</v>
      </c>
      <c r="AI48" s="607">
        <f t="shared" si="22"/>
        <v>1001</v>
      </c>
      <c r="AJ48" s="622">
        <v>5978</v>
      </c>
      <c r="AK48" s="623">
        <v>1001</v>
      </c>
      <c r="AL48" s="608">
        <f t="shared" si="23"/>
        <v>0</v>
      </c>
      <c r="AM48" s="608">
        <f t="shared" si="24"/>
        <v>1</v>
      </c>
      <c r="AN48" s="607">
        <f t="shared" si="25"/>
        <v>1001</v>
      </c>
      <c r="AO48" s="609">
        <f t="shared" si="26"/>
        <v>5.972027972027972</v>
      </c>
      <c r="AP48" s="614">
        <v>1197</v>
      </c>
      <c r="AQ48" s="615">
        <v>189</v>
      </c>
      <c r="AR48" s="608">
        <f t="shared" si="27"/>
        <v>3.9941520467836256</v>
      </c>
      <c r="AS48" s="608">
        <f t="shared" si="28"/>
        <v>4.296296296296297</v>
      </c>
      <c r="AT48" s="630">
        <v>3326335</v>
      </c>
      <c r="AU48" s="631">
        <v>347663</v>
      </c>
      <c r="AV48" s="612">
        <f t="shared" si="29"/>
        <v>9.567699179953001</v>
      </c>
      <c r="AW48" s="613">
        <v>41516</v>
      </c>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row>
    <row r="49" spans="1:133" s="27" customFormat="1" ht="15.75">
      <c r="A49" s="387">
        <v>41</v>
      </c>
      <c r="B49" s="402"/>
      <c r="C49" s="402"/>
      <c r="D49" s="402"/>
      <c r="E49" s="402"/>
      <c r="F49" s="402"/>
      <c r="G49" s="402"/>
      <c r="H49" s="402" t="s">
        <v>48</v>
      </c>
      <c r="I49" s="409"/>
      <c r="J49" s="405"/>
      <c r="K49" s="414" t="s">
        <v>722</v>
      </c>
      <c r="L49" s="492" t="s">
        <v>723</v>
      </c>
      <c r="M49" s="490"/>
      <c r="N49" s="392" t="s">
        <v>722</v>
      </c>
      <c r="O49" s="493">
        <v>41348</v>
      </c>
      <c r="P49" s="491" t="s">
        <v>10</v>
      </c>
      <c r="Q49" s="509">
        <v>258</v>
      </c>
      <c r="R49" s="391">
        <v>2</v>
      </c>
      <c r="S49" s="391">
        <v>20</v>
      </c>
      <c r="T49" s="581">
        <v>595</v>
      </c>
      <c r="U49" s="582">
        <v>119</v>
      </c>
      <c r="V49" s="581">
        <v>3570</v>
      </c>
      <c r="W49" s="582">
        <v>714</v>
      </c>
      <c r="X49" s="581">
        <v>1190</v>
      </c>
      <c r="Y49" s="582">
        <v>238</v>
      </c>
      <c r="Z49" s="483">
        <f t="shared" si="0"/>
        <v>5355</v>
      </c>
      <c r="AA49" s="484">
        <f t="shared" si="18"/>
        <v>1071</v>
      </c>
      <c r="AB49" s="572">
        <f t="shared" si="19"/>
        <v>535.5</v>
      </c>
      <c r="AC49" s="573">
        <f t="shared" si="20"/>
        <v>5</v>
      </c>
      <c r="AD49" s="574">
        <v>1190</v>
      </c>
      <c r="AE49" s="575">
        <v>238</v>
      </c>
      <c r="AF49" s="568">
        <f t="shared" si="16"/>
        <v>3.5</v>
      </c>
      <c r="AG49" s="568">
        <f t="shared" si="17"/>
        <v>3.5</v>
      </c>
      <c r="AH49" s="606">
        <f t="shared" si="21"/>
        <v>0</v>
      </c>
      <c r="AI49" s="607">
        <f t="shared" si="22"/>
        <v>0</v>
      </c>
      <c r="AJ49" s="624">
        <v>5355</v>
      </c>
      <c r="AK49" s="625">
        <v>1071</v>
      </c>
      <c r="AL49" s="608">
        <f t="shared" si="23"/>
        <v>1</v>
      </c>
      <c r="AM49" s="608">
        <f t="shared" si="24"/>
        <v>0</v>
      </c>
      <c r="AN49" s="607">
        <f t="shared" si="25"/>
        <v>535.5</v>
      </c>
      <c r="AO49" s="609">
        <f t="shared" si="26"/>
        <v>5</v>
      </c>
      <c r="AP49" s="616">
        <v>1190</v>
      </c>
      <c r="AQ49" s="617">
        <v>238</v>
      </c>
      <c r="AR49" s="608">
        <f t="shared" si="27"/>
        <v>3.5</v>
      </c>
      <c r="AS49" s="608">
        <f t="shared" si="28"/>
        <v>3.5</v>
      </c>
      <c r="AT49" s="632">
        <v>5362154</v>
      </c>
      <c r="AU49" s="633">
        <v>668535</v>
      </c>
      <c r="AV49" s="612">
        <f t="shared" si="29"/>
        <v>8.020752840165436</v>
      </c>
      <c r="AW49" s="613">
        <v>41516</v>
      </c>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row>
    <row r="50" spans="1:133" s="27" customFormat="1" ht="15.75">
      <c r="A50" s="474">
        <v>42</v>
      </c>
      <c r="B50" s="402"/>
      <c r="C50" s="402"/>
      <c r="D50" s="402"/>
      <c r="E50" s="402"/>
      <c r="F50" s="402"/>
      <c r="G50" s="402"/>
      <c r="H50" s="402"/>
      <c r="I50" s="411"/>
      <c r="J50" s="405"/>
      <c r="K50" s="414" t="s">
        <v>1111</v>
      </c>
      <c r="L50" s="492" t="s">
        <v>336</v>
      </c>
      <c r="M50" s="490" t="s">
        <v>313</v>
      </c>
      <c r="N50" s="494" t="s">
        <v>1112</v>
      </c>
      <c r="O50" s="493">
        <v>41474</v>
      </c>
      <c r="P50" s="491" t="s">
        <v>59</v>
      </c>
      <c r="Q50" s="509">
        <v>7</v>
      </c>
      <c r="R50" s="509">
        <v>6</v>
      </c>
      <c r="S50" s="509">
        <v>7</v>
      </c>
      <c r="T50" s="590">
        <v>595</v>
      </c>
      <c r="U50" s="591">
        <v>59</v>
      </c>
      <c r="V50" s="590">
        <v>681</v>
      </c>
      <c r="W50" s="591">
        <v>72</v>
      </c>
      <c r="X50" s="590">
        <v>1180</v>
      </c>
      <c r="Y50" s="591">
        <v>132</v>
      </c>
      <c r="Z50" s="483">
        <f t="shared" si="0"/>
        <v>2456</v>
      </c>
      <c r="AA50" s="484">
        <f t="shared" si="18"/>
        <v>263</v>
      </c>
      <c r="AB50" s="572">
        <f t="shared" si="19"/>
        <v>43.833333333333336</v>
      </c>
      <c r="AC50" s="573">
        <f t="shared" si="20"/>
        <v>9.338403041825096</v>
      </c>
      <c r="AD50" s="574">
        <v>2504</v>
      </c>
      <c r="AE50" s="575">
        <v>242</v>
      </c>
      <c r="AF50" s="568">
        <f t="shared" si="16"/>
        <v>-0.019169329073482427</v>
      </c>
      <c r="AG50" s="568">
        <f t="shared" si="17"/>
        <v>0.08677685950413223</v>
      </c>
      <c r="AH50" s="606">
        <f t="shared" si="21"/>
        <v>2790.2299999999996</v>
      </c>
      <c r="AI50" s="607">
        <f t="shared" si="22"/>
        <v>355</v>
      </c>
      <c r="AJ50" s="626">
        <v>5246.23</v>
      </c>
      <c r="AK50" s="627">
        <v>618</v>
      </c>
      <c r="AL50" s="608">
        <f t="shared" si="23"/>
        <v>0.4255663430420712</v>
      </c>
      <c r="AM50" s="608">
        <f t="shared" si="24"/>
        <v>0.5744336569579288</v>
      </c>
      <c r="AN50" s="607">
        <f t="shared" si="25"/>
        <v>103</v>
      </c>
      <c r="AO50" s="609">
        <f t="shared" si="26"/>
        <v>8.489045307443366</v>
      </c>
      <c r="AP50" s="614">
        <v>5415</v>
      </c>
      <c r="AQ50" s="615">
        <v>554</v>
      </c>
      <c r="AR50" s="608">
        <f t="shared" si="27"/>
        <v>-0.03116712834718383</v>
      </c>
      <c r="AS50" s="608">
        <f t="shared" si="28"/>
        <v>0.11552346570397112</v>
      </c>
      <c r="AT50" s="634">
        <f>12123.86+5062.5+1445+205+3881+5415+5246.23</f>
        <v>33378.59</v>
      </c>
      <c r="AU50" s="635">
        <f>923+401+99+20+447+554+618</f>
        <v>3062</v>
      </c>
      <c r="AV50" s="612">
        <f t="shared" si="29"/>
        <v>10.900911169170476</v>
      </c>
      <c r="AW50" s="613">
        <v>41516</v>
      </c>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row>
    <row r="51" spans="1:133" s="27" customFormat="1" ht="15.75">
      <c r="A51" s="387">
        <v>43</v>
      </c>
      <c r="B51" s="402"/>
      <c r="C51" s="403"/>
      <c r="D51" s="403"/>
      <c r="E51" s="402"/>
      <c r="F51" s="403"/>
      <c r="G51" s="402"/>
      <c r="H51" s="402"/>
      <c r="I51" s="409"/>
      <c r="J51" s="410"/>
      <c r="K51" s="383" t="s">
        <v>1011</v>
      </c>
      <c r="L51" s="492" t="s">
        <v>1012</v>
      </c>
      <c r="M51" s="491" t="s">
        <v>313</v>
      </c>
      <c r="N51" s="491" t="s">
        <v>1013</v>
      </c>
      <c r="O51" s="495">
        <v>41439</v>
      </c>
      <c r="P51" s="491" t="s">
        <v>139</v>
      </c>
      <c r="Q51" s="509">
        <v>25</v>
      </c>
      <c r="R51" s="509">
        <v>6</v>
      </c>
      <c r="S51" s="509">
        <v>12</v>
      </c>
      <c r="T51" s="574">
        <v>771.5</v>
      </c>
      <c r="U51" s="575">
        <v>86</v>
      </c>
      <c r="V51" s="574">
        <v>895</v>
      </c>
      <c r="W51" s="575">
        <v>99</v>
      </c>
      <c r="X51" s="574">
        <v>1029</v>
      </c>
      <c r="Y51" s="575">
        <v>116</v>
      </c>
      <c r="Z51" s="483">
        <f t="shared" si="0"/>
        <v>2695.5</v>
      </c>
      <c r="AA51" s="484">
        <f t="shared" si="18"/>
        <v>301</v>
      </c>
      <c r="AB51" s="572">
        <f t="shared" si="19"/>
        <v>50.166666666666664</v>
      </c>
      <c r="AC51" s="573">
        <f t="shared" si="20"/>
        <v>8.955149501661129</v>
      </c>
      <c r="AD51" s="574">
        <v>1091</v>
      </c>
      <c r="AE51" s="575">
        <v>163</v>
      </c>
      <c r="AF51" s="568">
        <f t="shared" si="16"/>
        <v>1.4706691109074244</v>
      </c>
      <c r="AG51" s="568">
        <f t="shared" si="17"/>
        <v>0.8466257668711656</v>
      </c>
      <c r="AH51" s="606">
        <f t="shared" si="21"/>
        <v>2382</v>
      </c>
      <c r="AI51" s="607">
        <f t="shared" si="22"/>
        <v>322</v>
      </c>
      <c r="AJ51" s="622">
        <v>5077.5</v>
      </c>
      <c r="AK51" s="623">
        <v>623</v>
      </c>
      <c r="AL51" s="608">
        <f t="shared" si="23"/>
        <v>0.48314606741573035</v>
      </c>
      <c r="AM51" s="608">
        <f t="shared" si="24"/>
        <v>0.5168539325842697</v>
      </c>
      <c r="AN51" s="607">
        <f t="shared" si="25"/>
        <v>103.83333333333333</v>
      </c>
      <c r="AO51" s="609">
        <f t="shared" si="26"/>
        <v>8.15008025682183</v>
      </c>
      <c r="AP51" s="616">
        <v>2042</v>
      </c>
      <c r="AQ51" s="617">
        <v>316</v>
      </c>
      <c r="AR51" s="608">
        <f t="shared" si="27"/>
        <v>1.4865328109696376</v>
      </c>
      <c r="AS51" s="608">
        <f t="shared" si="28"/>
        <v>0.9715189873417721</v>
      </c>
      <c r="AT51" s="630">
        <v>216417.77000000002</v>
      </c>
      <c r="AU51" s="631">
        <v>23941</v>
      </c>
      <c r="AV51" s="612">
        <f t="shared" si="29"/>
        <v>9.039629505868595</v>
      </c>
      <c r="AW51" s="613">
        <v>41516</v>
      </c>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row>
    <row r="52" spans="1:133" s="27" customFormat="1" ht="15.75">
      <c r="A52" s="387">
        <v>44</v>
      </c>
      <c r="B52" s="402"/>
      <c r="C52" s="402"/>
      <c r="D52" s="402"/>
      <c r="E52" s="402"/>
      <c r="F52" s="402"/>
      <c r="G52" s="402"/>
      <c r="H52" s="402"/>
      <c r="I52" s="409"/>
      <c r="J52" s="405"/>
      <c r="K52" s="413" t="s">
        <v>828</v>
      </c>
      <c r="L52" s="490" t="s">
        <v>830</v>
      </c>
      <c r="M52" s="492" t="s">
        <v>240</v>
      </c>
      <c r="N52" s="496" t="s">
        <v>829</v>
      </c>
      <c r="O52" s="495">
        <v>41397</v>
      </c>
      <c r="P52" s="491" t="s">
        <v>327</v>
      </c>
      <c r="Q52" s="556">
        <v>21</v>
      </c>
      <c r="R52" s="589">
        <v>1</v>
      </c>
      <c r="S52" s="589">
        <v>16</v>
      </c>
      <c r="T52" s="581">
        <v>583</v>
      </c>
      <c r="U52" s="582">
        <v>47</v>
      </c>
      <c r="V52" s="581">
        <v>966</v>
      </c>
      <c r="W52" s="582">
        <v>77</v>
      </c>
      <c r="X52" s="581">
        <v>996</v>
      </c>
      <c r="Y52" s="582">
        <v>80</v>
      </c>
      <c r="Z52" s="483">
        <f t="shared" si="0"/>
        <v>2545</v>
      </c>
      <c r="AA52" s="484">
        <f t="shared" si="18"/>
        <v>204</v>
      </c>
      <c r="AB52" s="572">
        <f t="shared" si="19"/>
        <v>204</v>
      </c>
      <c r="AC52" s="573">
        <f t="shared" si="20"/>
        <v>12.47549019607843</v>
      </c>
      <c r="AD52" s="574">
        <v>2923</v>
      </c>
      <c r="AE52" s="575">
        <v>241</v>
      </c>
      <c r="AF52" s="568">
        <f t="shared" si="16"/>
        <v>-0.12931919261033184</v>
      </c>
      <c r="AG52" s="568">
        <f t="shared" si="17"/>
        <v>-0.15352697095435686</v>
      </c>
      <c r="AH52" s="606">
        <f t="shared" si="21"/>
        <v>1969</v>
      </c>
      <c r="AI52" s="607">
        <f t="shared" si="22"/>
        <v>203</v>
      </c>
      <c r="AJ52" s="624">
        <v>4514</v>
      </c>
      <c r="AK52" s="625">
        <v>407</v>
      </c>
      <c r="AL52" s="608">
        <f t="shared" si="23"/>
        <v>0.5012285012285013</v>
      </c>
      <c r="AM52" s="608">
        <f t="shared" si="24"/>
        <v>0.4987714987714988</v>
      </c>
      <c r="AN52" s="607">
        <f t="shared" si="25"/>
        <v>407</v>
      </c>
      <c r="AO52" s="609">
        <f t="shared" si="26"/>
        <v>11.090909090909092</v>
      </c>
      <c r="AP52" s="616">
        <v>5621</v>
      </c>
      <c r="AQ52" s="617">
        <v>512</v>
      </c>
      <c r="AR52" s="608">
        <f t="shared" si="27"/>
        <v>-0.19694004625511474</v>
      </c>
      <c r="AS52" s="608">
        <f t="shared" si="28"/>
        <v>-0.205078125</v>
      </c>
      <c r="AT52" s="632">
        <v>169372</v>
      </c>
      <c r="AU52" s="633">
        <v>14273</v>
      </c>
      <c r="AV52" s="612">
        <f t="shared" si="29"/>
        <v>11.86660127513487</v>
      </c>
      <c r="AW52" s="613">
        <v>41516</v>
      </c>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row>
    <row r="53" spans="1:133" s="27" customFormat="1" ht="15.75">
      <c r="A53" s="387">
        <v>45</v>
      </c>
      <c r="B53" s="402"/>
      <c r="C53" s="403"/>
      <c r="D53" s="403"/>
      <c r="E53" s="402"/>
      <c r="F53" s="403"/>
      <c r="G53" s="402"/>
      <c r="H53" s="402"/>
      <c r="I53" s="404"/>
      <c r="J53" s="407"/>
      <c r="K53" s="383" t="s">
        <v>1149</v>
      </c>
      <c r="L53" s="492" t="s">
        <v>1151</v>
      </c>
      <c r="M53" s="491" t="s">
        <v>313</v>
      </c>
      <c r="N53" s="491" t="s">
        <v>1150</v>
      </c>
      <c r="O53" s="495">
        <v>41488</v>
      </c>
      <c r="P53" s="491" t="s">
        <v>139</v>
      </c>
      <c r="Q53" s="509">
        <v>3</v>
      </c>
      <c r="R53" s="509">
        <v>3</v>
      </c>
      <c r="S53" s="509">
        <v>5</v>
      </c>
      <c r="T53" s="574">
        <v>596</v>
      </c>
      <c r="U53" s="575">
        <v>54</v>
      </c>
      <c r="V53" s="574">
        <v>960</v>
      </c>
      <c r="W53" s="575">
        <v>89</v>
      </c>
      <c r="X53" s="574">
        <v>1055</v>
      </c>
      <c r="Y53" s="575">
        <v>97</v>
      </c>
      <c r="Z53" s="483">
        <f t="shared" si="0"/>
        <v>2611</v>
      </c>
      <c r="AA53" s="484">
        <f t="shared" si="18"/>
        <v>240</v>
      </c>
      <c r="AB53" s="572">
        <f t="shared" si="19"/>
        <v>80</v>
      </c>
      <c r="AC53" s="573">
        <f t="shared" si="20"/>
        <v>10.879166666666666</v>
      </c>
      <c r="AD53" s="574">
        <v>1364</v>
      </c>
      <c r="AE53" s="575">
        <v>118</v>
      </c>
      <c r="AF53" s="568">
        <f t="shared" si="16"/>
        <v>0.9142228739002932</v>
      </c>
      <c r="AG53" s="568">
        <f t="shared" si="17"/>
        <v>1.0338983050847457</v>
      </c>
      <c r="AH53" s="606">
        <f t="shared" si="21"/>
        <v>1530.3099999999995</v>
      </c>
      <c r="AI53" s="607">
        <f t="shared" si="22"/>
        <v>176</v>
      </c>
      <c r="AJ53" s="622">
        <v>4141.3099999999995</v>
      </c>
      <c r="AK53" s="623">
        <v>416</v>
      </c>
      <c r="AL53" s="608">
        <f t="shared" si="23"/>
        <v>0.5769230769230769</v>
      </c>
      <c r="AM53" s="608">
        <f t="shared" si="24"/>
        <v>0.4230769230769231</v>
      </c>
      <c r="AN53" s="607">
        <f t="shared" si="25"/>
        <v>138.66666666666666</v>
      </c>
      <c r="AO53" s="609">
        <f t="shared" si="26"/>
        <v>9.955072115384613</v>
      </c>
      <c r="AP53" s="616">
        <v>3166.5</v>
      </c>
      <c r="AQ53" s="617">
        <v>299</v>
      </c>
      <c r="AR53" s="608">
        <f t="shared" si="27"/>
        <v>0.30785093952313264</v>
      </c>
      <c r="AS53" s="608">
        <f t="shared" si="28"/>
        <v>0.391304347826087</v>
      </c>
      <c r="AT53" s="630">
        <v>17818.46</v>
      </c>
      <c r="AU53" s="631">
        <v>1563</v>
      </c>
      <c r="AV53" s="612">
        <f t="shared" si="29"/>
        <v>11.400166346769034</v>
      </c>
      <c r="AW53" s="613">
        <v>41516</v>
      </c>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row>
    <row r="54" spans="1:133" s="27" customFormat="1" ht="15.75">
      <c r="A54" s="474">
        <v>46</v>
      </c>
      <c r="B54" s="402"/>
      <c r="C54" s="402"/>
      <c r="D54" s="403"/>
      <c r="E54" s="402"/>
      <c r="F54" s="403"/>
      <c r="G54" s="402"/>
      <c r="H54" s="403"/>
      <c r="I54" s="409"/>
      <c r="J54" s="405"/>
      <c r="K54" s="415" t="s">
        <v>817</v>
      </c>
      <c r="L54" s="496" t="s">
        <v>309</v>
      </c>
      <c r="M54" s="492" t="s">
        <v>400</v>
      </c>
      <c r="N54" s="496" t="s">
        <v>818</v>
      </c>
      <c r="O54" s="495">
        <v>41390</v>
      </c>
      <c r="P54" s="491" t="s">
        <v>8</v>
      </c>
      <c r="Q54" s="556">
        <v>30</v>
      </c>
      <c r="R54" s="423">
        <v>4</v>
      </c>
      <c r="S54" s="423">
        <v>16</v>
      </c>
      <c r="T54" s="581">
        <v>897</v>
      </c>
      <c r="U54" s="582">
        <v>99</v>
      </c>
      <c r="V54" s="581">
        <v>406</v>
      </c>
      <c r="W54" s="582">
        <v>47</v>
      </c>
      <c r="X54" s="581">
        <v>897</v>
      </c>
      <c r="Y54" s="582">
        <v>97</v>
      </c>
      <c r="Z54" s="483">
        <f t="shared" si="0"/>
        <v>2200</v>
      </c>
      <c r="AA54" s="484">
        <f t="shared" si="18"/>
        <v>243</v>
      </c>
      <c r="AB54" s="572">
        <f t="shared" si="19"/>
        <v>60.75</v>
      </c>
      <c r="AC54" s="573">
        <f t="shared" si="20"/>
        <v>9.053497942386832</v>
      </c>
      <c r="AD54" s="574">
        <v>1204</v>
      </c>
      <c r="AE54" s="574">
        <v>148</v>
      </c>
      <c r="AF54" s="568">
        <f t="shared" si="16"/>
        <v>0.8272425249169435</v>
      </c>
      <c r="AG54" s="568">
        <f t="shared" si="17"/>
        <v>0.6418918918918919</v>
      </c>
      <c r="AH54" s="606">
        <f t="shared" si="21"/>
        <v>1876</v>
      </c>
      <c r="AI54" s="607">
        <f t="shared" si="22"/>
        <v>241</v>
      </c>
      <c r="AJ54" s="624">
        <v>4076</v>
      </c>
      <c r="AK54" s="625">
        <v>484</v>
      </c>
      <c r="AL54" s="608">
        <f t="shared" si="23"/>
        <v>0.5020661157024794</v>
      </c>
      <c r="AM54" s="608">
        <f t="shared" si="24"/>
        <v>0.49793388429752067</v>
      </c>
      <c r="AN54" s="607">
        <f t="shared" si="25"/>
        <v>121</v>
      </c>
      <c r="AO54" s="609">
        <f t="shared" si="26"/>
        <v>8.421487603305785</v>
      </c>
      <c r="AP54" s="614">
        <v>2307</v>
      </c>
      <c r="AQ54" s="614">
        <v>309</v>
      </c>
      <c r="AR54" s="608">
        <f t="shared" si="27"/>
        <v>0.7667967056783702</v>
      </c>
      <c r="AS54" s="608">
        <f t="shared" si="28"/>
        <v>0.5663430420711975</v>
      </c>
      <c r="AT54" s="632">
        <v>331506</v>
      </c>
      <c r="AU54" s="633">
        <v>27343</v>
      </c>
      <c r="AV54" s="612">
        <f t="shared" si="29"/>
        <v>12.123980543466335</v>
      </c>
      <c r="AW54" s="613">
        <v>41516</v>
      </c>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row>
    <row r="55" spans="1:133" s="27" customFormat="1" ht="15.75">
      <c r="A55" s="387">
        <v>47</v>
      </c>
      <c r="B55" s="402"/>
      <c r="C55" s="402"/>
      <c r="D55" s="402"/>
      <c r="E55" s="402"/>
      <c r="F55" s="402"/>
      <c r="G55" s="402"/>
      <c r="H55" s="403"/>
      <c r="I55" s="404"/>
      <c r="J55" s="407"/>
      <c r="K55" s="413" t="s">
        <v>1115</v>
      </c>
      <c r="L55" s="490" t="s">
        <v>963</v>
      </c>
      <c r="M55" s="492" t="s">
        <v>1047</v>
      </c>
      <c r="N55" s="496" t="s">
        <v>1116</v>
      </c>
      <c r="O55" s="495">
        <v>41474</v>
      </c>
      <c r="P55" s="491" t="s">
        <v>327</v>
      </c>
      <c r="Q55" s="556">
        <v>18</v>
      </c>
      <c r="R55" s="423">
        <v>7</v>
      </c>
      <c r="S55" s="423">
        <v>7</v>
      </c>
      <c r="T55" s="581">
        <v>527</v>
      </c>
      <c r="U55" s="582">
        <v>62</v>
      </c>
      <c r="V55" s="581">
        <v>689</v>
      </c>
      <c r="W55" s="582">
        <v>77</v>
      </c>
      <c r="X55" s="581">
        <v>697</v>
      </c>
      <c r="Y55" s="582">
        <v>80</v>
      </c>
      <c r="Z55" s="483">
        <f t="shared" si="0"/>
        <v>1913</v>
      </c>
      <c r="AA55" s="484">
        <f t="shared" si="18"/>
        <v>219</v>
      </c>
      <c r="AB55" s="572">
        <f t="shared" si="19"/>
        <v>31.285714285714285</v>
      </c>
      <c r="AC55" s="573">
        <f t="shared" si="20"/>
        <v>8.735159817351597</v>
      </c>
      <c r="AD55" s="574">
        <v>310</v>
      </c>
      <c r="AE55" s="575">
        <v>38</v>
      </c>
      <c r="AF55" s="568">
        <f t="shared" si="16"/>
        <v>5.170967741935484</v>
      </c>
      <c r="AG55" s="568">
        <f t="shared" si="17"/>
        <v>4.7631578947368425</v>
      </c>
      <c r="AH55" s="606">
        <f t="shared" si="21"/>
        <v>2003</v>
      </c>
      <c r="AI55" s="607">
        <f t="shared" si="22"/>
        <v>272</v>
      </c>
      <c r="AJ55" s="624">
        <v>3916</v>
      </c>
      <c r="AK55" s="625">
        <v>491</v>
      </c>
      <c r="AL55" s="608">
        <f t="shared" si="23"/>
        <v>0.4460285132382892</v>
      </c>
      <c r="AM55" s="608">
        <f t="shared" si="24"/>
        <v>0.5539714867617108</v>
      </c>
      <c r="AN55" s="607">
        <f t="shared" si="25"/>
        <v>70.14285714285714</v>
      </c>
      <c r="AO55" s="609">
        <f t="shared" si="26"/>
        <v>7.975560081466395</v>
      </c>
      <c r="AP55" s="616">
        <v>622</v>
      </c>
      <c r="AQ55" s="617">
        <v>79</v>
      </c>
      <c r="AR55" s="608">
        <f t="shared" si="27"/>
        <v>5.295819935691318</v>
      </c>
      <c r="AS55" s="608">
        <f t="shared" si="28"/>
        <v>5.215189873417722</v>
      </c>
      <c r="AT55" s="632">
        <v>143030</v>
      </c>
      <c r="AU55" s="633">
        <v>12446</v>
      </c>
      <c r="AV55" s="612">
        <f t="shared" si="29"/>
        <v>11.492045637152499</v>
      </c>
      <c r="AW55" s="613">
        <v>41516</v>
      </c>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row>
    <row r="56" spans="1:133" s="27" customFormat="1" ht="15.75">
      <c r="A56" s="387">
        <v>48</v>
      </c>
      <c r="B56" s="402"/>
      <c r="C56" s="402"/>
      <c r="D56" s="402"/>
      <c r="E56" s="402"/>
      <c r="F56" s="402"/>
      <c r="G56" s="402"/>
      <c r="H56" s="402"/>
      <c r="I56" s="409"/>
      <c r="J56" s="405"/>
      <c r="K56" s="414" t="s">
        <v>880</v>
      </c>
      <c r="L56" s="492" t="s">
        <v>927</v>
      </c>
      <c r="M56" s="490" t="s">
        <v>81</v>
      </c>
      <c r="N56" s="494" t="s">
        <v>881</v>
      </c>
      <c r="O56" s="495">
        <v>41411</v>
      </c>
      <c r="P56" s="491" t="s">
        <v>59</v>
      </c>
      <c r="Q56" s="509">
        <v>25</v>
      </c>
      <c r="R56" s="509">
        <v>2</v>
      </c>
      <c r="S56" s="509">
        <v>16</v>
      </c>
      <c r="T56" s="590">
        <v>0</v>
      </c>
      <c r="U56" s="591">
        <v>0</v>
      </c>
      <c r="V56" s="590">
        <v>0</v>
      </c>
      <c r="W56" s="591">
        <v>0</v>
      </c>
      <c r="X56" s="590">
        <v>0</v>
      </c>
      <c r="Y56" s="591">
        <v>0</v>
      </c>
      <c r="Z56" s="483">
        <v>0</v>
      </c>
      <c r="AA56" s="484">
        <f t="shared" si="18"/>
        <v>0</v>
      </c>
      <c r="AB56" s="572">
        <f t="shared" si="19"/>
      </c>
      <c r="AC56" s="573">
        <f t="shared" si="20"/>
      </c>
      <c r="AD56" s="574">
        <v>0</v>
      </c>
      <c r="AE56" s="575">
        <v>0</v>
      </c>
      <c r="AF56" s="568">
        <f t="shared" si="16"/>
      </c>
      <c r="AG56" s="568">
        <f t="shared" si="17"/>
      </c>
      <c r="AH56" s="606">
        <f t="shared" si="21"/>
        <v>3880</v>
      </c>
      <c r="AI56" s="607">
        <f t="shared" si="22"/>
        <v>472</v>
      </c>
      <c r="AJ56" s="626">
        <v>3880</v>
      </c>
      <c r="AK56" s="627">
        <v>472</v>
      </c>
      <c r="AL56" s="608">
        <f t="shared" si="23"/>
        <v>0</v>
      </c>
      <c r="AM56" s="608">
        <f t="shared" si="24"/>
        <v>1</v>
      </c>
      <c r="AN56" s="607">
        <f t="shared" si="25"/>
        <v>236</v>
      </c>
      <c r="AO56" s="609">
        <f t="shared" si="26"/>
        <v>8.220338983050848</v>
      </c>
      <c r="AP56" s="614">
        <v>700.5</v>
      </c>
      <c r="AQ56" s="615">
        <v>101</v>
      </c>
      <c r="AR56" s="608">
        <f t="shared" si="27"/>
        <v>4.538900785153462</v>
      </c>
      <c r="AS56" s="608">
        <f t="shared" si="28"/>
        <v>3.6732673267326734</v>
      </c>
      <c r="AT56" s="634">
        <f>53825.68+18463.66+23208.46+22523.86+25321.5+9874.74+13675.88+7530.63+8956.95+6176+6892.5+3042.5+5006.6+1445+700.5+3880</f>
        <v>210524.46</v>
      </c>
      <c r="AU56" s="635">
        <f>5293+2006+2872+2942+3225+1402+1749+948+1093+894+912+407+664+211+101+472</f>
        <v>25191</v>
      </c>
      <c r="AV56" s="612">
        <f t="shared" si="29"/>
        <v>8.357129927355007</v>
      </c>
      <c r="AW56" s="613">
        <v>41516</v>
      </c>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row>
    <row r="57" spans="1:133" s="27" customFormat="1" ht="15.75">
      <c r="A57" s="387">
        <v>49</v>
      </c>
      <c r="B57" s="402"/>
      <c r="C57" s="402" t="s">
        <v>94</v>
      </c>
      <c r="D57" s="402"/>
      <c r="E57" s="402"/>
      <c r="F57" s="402"/>
      <c r="G57" s="402" t="s">
        <v>49</v>
      </c>
      <c r="H57" s="402"/>
      <c r="I57" s="411"/>
      <c r="J57" s="405"/>
      <c r="K57" s="415" t="s">
        <v>831</v>
      </c>
      <c r="L57" s="496" t="s">
        <v>261</v>
      </c>
      <c r="M57" s="492" t="s">
        <v>400</v>
      </c>
      <c r="N57" s="496" t="s">
        <v>832</v>
      </c>
      <c r="O57" s="495">
        <v>41397</v>
      </c>
      <c r="P57" s="491" t="s">
        <v>8</v>
      </c>
      <c r="Q57" s="556">
        <v>8</v>
      </c>
      <c r="R57" s="423">
        <v>3</v>
      </c>
      <c r="S57" s="423">
        <v>11</v>
      </c>
      <c r="T57" s="581">
        <v>427</v>
      </c>
      <c r="U57" s="582">
        <v>44</v>
      </c>
      <c r="V57" s="581">
        <v>712</v>
      </c>
      <c r="W57" s="582">
        <v>77</v>
      </c>
      <c r="X57" s="581">
        <v>660</v>
      </c>
      <c r="Y57" s="582">
        <v>73</v>
      </c>
      <c r="Z57" s="483">
        <f aca="true" t="shared" si="30" ref="Z57:Z88">SUM(T57+V57+X57)</f>
        <v>1799</v>
      </c>
      <c r="AA57" s="484">
        <f t="shared" si="18"/>
        <v>194</v>
      </c>
      <c r="AB57" s="576">
        <f t="shared" si="19"/>
        <v>64.66666666666667</v>
      </c>
      <c r="AC57" s="576">
        <f t="shared" si="20"/>
        <v>9.27319587628866</v>
      </c>
      <c r="AD57" s="574">
        <v>46</v>
      </c>
      <c r="AE57" s="574">
        <v>6</v>
      </c>
      <c r="AF57" s="568">
        <f t="shared" si="16"/>
        <v>38.108695652173914</v>
      </c>
      <c r="AG57" s="568">
        <f t="shared" si="17"/>
        <v>31.333333333333332</v>
      </c>
      <c r="AH57" s="606">
        <f t="shared" si="21"/>
        <v>2019</v>
      </c>
      <c r="AI57" s="607">
        <f t="shared" si="22"/>
        <v>225</v>
      </c>
      <c r="AJ57" s="624">
        <v>3818</v>
      </c>
      <c r="AK57" s="625">
        <v>419</v>
      </c>
      <c r="AL57" s="608">
        <f t="shared" si="23"/>
        <v>0.4630071599045346</v>
      </c>
      <c r="AM57" s="608">
        <f t="shared" si="24"/>
        <v>0.5369928400954654</v>
      </c>
      <c r="AN57" s="607">
        <f t="shared" si="25"/>
        <v>139.66666666666666</v>
      </c>
      <c r="AO57" s="609">
        <f t="shared" si="26"/>
        <v>9.11217183770883</v>
      </c>
      <c r="AP57" s="614">
        <v>76</v>
      </c>
      <c r="AQ57" s="614">
        <v>10</v>
      </c>
      <c r="AR57" s="608">
        <f t="shared" si="27"/>
        <v>49.23684210526316</v>
      </c>
      <c r="AS57" s="608">
        <f t="shared" si="28"/>
        <v>40.9</v>
      </c>
      <c r="AT57" s="632">
        <v>80557</v>
      </c>
      <c r="AU57" s="633">
        <v>6511</v>
      </c>
      <c r="AV57" s="612">
        <f t="shared" si="29"/>
        <v>12.372446628782061</v>
      </c>
      <c r="AW57" s="613">
        <v>41516</v>
      </c>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row>
    <row r="58" spans="1:133" s="27" customFormat="1" ht="15.75">
      <c r="A58" s="474">
        <v>50</v>
      </c>
      <c r="B58" s="402" t="s">
        <v>105</v>
      </c>
      <c r="C58" s="403"/>
      <c r="D58" s="403"/>
      <c r="E58" s="402"/>
      <c r="F58" s="403"/>
      <c r="G58" s="402"/>
      <c r="H58" s="402"/>
      <c r="I58" s="404"/>
      <c r="J58" s="408"/>
      <c r="K58" s="383" t="s">
        <v>572</v>
      </c>
      <c r="L58" s="492" t="s">
        <v>574</v>
      </c>
      <c r="M58" s="496" t="s">
        <v>81</v>
      </c>
      <c r="N58" s="491" t="s">
        <v>573</v>
      </c>
      <c r="O58" s="495">
        <v>41271</v>
      </c>
      <c r="P58" s="491" t="s">
        <v>139</v>
      </c>
      <c r="Q58" s="509">
        <v>3</v>
      </c>
      <c r="R58" s="509">
        <v>1</v>
      </c>
      <c r="S58" s="509">
        <v>25</v>
      </c>
      <c r="T58" s="574">
        <v>0</v>
      </c>
      <c r="U58" s="575">
        <v>0</v>
      </c>
      <c r="V58" s="574">
        <v>0</v>
      </c>
      <c r="W58" s="575">
        <v>0</v>
      </c>
      <c r="X58" s="574">
        <v>0</v>
      </c>
      <c r="Y58" s="575">
        <v>0</v>
      </c>
      <c r="Z58" s="483">
        <f t="shared" si="30"/>
        <v>0</v>
      </c>
      <c r="AA58" s="484">
        <f t="shared" si="18"/>
        <v>0</v>
      </c>
      <c r="AB58" s="572">
        <f t="shared" si="19"/>
      </c>
      <c r="AC58" s="573">
        <f t="shared" si="20"/>
      </c>
      <c r="AD58" s="583">
        <v>0</v>
      </c>
      <c r="AE58" s="578">
        <v>0</v>
      </c>
      <c r="AF58" s="568">
        <f t="shared" si="16"/>
      </c>
      <c r="AG58" s="568">
        <f t="shared" si="17"/>
      </c>
      <c r="AH58" s="606">
        <f t="shared" si="21"/>
        <v>3682.8</v>
      </c>
      <c r="AI58" s="607">
        <f t="shared" si="22"/>
        <v>736</v>
      </c>
      <c r="AJ58" s="622">
        <v>3682.8</v>
      </c>
      <c r="AK58" s="623">
        <v>736</v>
      </c>
      <c r="AL58" s="608">
        <f t="shared" si="23"/>
        <v>0</v>
      </c>
      <c r="AM58" s="608">
        <f t="shared" si="24"/>
        <v>1</v>
      </c>
      <c r="AN58" s="607">
        <f t="shared" si="25"/>
        <v>736</v>
      </c>
      <c r="AO58" s="609">
        <f t="shared" si="26"/>
        <v>5.003804347826088</v>
      </c>
      <c r="AP58" s="614">
        <v>1850</v>
      </c>
      <c r="AQ58" s="615">
        <v>173</v>
      </c>
      <c r="AR58" s="608">
        <f t="shared" si="27"/>
        <v>0.9907027027027028</v>
      </c>
      <c r="AS58" s="608">
        <f t="shared" si="28"/>
        <v>3.254335260115607</v>
      </c>
      <c r="AT58" s="630">
        <v>306341.69999999995</v>
      </c>
      <c r="AU58" s="631">
        <v>29384</v>
      </c>
      <c r="AV58" s="612">
        <f t="shared" si="29"/>
        <v>10.425459433705417</v>
      </c>
      <c r="AW58" s="613">
        <v>41516</v>
      </c>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row>
    <row r="59" spans="1:133" s="27" customFormat="1" ht="15.75">
      <c r="A59" s="387">
        <v>51</v>
      </c>
      <c r="B59" s="402"/>
      <c r="C59" s="402"/>
      <c r="D59" s="403"/>
      <c r="E59" s="402"/>
      <c r="F59" s="403"/>
      <c r="G59" s="402"/>
      <c r="H59" s="403"/>
      <c r="I59" s="404"/>
      <c r="J59" s="410"/>
      <c r="K59" s="415" t="s">
        <v>1076</v>
      </c>
      <c r="L59" s="496" t="s">
        <v>1078</v>
      </c>
      <c r="M59" s="492" t="s">
        <v>400</v>
      </c>
      <c r="N59" s="496" t="s">
        <v>1077</v>
      </c>
      <c r="O59" s="495">
        <v>41460</v>
      </c>
      <c r="P59" s="491" t="s">
        <v>8</v>
      </c>
      <c r="Q59" s="556">
        <v>30</v>
      </c>
      <c r="R59" s="423">
        <v>3</v>
      </c>
      <c r="S59" s="423">
        <v>9</v>
      </c>
      <c r="T59" s="581">
        <v>484</v>
      </c>
      <c r="U59" s="582">
        <v>50</v>
      </c>
      <c r="V59" s="581">
        <v>554</v>
      </c>
      <c r="W59" s="582">
        <v>57</v>
      </c>
      <c r="X59" s="581">
        <v>477</v>
      </c>
      <c r="Y59" s="582">
        <v>50</v>
      </c>
      <c r="Z59" s="483">
        <f t="shared" si="30"/>
        <v>1515</v>
      </c>
      <c r="AA59" s="484">
        <f t="shared" si="18"/>
        <v>157</v>
      </c>
      <c r="AB59" s="572">
        <f t="shared" si="19"/>
        <v>52.333333333333336</v>
      </c>
      <c r="AC59" s="573">
        <f t="shared" si="20"/>
        <v>9.64968152866242</v>
      </c>
      <c r="AD59" s="574">
        <v>1025</v>
      </c>
      <c r="AE59" s="575">
        <v>102</v>
      </c>
      <c r="AF59" s="568">
        <f t="shared" si="16"/>
        <v>0.47804878048780486</v>
      </c>
      <c r="AG59" s="568">
        <f t="shared" si="17"/>
        <v>0.5392156862745098</v>
      </c>
      <c r="AH59" s="606">
        <f t="shared" si="21"/>
        <v>2064</v>
      </c>
      <c r="AI59" s="607">
        <f t="shared" si="22"/>
        <v>250</v>
      </c>
      <c r="AJ59" s="624">
        <v>3579</v>
      </c>
      <c r="AK59" s="625">
        <v>407</v>
      </c>
      <c r="AL59" s="608">
        <f t="shared" si="23"/>
        <v>0.3857493857493858</v>
      </c>
      <c r="AM59" s="608">
        <f t="shared" si="24"/>
        <v>0.6142506142506142</v>
      </c>
      <c r="AN59" s="607">
        <f t="shared" si="25"/>
        <v>135.66666666666666</v>
      </c>
      <c r="AO59" s="609">
        <f t="shared" si="26"/>
        <v>8.793611793611793</v>
      </c>
      <c r="AP59" s="614">
        <v>1991</v>
      </c>
      <c r="AQ59" s="615">
        <v>216</v>
      </c>
      <c r="AR59" s="608">
        <f t="shared" si="27"/>
        <v>0.7975891511803114</v>
      </c>
      <c r="AS59" s="608">
        <f t="shared" si="28"/>
        <v>0.8842592592592593</v>
      </c>
      <c r="AT59" s="632">
        <v>208719</v>
      </c>
      <c r="AU59" s="633">
        <v>18509</v>
      </c>
      <c r="AV59" s="612">
        <f t="shared" si="29"/>
        <v>11.276622183802475</v>
      </c>
      <c r="AW59" s="613">
        <v>41516</v>
      </c>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row>
    <row r="60" spans="1:133" s="27" customFormat="1" ht="15.75">
      <c r="A60" s="387">
        <v>52</v>
      </c>
      <c r="B60" s="402"/>
      <c r="C60" s="402" t="s">
        <v>94</v>
      </c>
      <c r="D60" s="402">
        <v>3</v>
      </c>
      <c r="E60" s="402">
        <v>2</v>
      </c>
      <c r="F60" s="402" t="s">
        <v>112</v>
      </c>
      <c r="G60" s="402" t="s">
        <v>49</v>
      </c>
      <c r="H60" s="402"/>
      <c r="I60" s="404"/>
      <c r="J60" s="407"/>
      <c r="K60" s="414" t="s">
        <v>1034</v>
      </c>
      <c r="L60" s="392" t="s">
        <v>71</v>
      </c>
      <c r="M60" s="490" t="s">
        <v>72</v>
      </c>
      <c r="N60" s="392" t="s">
        <v>1032</v>
      </c>
      <c r="O60" s="495">
        <v>41446</v>
      </c>
      <c r="P60" s="491" t="s">
        <v>12</v>
      </c>
      <c r="Q60" s="509">
        <v>170</v>
      </c>
      <c r="R60" s="509">
        <v>11</v>
      </c>
      <c r="S60" s="509">
        <v>11</v>
      </c>
      <c r="T60" s="585">
        <v>517</v>
      </c>
      <c r="U60" s="586">
        <v>79</v>
      </c>
      <c r="V60" s="585">
        <v>629</v>
      </c>
      <c r="W60" s="586">
        <v>95</v>
      </c>
      <c r="X60" s="585">
        <v>497</v>
      </c>
      <c r="Y60" s="586">
        <v>74</v>
      </c>
      <c r="Z60" s="483">
        <f t="shared" si="30"/>
        <v>1643</v>
      </c>
      <c r="AA60" s="484">
        <f t="shared" si="18"/>
        <v>248</v>
      </c>
      <c r="AB60" s="572">
        <f t="shared" si="19"/>
        <v>22.545454545454547</v>
      </c>
      <c r="AC60" s="573">
        <f t="shared" si="20"/>
        <v>6.625</v>
      </c>
      <c r="AD60" s="574">
        <v>1882</v>
      </c>
      <c r="AE60" s="575">
        <v>271</v>
      </c>
      <c r="AF60" s="568">
        <f t="shared" si="16"/>
        <v>-0.12699256110520724</v>
      </c>
      <c r="AG60" s="568">
        <f t="shared" si="17"/>
        <v>-0.08487084870848709</v>
      </c>
      <c r="AH60" s="606">
        <f t="shared" si="21"/>
        <v>1492</v>
      </c>
      <c r="AI60" s="607">
        <f t="shared" si="22"/>
        <v>236</v>
      </c>
      <c r="AJ60" s="622">
        <v>3135</v>
      </c>
      <c r="AK60" s="623">
        <v>484</v>
      </c>
      <c r="AL60" s="608">
        <f t="shared" si="23"/>
        <v>0.512396694214876</v>
      </c>
      <c r="AM60" s="608">
        <f t="shared" si="24"/>
        <v>0.48760330578512395</v>
      </c>
      <c r="AN60" s="607">
        <f t="shared" si="25"/>
        <v>44</v>
      </c>
      <c r="AO60" s="609">
        <f t="shared" si="26"/>
        <v>6.4772727272727275</v>
      </c>
      <c r="AP60" s="618">
        <v>3740</v>
      </c>
      <c r="AQ60" s="619">
        <v>544</v>
      </c>
      <c r="AR60" s="608">
        <f t="shared" si="27"/>
        <v>-0.16176470588235295</v>
      </c>
      <c r="AS60" s="608">
        <f t="shared" si="28"/>
        <v>-0.11029411764705882</v>
      </c>
      <c r="AT60" s="630">
        <v>3620014</v>
      </c>
      <c r="AU60" s="631">
        <v>356552</v>
      </c>
      <c r="AV60" s="612">
        <f t="shared" si="29"/>
        <v>10.15283605196437</v>
      </c>
      <c r="AW60" s="613">
        <v>41516</v>
      </c>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row>
    <row r="61" spans="1:133" s="27" customFormat="1" ht="15.75">
      <c r="A61" s="387">
        <v>53</v>
      </c>
      <c r="B61" s="402"/>
      <c r="C61" s="403"/>
      <c r="D61" s="403"/>
      <c r="E61" s="402"/>
      <c r="F61" s="403"/>
      <c r="G61" s="402"/>
      <c r="H61" s="402"/>
      <c r="I61" s="409"/>
      <c r="J61" s="410"/>
      <c r="K61" s="383" t="s">
        <v>1063</v>
      </c>
      <c r="L61" s="492" t="s">
        <v>1062</v>
      </c>
      <c r="M61" s="491" t="s">
        <v>256</v>
      </c>
      <c r="N61" s="491" t="s">
        <v>1060</v>
      </c>
      <c r="O61" s="495">
        <v>41453</v>
      </c>
      <c r="P61" s="491" t="s">
        <v>139</v>
      </c>
      <c r="Q61" s="509">
        <v>5</v>
      </c>
      <c r="R61" s="509">
        <v>5</v>
      </c>
      <c r="S61" s="509">
        <v>10</v>
      </c>
      <c r="T61" s="574">
        <v>469.5</v>
      </c>
      <c r="U61" s="575">
        <v>52</v>
      </c>
      <c r="V61" s="574">
        <v>474.5</v>
      </c>
      <c r="W61" s="575">
        <v>55</v>
      </c>
      <c r="X61" s="574">
        <v>636</v>
      </c>
      <c r="Y61" s="575">
        <v>74</v>
      </c>
      <c r="Z61" s="483">
        <f t="shared" si="30"/>
        <v>1580</v>
      </c>
      <c r="AA61" s="484">
        <f t="shared" si="18"/>
        <v>181</v>
      </c>
      <c r="AB61" s="572">
        <f t="shared" si="19"/>
        <v>36.2</v>
      </c>
      <c r="AC61" s="573">
        <f t="shared" si="20"/>
        <v>8.7292817679558</v>
      </c>
      <c r="AD61" s="574">
        <v>1082.94</v>
      </c>
      <c r="AE61" s="575">
        <v>104</v>
      </c>
      <c r="AF61" s="568">
        <f t="shared" si="16"/>
        <v>0.45899126452065664</v>
      </c>
      <c r="AG61" s="568">
        <f t="shared" si="17"/>
        <v>0.7403846153846154</v>
      </c>
      <c r="AH61" s="606">
        <f t="shared" si="21"/>
        <v>1449</v>
      </c>
      <c r="AI61" s="607">
        <f t="shared" si="22"/>
        <v>211</v>
      </c>
      <c r="AJ61" s="622">
        <v>3029</v>
      </c>
      <c r="AK61" s="623">
        <v>392</v>
      </c>
      <c r="AL61" s="608">
        <f t="shared" si="23"/>
        <v>0.461734693877551</v>
      </c>
      <c r="AM61" s="608">
        <f t="shared" si="24"/>
        <v>0.5382653061224489</v>
      </c>
      <c r="AN61" s="607">
        <f t="shared" si="25"/>
        <v>78.4</v>
      </c>
      <c r="AO61" s="609">
        <f t="shared" si="26"/>
        <v>7.7270408163265305</v>
      </c>
      <c r="AP61" s="616">
        <v>2105.59</v>
      </c>
      <c r="AQ61" s="617">
        <v>230</v>
      </c>
      <c r="AR61" s="608">
        <f t="shared" si="27"/>
        <v>0.4385516648540313</v>
      </c>
      <c r="AS61" s="608">
        <f t="shared" si="28"/>
        <v>0.7043478260869566</v>
      </c>
      <c r="AT61" s="630">
        <v>28394.489999999998</v>
      </c>
      <c r="AU61" s="631">
        <v>3249</v>
      </c>
      <c r="AV61" s="612">
        <f t="shared" si="29"/>
        <v>8.739455216989843</v>
      </c>
      <c r="AW61" s="613">
        <v>41516</v>
      </c>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row>
    <row r="62" spans="1:133" s="27" customFormat="1" ht="15.75">
      <c r="A62" s="474">
        <v>54</v>
      </c>
      <c r="B62" s="402"/>
      <c r="C62" s="402"/>
      <c r="D62" s="402"/>
      <c r="E62" s="402"/>
      <c r="F62" s="402"/>
      <c r="G62" s="402"/>
      <c r="H62" s="403"/>
      <c r="I62" s="404"/>
      <c r="J62" s="407"/>
      <c r="K62" s="413" t="s">
        <v>1144</v>
      </c>
      <c r="L62" s="490" t="s">
        <v>1142</v>
      </c>
      <c r="M62" s="492" t="s">
        <v>1047</v>
      </c>
      <c r="N62" s="496" t="s">
        <v>1143</v>
      </c>
      <c r="O62" s="495">
        <v>41488</v>
      </c>
      <c r="P62" s="491" t="s">
        <v>327</v>
      </c>
      <c r="Q62" s="556">
        <v>5</v>
      </c>
      <c r="R62" s="423">
        <v>3</v>
      </c>
      <c r="S62" s="423">
        <v>5</v>
      </c>
      <c r="T62" s="581">
        <v>366</v>
      </c>
      <c r="U62" s="582">
        <v>26</v>
      </c>
      <c r="V62" s="581">
        <v>720</v>
      </c>
      <c r="W62" s="582">
        <v>52</v>
      </c>
      <c r="X62" s="581">
        <v>548</v>
      </c>
      <c r="Y62" s="582">
        <v>39</v>
      </c>
      <c r="Z62" s="483">
        <f t="shared" si="30"/>
        <v>1634</v>
      </c>
      <c r="AA62" s="484">
        <f t="shared" si="18"/>
        <v>117</v>
      </c>
      <c r="AB62" s="572">
        <f t="shared" si="19"/>
        <v>39</v>
      </c>
      <c r="AC62" s="573">
        <f t="shared" si="20"/>
        <v>13.965811965811966</v>
      </c>
      <c r="AD62" s="574">
        <v>570</v>
      </c>
      <c r="AE62" s="575">
        <v>42</v>
      </c>
      <c r="AF62" s="568">
        <f t="shared" si="16"/>
        <v>1.8666666666666667</v>
      </c>
      <c r="AG62" s="568">
        <f t="shared" si="17"/>
        <v>1.7857142857142858</v>
      </c>
      <c r="AH62" s="606">
        <f t="shared" si="21"/>
        <v>1370</v>
      </c>
      <c r="AI62" s="607">
        <f t="shared" si="22"/>
        <v>117</v>
      </c>
      <c r="AJ62" s="624">
        <v>3004</v>
      </c>
      <c r="AK62" s="625">
        <v>234</v>
      </c>
      <c r="AL62" s="608">
        <f t="shared" si="23"/>
        <v>0.5</v>
      </c>
      <c r="AM62" s="608">
        <f t="shared" si="24"/>
        <v>0.5</v>
      </c>
      <c r="AN62" s="607">
        <f t="shared" si="25"/>
        <v>78</v>
      </c>
      <c r="AO62" s="609">
        <f t="shared" si="26"/>
        <v>12.837606837606838</v>
      </c>
      <c r="AP62" s="616">
        <v>987</v>
      </c>
      <c r="AQ62" s="617">
        <v>84</v>
      </c>
      <c r="AR62" s="608">
        <f t="shared" si="27"/>
        <v>2.043566362715299</v>
      </c>
      <c r="AS62" s="608">
        <f t="shared" si="28"/>
        <v>1.7857142857142858</v>
      </c>
      <c r="AT62" s="632">
        <v>41239</v>
      </c>
      <c r="AU62" s="633">
        <v>3362</v>
      </c>
      <c r="AV62" s="612">
        <f t="shared" si="29"/>
        <v>12.266210588935158</v>
      </c>
      <c r="AW62" s="613">
        <v>41516</v>
      </c>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row>
    <row r="63" spans="1:133" s="27" customFormat="1" ht="15.75">
      <c r="A63" s="387">
        <v>55</v>
      </c>
      <c r="B63" s="402"/>
      <c r="C63" s="402" t="s">
        <v>94</v>
      </c>
      <c r="D63" s="402">
        <v>3</v>
      </c>
      <c r="E63" s="402"/>
      <c r="F63" s="402"/>
      <c r="G63" s="402"/>
      <c r="H63" s="402"/>
      <c r="I63" s="409"/>
      <c r="J63" s="410"/>
      <c r="K63" s="414" t="s">
        <v>1010</v>
      </c>
      <c r="L63" s="492" t="s">
        <v>267</v>
      </c>
      <c r="M63" s="490" t="s">
        <v>73</v>
      </c>
      <c r="N63" s="392" t="s">
        <v>1010</v>
      </c>
      <c r="O63" s="493">
        <v>41439</v>
      </c>
      <c r="P63" s="491" t="s">
        <v>10</v>
      </c>
      <c r="Q63" s="509">
        <v>221</v>
      </c>
      <c r="R63" s="391">
        <v>1</v>
      </c>
      <c r="S63" s="391">
        <v>12</v>
      </c>
      <c r="T63" s="581">
        <v>0</v>
      </c>
      <c r="U63" s="582">
        <v>0</v>
      </c>
      <c r="V63" s="581">
        <v>0</v>
      </c>
      <c r="W63" s="582">
        <v>0</v>
      </c>
      <c r="X63" s="581">
        <v>2980</v>
      </c>
      <c r="Y63" s="582">
        <v>298</v>
      </c>
      <c r="Z63" s="483">
        <f t="shared" si="30"/>
        <v>2980</v>
      </c>
      <c r="AA63" s="484">
        <f t="shared" si="18"/>
        <v>298</v>
      </c>
      <c r="AB63" s="572">
        <f t="shared" si="19"/>
        <v>298</v>
      </c>
      <c r="AC63" s="573">
        <f t="shared" si="20"/>
        <v>10</v>
      </c>
      <c r="AD63" s="574">
        <v>67</v>
      </c>
      <c r="AE63" s="575">
        <v>10</v>
      </c>
      <c r="AF63" s="568">
        <f t="shared" si="16"/>
        <v>43.47761194029851</v>
      </c>
      <c r="AG63" s="568">
        <f t="shared" si="17"/>
        <v>28.8</v>
      </c>
      <c r="AH63" s="606">
        <f t="shared" si="21"/>
        <v>0</v>
      </c>
      <c r="AI63" s="607">
        <f t="shared" si="22"/>
        <v>0</v>
      </c>
      <c r="AJ63" s="624">
        <v>2980</v>
      </c>
      <c r="AK63" s="625">
        <v>298</v>
      </c>
      <c r="AL63" s="608">
        <f t="shared" si="23"/>
        <v>1</v>
      </c>
      <c r="AM63" s="608">
        <f t="shared" si="24"/>
        <v>0</v>
      </c>
      <c r="AN63" s="607">
        <f t="shared" si="25"/>
        <v>298</v>
      </c>
      <c r="AO63" s="609">
        <f t="shared" si="26"/>
        <v>10</v>
      </c>
      <c r="AP63" s="616">
        <v>138</v>
      </c>
      <c r="AQ63" s="617">
        <v>21</v>
      </c>
      <c r="AR63" s="608">
        <f t="shared" si="27"/>
        <v>20.594202898550726</v>
      </c>
      <c r="AS63" s="608">
        <f t="shared" si="28"/>
        <v>13.19047619047619</v>
      </c>
      <c r="AT63" s="632">
        <v>3654649</v>
      </c>
      <c r="AU63" s="633">
        <v>313357</v>
      </c>
      <c r="AV63" s="612">
        <f t="shared" si="29"/>
        <v>11.662892483652831</v>
      </c>
      <c r="AW63" s="613">
        <v>41516</v>
      </c>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row>
    <row r="64" spans="1:133" s="27" customFormat="1" ht="15.75">
      <c r="A64" s="387">
        <v>56</v>
      </c>
      <c r="B64" s="402"/>
      <c r="C64" s="402"/>
      <c r="D64" s="402"/>
      <c r="E64" s="402"/>
      <c r="F64" s="402"/>
      <c r="G64" s="402"/>
      <c r="H64" s="402" t="s">
        <v>48</v>
      </c>
      <c r="I64" s="409"/>
      <c r="J64" s="405"/>
      <c r="K64" s="414" t="s">
        <v>741</v>
      </c>
      <c r="L64" s="492" t="s">
        <v>742</v>
      </c>
      <c r="M64" s="490"/>
      <c r="N64" s="392" t="s">
        <v>741</v>
      </c>
      <c r="O64" s="493">
        <v>41362</v>
      </c>
      <c r="P64" s="491" t="s">
        <v>10</v>
      </c>
      <c r="Q64" s="509">
        <v>268</v>
      </c>
      <c r="R64" s="391">
        <v>1</v>
      </c>
      <c r="S64" s="391">
        <v>22</v>
      </c>
      <c r="T64" s="581">
        <v>0</v>
      </c>
      <c r="U64" s="582">
        <v>0</v>
      </c>
      <c r="V64" s="581">
        <v>0</v>
      </c>
      <c r="W64" s="582">
        <v>0</v>
      </c>
      <c r="X64" s="581">
        <v>2975</v>
      </c>
      <c r="Y64" s="582">
        <v>595</v>
      </c>
      <c r="Z64" s="483">
        <f t="shared" si="30"/>
        <v>2975</v>
      </c>
      <c r="AA64" s="484">
        <f t="shared" si="18"/>
        <v>595</v>
      </c>
      <c r="AB64" s="572">
        <f t="shared" si="19"/>
        <v>595</v>
      </c>
      <c r="AC64" s="573">
        <f t="shared" si="20"/>
        <v>5</v>
      </c>
      <c r="AD64" s="574">
        <v>6845</v>
      </c>
      <c r="AE64" s="575">
        <v>1368</v>
      </c>
      <c r="AF64" s="568">
        <f t="shared" si="16"/>
        <v>-0.5653761869978087</v>
      </c>
      <c r="AG64" s="568">
        <f t="shared" si="17"/>
        <v>-0.5650584795321637</v>
      </c>
      <c r="AH64" s="606">
        <f t="shared" si="21"/>
        <v>0</v>
      </c>
      <c r="AI64" s="607">
        <f t="shared" si="22"/>
        <v>0</v>
      </c>
      <c r="AJ64" s="624">
        <v>2975</v>
      </c>
      <c r="AK64" s="625">
        <v>595</v>
      </c>
      <c r="AL64" s="608">
        <f t="shared" si="23"/>
        <v>1</v>
      </c>
      <c r="AM64" s="608">
        <f t="shared" si="24"/>
        <v>0</v>
      </c>
      <c r="AN64" s="607">
        <f t="shared" si="25"/>
        <v>595</v>
      </c>
      <c r="AO64" s="609">
        <f t="shared" si="26"/>
        <v>5</v>
      </c>
      <c r="AP64" s="616">
        <v>6845</v>
      </c>
      <c r="AQ64" s="617">
        <v>1368</v>
      </c>
      <c r="AR64" s="608">
        <f t="shared" si="27"/>
        <v>-0.5653761869978087</v>
      </c>
      <c r="AS64" s="608">
        <f t="shared" si="28"/>
        <v>-0.5650584795321637</v>
      </c>
      <c r="AT64" s="632">
        <v>14892855</v>
      </c>
      <c r="AU64" s="633">
        <v>2141417</v>
      </c>
      <c r="AV64" s="612">
        <f t="shared" si="29"/>
        <v>6.95467300390349</v>
      </c>
      <c r="AW64" s="613">
        <v>41516</v>
      </c>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row>
    <row r="65" spans="1:133" s="27" customFormat="1" ht="15.75">
      <c r="A65" s="387">
        <v>57</v>
      </c>
      <c r="B65" s="402"/>
      <c r="C65" s="402"/>
      <c r="D65" s="403"/>
      <c r="E65" s="402"/>
      <c r="F65" s="403"/>
      <c r="G65" s="402"/>
      <c r="H65" s="403"/>
      <c r="I65" s="409"/>
      <c r="J65" s="405"/>
      <c r="K65" s="415" t="s">
        <v>888</v>
      </c>
      <c r="L65" s="496" t="s">
        <v>890</v>
      </c>
      <c r="M65" s="492" t="s">
        <v>400</v>
      </c>
      <c r="N65" s="496" t="s">
        <v>889</v>
      </c>
      <c r="O65" s="495">
        <v>41411</v>
      </c>
      <c r="P65" s="491" t="s">
        <v>8</v>
      </c>
      <c r="Q65" s="556">
        <v>30</v>
      </c>
      <c r="R65" s="423">
        <v>2</v>
      </c>
      <c r="S65" s="423">
        <v>16</v>
      </c>
      <c r="T65" s="581">
        <v>369</v>
      </c>
      <c r="U65" s="582">
        <v>38</v>
      </c>
      <c r="V65" s="581">
        <v>387</v>
      </c>
      <c r="W65" s="582">
        <v>39</v>
      </c>
      <c r="X65" s="581">
        <v>857</v>
      </c>
      <c r="Y65" s="582">
        <v>87</v>
      </c>
      <c r="Z65" s="483">
        <f t="shared" si="30"/>
        <v>1613</v>
      </c>
      <c r="AA65" s="484">
        <f t="shared" si="18"/>
        <v>164</v>
      </c>
      <c r="AB65" s="572">
        <f t="shared" si="19"/>
        <v>82</v>
      </c>
      <c r="AC65" s="573">
        <f t="shared" si="20"/>
        <v>9.835365853658537</v>
      </c>
      <c r="AD65" s="574">
        <v>654</v>
      </c>
      <c r="AE65" s="575">
        <v>72</v>
      </c>
      <c r="AF65" s="568">
        <f t="shared" si="16"/>
        <v>1.466360856269113</v>
      </c>
      <c r="AG65" s="568">
        <f t="shared" si="17"/>
        <v>1.2777777777777777</v>
      </c>
      <c r="AH65" s="606">
        <f t="shared" si="21"/>
        <v>1201</v>
      </c>
      <c r="AI65" s="607">
        <f t="shared" si="22"/>
        <v>150</v>
      </c>
      <c r="AJ65" s="624">
        <v>2814</v>
      </c>
      <c r="AK65" s="625">
        <v>314</v>
      </c>
      <c r="AL65" s="608">
        <f t="shared" si="23"/>
        <v>0.5222929936305732</v>
      </c>
      <c r="AM65" s="608">
        <f t="shared" si="24"/>
        <v>0.47770700636942676</v>
      </c>
      <c r="AN65" s="607">
        <f t="shared" si="25"/>
        <v>157</v>
      </c>
      <c r="AO65" s="609">
        <f t="shared" si="26"/>
        <v>8.961783439490446</v>
      </c>
      <c r="AP65" s="614">
        <v>1352</v>
      </c>
      <c r="AQ65" s="615">
        <v>164</v>
      </c>
      <c r="AR65" s="608">
        <f t="shared" si="27"/>
        <v>1.081360946745562</v>
      </c>
      <c r="AS65" s="608">
        <f t="shared" si="28"/>
        <v>0.9146341463414634</v>
      </c>
      <c r="AT65" s="632">
        <v>222884</v>
      </c>
      <c r="AU65" s="633">
        <v>21540</v>
      </c>
      <c r="AV65" s="612">
        <f t="shared" si="29"/>
        <v>10.34744661095636</v>
      </c>
      <c r="AW65" s="613">
        <v>41516</v>
      </c>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row>
    <row r="66" spans="1:133" s="27" customFormat="1" ht="15.75">
      <c r="A66" s="474">
        <v>58</v>
      </c>
      <c r="B66" s="402"/>
      <c r="C66" s="403"/>
      <c r="D66" s="403"/>
      <c r="E66" s="402"/>
      <c r="F66" s="403"/>
      <c r="G66" s="402"/>
      <c r="H66" s="402"/>
      <c r="I66" s="404"/>
      <c r="J66" s="410"/>
      <c r="K66" s="383" t="s">
        <v>1135</v>
      </c>
      <c r="L66" s="492" t="s">
        <v>1132</v>
      </c>
      <c r="M66" s="491" t="s">
        <v>81</v>
      </c>
      <c r="N66" s="491" t="s">
        <v>1131</v>
      </c>
      <c r="O66" s="495">
        <v>41481</v>
      </c>
      <c r="P66" s="491" t="s">
        <v>139</v>
      </c>
      <c r="Q66" s="509">
        <v>9</v>
      </c>
      <c r="R66" s="509">
        <v>6</v>
      </c>
      <c r="S66" s="509">
        <v>6</v>
      </c>
      <c r="T66" s="574">
        <v>238</v>
      </c>
      <c r="U66" s="575">
        <v>25</v>
      </c>
      <c r="V66" s="574">
        <v>223</v>
      </c>
      <c r="W66" s="575">
        <v>26</v>
      </c>
      <c r="X66" s="574">
        <v>210.5</v>
      </c>
      <c r="Y66" s="575">
        <v>28</v>
      </c>
      <c r="Z66" s="483">
        <f t="shared" si="30"/>
        <v>671.5</v>
      </c>
      <c r="AA66" s="484">
        <f t="shared" si="18"/>
        <v>79</v>
      </c>
      <c r="AB66" s="572">
        <f t="shared" si="19"/>
        <v>13.166666666666666</v>
      </c>
      <c r="AC66" s="573">
        <f t="shared" si="20"/>
        <v>8.5</v>
      </c>
      <c r="AD66" s="574">
        <v>78</v>
      </c>
      <c r="AE66" s="575">
        <v>10</v>
      </c>
      <c r="AF66" s="568">
        <f t="shared" si="16"/>
        <v>7.608974358974359</v>
      </c>
      <c r="AG66" s="568">
        <f t="shared" si="17"/>
        <v>6.9</v>
      </c>
      <c r="AH66" s="606">
        <f t="shared" si="21"/>
        <v>2029.6</v>
      </c>
      <c r="AI66" s="607">
        <f t="shared" si="22"/>
        <v>367</v>
      </c>
      <c r="AJ66" s="622">
        <v>2701.1</v>
      </c>
      <c r="AK66" s="623">
        <v>446</v>
      </c>
      <c r="AL66" s="608">
        <f t="shared" si="23"/>
        <v>0.17713004484304934</v>
      </c>
      <c r="AM66" s="608">
        <f t="shared" si="24"/>
        <v>0.8228699551569507</v>
      </c>
      <c r="AN66" s="607">
        <f t="shared" si="25"/>
        <v>74.33333333333333</v>
      </c>
      <c r="AO66" s="609">
        <f t="shared" si="26"/>
        <v>6.056278026905829</v>
      </c>
      <c r="AP66" s="616">
        <v>172</v>
      </c>
      <c r="AQ66" s="617">
        <v>28</v>
      </c>
      <c r="AR66" s="608">
        <f t="shared" si="27"/>
        <v>14.70406976744186</v>
      </c>
      <c r="AS66" s="608">
        <f t="shared" si="28"/>
        <v>14.928571428571429</v>
      </c>
      <c r="AT66" s="630">
        <v>23076.1</v>
      </c>
      <c r="AU66" s="631">
        <v>2045</v>
      </c>
      <c r="AV66" s="612">
        <f t="shared" si="29"/>
        <v>11.284156479217604</v>
      </c>
      <c r="AW66" s="613">
        <v>41516</v>
      </c>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row>
    <row r="67" spans="1:133" s="27" customFormat="1" ht="15.75">
      <c r="A67" s="387">
        <v>59</v>
      </c>
      <c r="B67" s="402"/>
      <c r="C67" s="403"/>
      <c r="D67" s="403"/>
      <c r="E67" s="402"/>
      <c r="F67" s="403"/>
      <c r="G67" s="402"/>
      <c r="H67" s="402"/>
      <c r="I67" s="404"/>
      <c r="J67" s="407"/>
      <c r="K67" s="383" t="s">
        <v>1152</v>
      </c>
      <c r="L67" s="492" t="s">
        <v>1154</v>
      </c>
      <c r="M67" s="491" t="s">
        <v>313</v>
      </c>
      <c r="N67" s="491" t="s">
        <v>1153</v>
      </c>
      <c r="O67" s="495">
        <v>41495</v>
      </c>
      <c r="P67" s="491" t="s">
        <v>139</v>
      </c>
      <c r="Q67" s="509">
        <v>2</v>
      </c>
      <c r="R67" s="509">
        <v>2</v>
      </c>
      <c r="S67" s="509">
        <v>4</v>
      </c>
      <c r="T67" s="574">
        <v>562</v>
      </c>
      <c r="U67" s="575">
        <v>53</v>
      </c>
      <c r="V67" s="574">
        <v>480</v>
      </c>
      <c r="W67" s="575">
        <v>45</v>
      </c>
      <c r="X67" s="574">
        <v>482</v>
      </c>
      <c r="Y67" s="575">
        <v>46</v>
      </c>
      <c r="Z67" s="483">
        <f t="shared" si="30"/>
        <v>1524</v>
      </c>
      <c r="AA67" s="484">
        <f t="shared" si="18"/>
        <v>144</v>
      </c>
      <c r="AB67" s="572">
        <f t="shared" si="19"/>
        <v>72</v>
      </c>
      <c r="AC67" s="573">
        <f t="shared" si="20"/>
        <v>10.583333333333334</v>
      </c>
      <c r="AD67" s="574">
        <v>2006</v>
      </c>
      <c r="AE67" s="575">
        <v>182</v>
      </c>
      <c r="AF67" s="568">
        <f t="shared" si="16"/>
        <v>-0.24027916251246262</v>
      </c>
      <c r="AG67" s="568">
        <f t="shared" si="17"/>
        <v>-0.2087912087912088</v>
      </c>
      <c r="AH67" s="606">
        <f t="shared" si="21"/>
        <v>1167.4099999999999</v>
      </c>
      <c r="AI67" s="607">
        <f t="shared" si="22"/>
        <v>132</v>
      </c>
      <c r="AJ67" s="622">
        <v>2691.41</v>
      </c>
      <c r="AK67" s="623">
        <v>276</v>
      </c>
      <c r="AL67" s="608">
        <f t="shared" si="23"/>
        <v>0.5217391304347826</v>
      </c>
      <c r="AM67" s="608">
        <f t="shared" si="24"/>
        <v>0.4782608695652174</v>
      </c>
      <c r="AN67" s="607">
        <f t="shared" si="25"/>
        <v>138</v>
      </c>
      <c r="AO67" s="609">
        <f t="shared" si="26"/>
        <v>9.751485507246377</v>
      </c>
      <c r="AP67" s="616">
        <v>4260</v>
      </c>
      <c r="AQ67" s="617">
        <v>399</v>
      </c>
      <c r="AR67" s="608">
        <f t="shared" si="27"/>
        <v>-0.3682136150234742</v>
      </c>
      <c r="AS67" s="608">
        <f t="shared" si="28"/>
        <v>-0.3082706766917293</v>
      </c>
      <c r="AT67" s="630">
        <v>20099.41</v>
      </c>
      <c r="AU67" s="631">
        <v>1807</v>
      </c>
      <c r="AV67" s="612">
        <f t="shared" si="29"/>
        <v>11.123082457111234</v>
      </c>
      <c r="AW67" s="613">
        <v>41516</v>
      </c>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row>
    <row r="68" spans="1:133" s="25" customFormat="1" ht="15.75">
      <c r="A68" s="387">
        <v>60</v>
      </c>
      <c r="B68" s="402"/>
      <c r="C68" s="402"/>
      <c r="D68" s="402"/>
      <c r="E68" s="402"/>
      <c r="F68" s="402"/>
      <c r="G68" s="402"/>
      <c r="H68" s="402"/>
      <c r="I68" s="409"/>
      <c r="J68" s="407"/>
      <c r="K68" s="383" t="s">
        <v>1108</v>
      </c>
      <c r="L68" s="491" t="s">
        <v>1110</v>
      </c>
      <c r="M68" s="491" t="s">
        <v>859</v>
      </c>
      <c r="N68" s="491" t="s">
        <v>1109</v>
      </c>
      <c r="O68" s="493">
        <v>41474</v>
      </c>
      <c r="P68" s="491" t="s">
        <v>47</v>
      </c>
      <c r="Q68" s="509">
        <v>15</v>
      </c>
      <c r="R68" s="556">
        <v>1</v>
      </c>
      <c r="S68" s="556">
        <v>6</v>
      </c>
      <c r="T68" s="585">
        <v>1110</v>
      </c>
      <c r="U68" s="586">
        <v>210</v>
      </c>
      <c r="V68" s="585">
        <v>1290</v>
      </c>
      <c r="W68" s="586">
        <v>239</v>
      </c>
      <c r="X68" s="585">
        <v>0</v>
      </c>
      <c r="Y68" s="586">
        <v>0</v>
      </c>
      <c r="Z68" s="483">
        <f t="shared" si="30"/>
        <v>2400</v>
      </c>
      <c r="AA68" s="484">
        <f t="shared" si="18"/>
        <v>449</v>
      </c>
      <c r="AB68" s="572">
        <f t="shared" si="19"/>
        <v>449</v>
      </c>
      <c r="AC68" s="573">
        <f t="shared" si="20"/>
        <v>5.3452115812917596</v>
      </c>
      <c r="AD68" s="574">
        <v>425</v>
      </c>
      <c r="AE68" s="575">
        <v>41</v>
      </c>
      <c r="AF68" s="568">
        <f aca="true" t="shared" si="31" ref="AF68:AF99">IF(AD68&lt;&gt;0,-(AD68-Z68)/AD68,"")</f>
        <v>4.647058823529412</v>
      </c>
      <c r="AG68" s="568">
        <f aca="true" t="shared" si="32" ref="AG68:AG99">IF(AE68&lt;&gt;0,-(AE68-AA68)/AE68,"")</f>
        <v>9.951219512195122</v>
      </c>
      <c r="AH68" s="606">
        <f t="shared" si="21"/>
        <v>0</v>
      </c>
      <c r="AI68" s="607">
        <f t="shared" si="22"/>
        <v>0</v>
      </c>
      <c r="AJ68" s="622">
        <v>2400</v>
      </c>
      <c r="AK68" s="623">
        <v>449</v>
      </c>
      <c r="AL68" s="608">
        <f t="shared" si="23"/>
        <v>1</v>
      </c>
      <c r="AM68" s="608">
        <f t="shared" si="24"/>
        <v>0</v>
      </c>
      <c r="AN68" s="607">
        <f t="shared" si="25"/>
        <v>449</v>
      </c>
      <c r="AO68" s="609">
        <f t="shared" si="26"/>
        <v>5.3452115812917596</v>
      </c>
      <c r="AP68" s="614">
        <v>1055</v>
      </c>
      <c r="AQ68" s="615">
        <v>117</v>
      </c>
      <c r="AR68" s="608">
        <f t="shared" si="27"/>
        <v>1.2748815165876777</v>
      </c>
      <c r="AS68" s="608">
        <f t="shared" si="28"/>
        <v>2.8376068376068377</v>
      </c>
      <c r="AT68" s="630">
        <f>7597+1706+1361+1055+2400</f>
        <v>14119</v>
      </c>
      <c r="AU68" s="631">
        <f>873+193+134+117+449</f>
        <v>1766</v>
      </c>
      <c r="AV68" s="612">
        <f t="shared" si="29"/>
        <v>7.994903737259343</v>
      </c>
      <c r="AW68" s="613">
        <v>41516</v>
      </c>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row>
    <row r="69" spans="1:133" s="27" customFormat="1" ht="15.75">
      <c r="A69" s="387">
        <v>61</v>
      </c>
      <c r="B69" s="402" t="s">
        <v>105</v>
      </c>
      <c r="C69" s="402" t="s">
        <v>94</v>
      </c>
      <c r="D69" s="402"/>
      <c r="E69" s="402"/>
      <c r="F69" s="402"/>
      <c r="G69" s="402" t="s">
        <v>49</v>
      </c>
      <c r="H69" s="402"/>
      <c r="I69" s="406"/>
      <c r="J69" s="408"/>
      <c r="K69" s="430" t="s">
        <v>227</v>
      </c>
      <c r="L69" s="492" t="s">
        <v>66</v>
      </c>
      <c r="M69" s="339" t="s">
        <v>72</v>
      </c>
      <c r="N69" s="339" t="s">
        <v>268</v>
      </c>
      <c r="O69" s="495">
        <v>41012</v>
      </c>
      <c r="P69" s="491" t="s">
        <v>12</v>
      </c>
      <c r="Q69" s="509">
        <v>95</v>
      </c>
      <c r="R69" s="517">
        <v>1</v>
      </c>
      <c r="S69" s="517">
        <v>73</v>
      </c>
      <c r="T69" s="587">
        <v>0</v>
      </c>
      <c r="U69" s="588">
        <v>0</v>
      </c>
      <c r="V69" s="587">
        <v>0</v>
      </c>
      <c r="W69" s="588">
        <v>0</v>
      </c>
      <c r="X69" s="587">
        <v>0</v>
      </c>
      <c r="Y69" s="588">
        <v>0</v>
      </c>
      <c r="Z69" s="483">
        <f t="shared" si="30"/>
        <v>0</v>
      </c>
      <c r="AA69" s="484">
        <f t="shared" si="18"/>
        <v>0</v>
      </c>
      <c r="AB69" s="572">
        <f t="shared" si="19"/>
      </c>
      <c r="AC69" s="573">
        <f t="shared" si="20"/>
      </c>
      <c r="AD69" s="583">
        <v>0</v>
      </c>
      <c r="AE69" s="575">
        <v>0</v>
      </c>
      <c r="AF69" s="568">
        <f t="shared" si="31"/>
      </c>
      <c r="AG69" s="568">
        <f t="shared" si="32"/>
      </c>
      <c r="AH69" s="606">
        <f t="shared" si="21"/>
        <v>2394</v>
      </c>
      <c r="AI69" s="607">
        <f t="shared" si="22"/>
        <v>378</v>
      </c>
      <c r="AJ69" s="622">
        <v>2394</v>
      </c>
      <c r="AK69" s="623">
        <v>378</v>
      </c>
      <c r="AL69" s="608">
        <f t="shared" si="23"/>
        <v>0</v>
      </c>
      <c r="AM69" s="608">
        <f t="shared" si="24"/>
        <v>1</v>
      </c>
      <c r="AN69" s="607">
        <f t="shared" si="25"/>
        <v>378</v>
      </c>
      <c r="AO69" s="609">
        <f t="shared" si="26"/>
        <v>6.333333333333333</v>
      </c>
      <c r="AP69" s="614">
        <v>1722</v>
      </c>
      <c r="AQ69" s="615">
        <v>287</v>
      </c>
      <c r="AR69" s="608">
        <f t="shared" si="27"/>
        <v>0.3902439024390244</v>
      </c>
      <c r="AS69" s="608">
        <f t="shared" si="28"/>
        <v>0.3170731707317073</v>
      </c>
      <c r="AT69" s="630">
        <v>1398781</v>
      </c>
      <c r="AU69" s="631">
        <v>135345</v>
      </c>
      <c r="AV69" s="612">
        <f t="shared" si="29"/>
        <v>10.334929254867191</v>
      </c>
      <c r="AW69" s="613">
        <v>41516</v>
      </c>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row>
    <row r="70" spans="1:133" s="25" customFormat="1" ht="15.75">
      <c r="A70" s="474">
        <v>62</v>
      </c>
      <c r="B70" s="402" t="s">
        <v>105</v>
      </c>
      <c r="C70" s="402"/>
      <c r="D70" s="402"/>
      <c r="E70" s="402"/>
      <c r="F70" s="402"/>
      <c r="G70" s="402"/>
      <c r="H70" s="402"/>
      <c r="I70" s="404"/>
      <c r="J70" s="407"/>
      <c r="K70" s="414" t="s">
        <v>525</v>
      </c>
      <c r="L70" s="492" t="s">
        <v>267</v>
      </c>
      <c r="M70" s="490" t="s">
        <v>73</v>
      </c>
      <c r="N70" s="392" t="s">
        <v>526</v>
      </c>
      <c r="O70" s="493">
        <v>41243</v>
      </c>
      <c r="P70" s="491" t="s">
        <v>10</v>
      </c>
      <c r="Q70" s="509">
        <v>46</v>
      </c>
      <c r="R70" s="423">
        <v>1</v>
      </c>
      <c r="S70" s="423">
        <v>14</v>
      </c>
      <c r="T70" s="581">
        <v>375</v>
      </c>
      <c r="U70" s="582">
        <v>75</v>
      </c>
      <c r="V70" s="581">
        <v>480</v>
      </c>
      <c r="W70" s="582">
        <v>96</v>
      </c>
      <c r="X70" s="581">
        <v>550</v>
      </c>
      <c r="Y70" s="582">
        <v>110</v>
      </c>
      <c r="Z70" s="483">
        <f t="shared" si="30"/>
        <v>1405</v>
      </c>
      <c r="AA70" s="484">
        <f t="shared" si="18"/>
        <v>281</v>
      </c>
      <c r="AB70" s="572">
        <f t="shared" si="19"/>
        <v>281</v>
      </c>
      <c r="AC70" s="573">
        <f t="shared" si="20"/>
        <v>5</v>
      </c>
      <c r="AD70" s="583">
        <v>1405</v>
      </c>
      <c r="AE70" s="584">
        <v>281</v>
      </c>
      <c r="AF70" s="568">
        <f t="shared" si="31"/>
        <v>0</v>
      </c>
      <c r="AG70" s="568">
        <f t="shared" si="32"/>
        <v>0</v>
      </c>
      <c r="AH70" s="606">
        <f t="shared" si="21"/>
        <v>975</v>
      </c>
      <c r="AI70" s="607">
        <f t="shared" si="22"/>
        <v>195</v>
      </c>
      <c r="AJ70" s="624">
        <v>2380</v>
      </c>
      <c r="AK70" s="625">
        <v>476</v>
      </c>
      <c r="AL70" s="608">
        <f t="shared" si="23"/>
        <v>0.5903361344537815</v>
      </c>
      <c r="AM70" s="608">
        <f t="shared" si="24"/>
        <v>0.4096638655462185</v>
      </c>
      <c r="AN70" s="607">
        <f t="shared" si="25"/>
        <v>476</v>
      </c>
      <c r="AO70" s="609">
        <f t="shared" si="26"/>
        <v>5</v>
      </c>
      <c r="AP70" s="616">
        <v>2380</v>
      </c>
      <c r="AQ70" s="617">
        <v>476</v>
      </c>
      <c r="AR70" s="608">
        <f t="shared" si="27"/>
        <v>0</v>
      </c>
      <c r="AS70" s="608">
        <f t="shared" si="28"/>
        <v>0</v>
      </c>
      <c r="AT70" s="632">
        <v>964080</v>
      </c>
      <c r="AU70" s="633">
        <v>75360</v>
      </c>
      <c r="AV70" s="612">
        <f t="shared" si="29"/>
        <v>12.792993630573248</v>
      </c>
      <c r="AW70" s="613">
        <v>41516</v>
      </c>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row>
    <row r="71" spans="1:133" s="27" customFormat="1" ht="15.75">
      <c r="A71" s="387">
        <v>63</v>
      </c>
      <c r="B71" s="402" t="s">
        <v>105</v>
      </c>
      <c r="C71" s="402"/>
      <c r="D71" s="402"/>
      <c r="E71" s="402">
        <v>2</v>
      </c>
      <c r="F71" s="402"/>
      <c r="G71" s="402"/>
      <c r="H71" s="402" t="s">
        <v>48</v>
      </c>
      <c r="I71" s="406"/>
      <c r="J71" s="408"/>
      <c r="K71" s="413" t="s">
        <v>202</v>
      </c>
      <c r="L71" s="490" t="s">
        <v>877</v>
      </c>
      <c r="M71" s="492"/>
      <c r="N71" s="341" t="s">
        <v>202</v>
      </c>
      <c r="O71" s="495">
        <v>40954</v>
      </c>
      <c r="P71" s="491" t="s">
        <v>59</v>
      </c>
      <c r="Q71" s="509">
        <v>440</v>
      </c>
      <c r="R71" s="517">
        <v>1</v>
      </c>
      <c r="S71" s="517">
        <v>50</v>
      </c>
      <c r="T71" s="577">
        <v>0</v>
      </c>
      <c r="U71" s="578">
        <v>0</v>
      </c>
      <c r="V71" s="577">
        <v>0</v>
      </c>
      <c r="W71" s="578">
        <v>0</v>
      </c>
      <c r="X71" s="577">
        <v>0</v>
      </c>
      <c r="Y71" s="578">
        <v>0</v>
      </c>
      <c r="Z71" s="483">
        <f t="shared" si="30"/>
        <v>0</v>
      </c>
      <c r="AA71" s="484">
        <f t="shared" si="18"/>
        <v>0</v>
      </c>
      <c r="AB71" s="572">
        <f t="shared" si="19"/>
      </c>
      <c r="AC71" s="573">
        <f t="shared" si="20"/>
      </c>
      <c r="AD71" s="574">
        <v>0</v>
      </c>
      <c r="AE71" s="575">
        <v>0</v>
      </c>
      <c r="AF71" s="568">
        <f t="shared" si="31"/>
      </c>
      <c r="AG71" s="568">
        <f t="shared" si="32"/>
      </c>
      <c r="AH71" s="606">
        <f t="shared" si="21"/>
        <v>2376</v>
      </c>
      <c r="AI71" s="607">
        <f t="shared" si="22"/>
        <v>475</v>
      </c>
      <c r="AJ71" s="626">
        <v>2376</v>
      </c>
      <c r="AK71" s="627">
        <v>475</v>
      </c>
      <c r="AL71" s="608">
        <f t="shared" si="23"/>
        <v>0</v>
      </c>
      <c r="AM71" s="608">
        <f t="shared" si="24"/>
        <v>1</v>
      </c>
      <c r="AN71" s="607">
        <f t="shared" si="25"/>
        <v>475</v>
      </c>
      <c r="AO71" s="609">
        <f t="shared" si="26"/>
        <v>5.002105263157895</v>
      </c>
      <c r="AP71" s="618">
        <v>950.4</v>
      </c>
      <c r="AQ71" s="619">
        <v>190</v>
      </c>
      <c r="AR71" s="608">
        <f t="shared" si="27"/>
        <v>1.5</v>
      </c>
      <c r="AS71" s="608">
        <f t="shared" si="28"/>
        <v>1.5</v>
      </c>
      <c r="AT71" s="634">
        <f>21413320.22+14038209.72+8091830.8+5223667.88+2812594.76+1480814.82+955933.78+528159.45+298145.03+198476.43+95958.51+50635.81+22068.5+4796.5+151782.5+9632.5+16854+6694.5+16858+57365+45318+25582+8464+10246+8937+8346+20805.2+20058.4+18770.4+20853+14850+4158+1200+10100+2712+6532+1200+1782+2376+2376+2376+1782+8316.01+5227.2+4752+1782+950.4+3326.4+950.4+2376</f>
        <v>55740303.12</v>
      </c>
      <c r="AU71" s="635">
        <f>2475453+1630117+937421+623418+343374+183619+118367+65562+39148+26637+13128+9069+3464+632+29285+1170+2819+1359+3038+11331+9013+4835+1364+2001+2177+1669+4153+4006+3753+4162+2969+832+300+2110+678+1336+300+356+475+475+475+356+1662+1045+950+356+190+665+190+475</f>
        <v>6571739</v>
      </c>
      <c r="AV71" s="612">
        <f t="shared" si="29"/>
        <v>8.481819366228635</v>
      </c>
      <c r="AW71" s="613">
        <v>41516</v>
      </c>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row>
    <row r="72" spans="1:133" s="27" customFormat="1" ht="15.75">
      <c r="A72" s="387">
        <v>64</v>
      </c>
      <c r="B72" s="402" t="s">
        <v>105</v>
      </c>
      <c r="C72" s="402"/>
      <c r="D72" s="402"/>
      <c r="E72" s="402"/>
      <c r="F72" s="402"/>
      <c r="G72" s="402"/>
      <c r="H72" s="403"/>
      <c r="I72" s="406"/>
      <c r="J72" s="408"/>
      <c r="K72" s="413" t="s">
        <v>483</v>
      </c>
      <c r="L72" s="490" t="s">
        <v>392</v>
      </c>
      <c r="M72" s="492" t="s">
        <v>81</v>
      </c>
      <c r="N72" s="496" t="s">
        <v>484</v>
      </c>
      <c r="O72" s="495">
        <v>41201</v>
      </c>
      <c r="P72" s="491" t="s">
        <v>59</v>
      </c>
      <c r="Q72" s="556">
        <v>1</v>
      </c>
      <c r="R72" s="517">
        <v>1</v>
      </c>
      <c r="S72" s="517">
        <v>17</v>
      </c>
      <c r="T72" s="577">
        <v>0</v>
      </c>
      <c r="U72" s="578">
        <v>0</v>
      </c>
      <c r="V72" s="577">
        <v>0</v>
      </c>
      <c r="W72" s="578">
        <v>0</v>
      </c>
      <c r="X72" s="577">
        <v>0</v>
      </c>
      <c r="Y72" s="578">
        <v>0</v>
      </c>
      <c r="Z72" s="483">
        <f t="shared" si="30"/>
        <v>0</v>
      </c>
      <c r="AA72" s="484">
        <f t="shared" si="18"/>
        <v>0</v>
      </c>
      <c r="AB72" s="572">
        <f t="shared" si="19"/>
      </c>
      <c r="AC72" s="573">
        <f t="shared" si="20"/>
      </c>
      <c r="AD72" s="574">
        <v>0</v>
      </c>
      <c r="AE72" s="575">
        <v>0</v>
      </c>
      <c r="AF72" s="568">
        <f t="shared" si="31"/>
      </c>
      <c r="AG72" s="568">
        <f t="shared" si="32"/>
      </c>
      <c r="AH72" s="606">
        <f t="shared" si="21"/>
        <v>2376</v>
      </c>
      <c r="AI72" s="607">
        <f t="shared" si="22"/>
        <v>475</v>
      </c>
      <c r="AJ72" s="626">
        <v>2376</v>
      </c>
      <c r="AK72" s="627">
        <v>475</v>
      </c>
      <c r="AL72" s="608">
        <f t="shared" si="23"/>
        <v>0</v>
      </c>
      <c r="AM72" s="608">
        <f t="shared" si="24"/>
        <v>1</v>
      </c>
      <c r="AN72" s="607">
        <f t="shared" si="25"/>
        <v>475</v>
      </c>
      <c r="AO72" s="609">
        <f t="shared" si="26"/>
        <v>5.002105263157895</v>
      </c>
      <c r="AP72" s="618">
        <v>1425.6</v>
      </c>
      <c r="AQ72" s="619">
        <v>285</v>
      </c>
      <c r="AR72" s="608">
        <f t="shared" si="27"/>
        <v>0.6666666666666667</v>
      </c>
      <c r="AS72" s="608">
        <f t="shared" si="28"/>
        <v>0.6666666666666666</v>
      </c>
      <c r="AT72" s="634">
        <f>8782+4172+2326+1508+1087+971+1188+1362+889+1782+358+713+951+30+630+1425.6+2376</f>
        <v>30550.6</v>
      </c>
      <c r="AU72" s="635">
        <f>828+394+220+144+170+152+238+123+81+356+176+135+264+4+63+285+475</f>
        <v>4108</v>
      </c>
      <c r="AV72" s="612">
        <f t="shared" si="29"/>
        <v>7.436854917234664</v>
      </c>
      <c r="AW72" s="613">
        <v>41516</v>
      </c>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row>
    <row r="73" spans="1:133" s="27" customFormat="1" ht="15.75">
      <c r="A73" s="387">
        <v>65</v>
      </c>
      <c r="B73" s="402"/>
      <c r="C73" s="402" t="s">
        <v>94</v>
      </c>
      <c r="D73" s="402"/>
      <c r="E73" s="402">
        <v>2</v>
      </c>
      <c r="F73" s="402"/>
      <c r="G73" s="402" t="s">
        <v>49</v>
      </c>
      <c r="H73" s="402"/>
      <c r="I73" s="406"/>
      <c r="J73" s="410"/>
      <c r="K73" s="414" t="s">
        <v>1088</v>
      </c>
      <c r="L73" s="492" t="s">
        <v>1090</v>
      </c>
      <c r="M73" s="490" t="s">
        <v>67</v>
      </c>
      <c r="N73" s="494" t="s">
        <v>1089</v>
      </c>
      <c r="O73" s="493">
        <v>41406</v>
      </c>
      <c r="P73" s="491" t="s">
        <v>59</v>
      </c>
      <c r="Q73" s="509">
        <v>65</v>
      </c>
      <c r="R73" s="509">
        <v>12</v>
      </c>
      <c r="S73" s="509">
        <v>8</v>
      </c>
      <c r="T73" s="590">
        <v>335.5</v>
      </c>
      <c r="U73" s="591">
        <v>54</v>
      </c>
      <c r="V73" s="590">
        <v>291</v>
      </c>
      <c r="W73" s="591">
        <v>46</v>
      </c>
      <c r="X73" s="590">
        <v>489</v>
      </c>
      <c r="Y73" s="591">
        <v>72</v>
      </c>
      <c r="Z73" s="483">
        <f t="shared" si="30"/>
        <v>1115.5</v>
      </c>
      <c r="AA73" s="484">
        <f aca="true" t="shared" si="33" ref="AA73:AA104">U73+W73+Y73</f>
        <v>172</v>
      </c>
      <c r="AB73" s="572">
        <f aca="true" t="shared" si="34" ref="AB73:AB104">IF(Z73&lt;&gt;0,AA73/R73,"")</f>
        <v>14.333333333333334</v>
      </c>
      <c r="AC73" s="573">
        <f aca="true" t="shared" si="35" ref="AC73:AC104">IF(Z73&lt;&gt;0,Z73/AA73,"")</f>
        <v>6.4854651162790695</v>
      </c>
      <c r="AD73" s="574">
        <v>2344.5</v>
      </c>
      <c r="AE73" s="575">
        <v>329</v>
      </c>
      <c r="AF73" s="568">
        <f t="shared" si="31"/>
        <v>-0.5242055875453189</v>
      </c>
      <c r="AG73" s="568">
        <f t="shared" si="32"/>
        <v>-0.47720364741641336</v>
      </c>
      <c r="AH73" s="606">
        <f aca="true" t="shared" si="36" ref="AH73:AH104">AJ73-Z73</f>
        <v>1094.5</v>
      </c>
      <c r="AI73" s="607">
        <f aca="true" t="shared" si="37" ref="AI73:AI104">AK73-AA73</f>
        <v>171</v>
      </c>
      <c r="AJ73" s="626">
        <v>2210</v>
      </c>
      <c r="AK73" s="627">
        <v>343</v>
      </c>
      <c r="AL73" s="608">
        <f aca="true" t="shared" si="38" ref="AL73:AL104">AA73*1/AK73</f>
        <v>0.5014577259475219</v>
      </c>
      <c r="AM73" s="608">
        <f aca="true" t="shared" si="39" ref="AM73:AM104">AI73*1/AK73</f>
        <v>0.49854227405247814</v>
      </c>
      <c r="AN73" s="607">
        <f aca="true" t="shared" si="40" ref="AN73:AN104">AK73/R73</f>
        <v>28.583333333333332</v>
      </c>
      <c r="AO73" s="609">
        <f aca="true" t="shared" si="41" ref="AO73:AO104">AJ73/AK73</f>
        <v>6.443148688046647</v>
      </c>
      <c r="AP73" s="614">
        <v>3502.5</v>
      </c>
      <c r="AQ73" s="615">
        <v>514</v>
      </c>
      <c r="AR73" s="608">
        <f aca="true" t="shared" si="42" ref="AR73:AR104">IF(AP73&lt;&gt;0,-(AP73-AJ73)/AP73,"")</f>
        <v>-0.36902212705210563</v>
      </c>
      <c r="AS73" s="608">
        <f aca="true" t="shared" si="43" ref="AS73:AS104">IF(AQ73&lt;&gt;0,-(AQ73-AK73)/AQ73,"")</f>
        <v>-0.3326848249027237</v>
      </c>
      <c r="AT73" s="634">
        <f>147229.49+122928.77+49411.65+3998.29+10081+3481.88+3502.5+2210</f>
        <v>342843.58</v>
      </c>
      <c r="AU73" s="635">
        <f>14018+12688+5044+496+1280+522+514+343</f>
        <v>34905</v>
      </c>
      <c r="AV73" s="612">
        <f aca="true" t="shared" si="44" ref="AV73:AV104">AT73/AU73</f>
        <v>9.822191090101706</v>
      </c>
      <c r="AW73" s="613">
        <v>41516</v>
      </c>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row>
    <row r="74" spans="1:133" s="27" customFormat="1" ht="15.75">
      <c r="A74" s="474">
        <v>66</v>
      </c>
      <c r="B74" s="402"/>
      <c r="C74" s="403"/>
      <c r="D74" s="403"/>
      <c r="E74" s="402"/>
      <c r="F74" s="403"/>
      <c r="G74" s="402"/>
      <c r="H74" s="402"/>
      <c r="I74" s="404"/>
      <c r="J74" s="407"/>
      <c r="K74" s="383" t="s">
        <v>1072</v>
      </c>
      <c r="L74" s="492" t="s">
        <v>392</v>
      </c>
      <c r="M74" s="491" t="s">
        <v>65</v>
      </c>
      <c r="N74" s="491" t="s">
        <v>1073</v>
      </c>
      <c r="O74" s="495">
        <v>41460</v>
      </c>
      <c r="P74" s="491" t="s">
        <v>139</v>
      </c>
      <c r="Q74" s="509">
        <v>15</v>
      </c>
      <c r="R74" s="509">
        <v>4</v>
      </c>
      <c r="S74" s="509">
        <v>9</v>
      </c>
      <c r="T74" s="574">
        <v>336</v>
      </c>
      <c r="U74" s="575">
        <v>47</v>
      </c>
      <c r="V74" s="574">
        <v>344</v>
      </c>
      <c r="W74" s="575">
        <v>50</v>
      </c>
      <c r="X74" s="574">
        <v>397</v>
      </c>
      <c r="Y74" s="575">
        <v>57</v>
      </c>
      <c r="Z74" s="483">
        <f t="shared" si="30"/>
        <v>1077</v>
      </c>
      <c r="AA74" s="484">
        <f t="shared" si="33"/>
        <v>154</v>
      </c>
      <c r="AB74" s="572">
        <f t="shared" si="34"/>
        <v>38.5</v>
      </c>
      <c r="AC74" s="573">
        <f t="shared" si="35"/>
        <v>6.9935064935064934</v>
      </c>
      <c r="AD74" s="574">
        <v>2235.5</v>
      </c>
      <c r="AE74" s="575">
        <v>289</v>
      </c>
      <c r="AF74" s="568">
        <f t="shared" si="31"/>
        <v>-0.5182285842093491</v>
      </c>
      <c r="AG74" s="568">
        <f t="shared" si="32"/>
        <v>-0.4671280276816609</v>
      </c>
      <c r="AH74" s="606">
        <f t="shared" si="36"/>
        <v>961</v>
      </c>
      <c r="AI74" s="607">
        <f t="shared" si="37"/>
        <v>142</v>
      </c>
      <c r="AJ74" s="622">
        <v>2038</v>
      </c>
      <c r="AK74" s="623">
        <v>296</v>
      </c>
      <c r="AL74" s="608">
        <f t="shared" si="38"/>
        <v>0.5202702702702703</v>
      </c>
      <c r="AM74" s="608">
        <f t="shared" si="39"/>
        <v>0.4797297297297297</v>
      </c>
      <c r="AN74" s="607">
        <f t="shared" si="40"/>
        <v>74</v>
      </c>
      <c r="AO74" s="609">
        <f t="shared" si="41"/>
        <v>6.885135135135135</v>
      </c>
      <c r="AP74" s="616">
        <v>5533.96</v>
      </c>
      <c r="AQ74" s="617">
        <v>837</v>
      </c>
      <c r="AR74" s="608">
        <f t="shared" si="42"/>
        <v>-0.6317284548496918</v>
      </c>
      <c r="AS74" s="608">
        <f t="shared" si="43"/>
        <v>-0.6463560334528077</v>
      </c>
      <c r="AT74" s="630">
        <v>105182.25000000001</v>
      </c>
      <c r="AU74" s="631">
        <v>10282.4</v>
      </c>
      <c r="AV74" s="612">
        <f t="shared" si="44"/>
        <v>10.229348206644366</v>
      </c>
      <c r="AW74" s="613">
        <v>41516</v>
      </c>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row>
    <row r="75" spans="1:133" s="27" customFormat="1" ht="15.75">
      <c r="A75" s="387">
        <v>67</v>
      </c>
      <c r="B75" s="402" t="s">
        <v>105</v>
      </c>
      <c r="C75" s="402"/>
      <c r="D75" s="402"/>
      <c r="E75" s="402"/>
      <c r="F75" s="402"/>
      <c r="G75" s="402"/>
      <c r="H75" s="402" t="s">
        <v>48</v>
      </c>
      <c r="I75" s="406"/>
      <c r="J75" s="408"/>
      <c r="K75" s="414" t="s">
        <v>481</v>
      </c>
      <c r="L75" s="492" t="s">
        <v>67</v>
      </c>
      <c r="M75" s="490"/>
      <c r="N75" s="494" t="s">
        <v>481</v>
      </c>
      <c r="O75" s="493">
        <v>41200</v>
      </c>
      <c r="P75" s="491" t="s">
        <v>59</v>
      </c>
      <c r="Q75" s="509">
        <v>295</v>
      </c>
      <c r="R75" s="509">
        <v>1</v>
      </c>
      <c r="S75" s="509">
        <v>31</v>
      </c>
      <c r="T75" s="577">
        <v>0</v>
      </c>
      <c r="U75" s="578">
        <v>0</v>
      </c>
      <c r="V75" s="577">
        <v>0</v>
      </c>
      <c r="W75" s="578">
        <v>0</v>
      </c>
      <c r="X75" s="577">
        <v>0</v>
      </c>
      <c r="Y75" s="578">
        <v>0</v>
      </c>
      <c r="Z75" s="483">
        <f t="shared" si="30"/>
        <v>0</v>
      </c>
      <c r="AA75" s="484">
        <f t="shared" si="33"/>
        <v>0</v>
      </c>
      <c r="AB75" s="572">
        <f t="shared" si="34"/>
      </c>
      <c r="AC75" s="573">
        <f t="shared" si="35"/>
      </c>
      <c r="AD75" s="574">
        <v>0</v>
      </c>
      <c r="AE75" s="575">
        <v>0</v>
      </c>
      <c r="AF75" s="568">
        <f t="shared" si="31"/>
      </c>
      <c r="AG75" s="568">
        <f t="shared" si="32"/>
      </c>
      <c r="AH75" s="606">
        <f t="shared" si="36"/>
        <v>2019.6</v>
      </c>
      <c r="AI75" s="607">
        <f t="shared" si="37"/>
        <v>404</v>
      </c>
      <c r="AJ75" s="626">
        <v>2019.6</v>
      </c>
      <c r="AK75" s="627">
        <v>404</v>
      </c>
      <c r="AL75" s="608">
        <f t="shared" si="38"/>
        <v>0</v>
      </c>
      <c r="AM75" s="608">
        <f t="shared" si="39"/>
        <v>1</v>
      </c>
      <c r="AN75" s="607">
        <f t="shared" si="40"/>
        <v>404</v>
      </c>
      <c r="AO75" s="609">
        <f t="shared" si="41"/>
        <v>4.999009900990099</v>
      </c>
      <c r="AP75" s="618">
        <v>1425.6</v>
      </c>
      <c r="AQ75" s="619">
        <v>285</v>
      </c>
      <c r="AR75" s="608">
        <f t="shared" si="42"/>
        <v>0.4166666666666667</v>
      </c>
      <c r="AS75" s="608">
        <f t="shared" si="43"/>
        <v>0.41754385964912283</v>
      </c>
      <c r="AT75" s="634">
        <f>123327.91+1852465.34+2413496.13+1076142.6+937630.7+566274.61+242480.96+145026.68+64821.6+23288.5+24560+3391+6601+348.5+12712+23968+1188+2095+21978+16632+1782+2376+2376+3156+573+4276.8+2376+7365.6+950.4+1425.6+1425.6+2019.6</f>
        <v>7588531.129999999</v>
      </c>
      <c r="AU75" s="635">
        <f>15371+197259+258172+130382+121998+81101+38411+24141+12765+5076+5126+719+1644+126+2675+4805+238+275+4398+3326+356+475+475+735+191+855+475+1472+190+285+285+404</f>
        <v>914206</v>
      </c>
      <c r="AV75" s="612">
        <f t="shared" si="44"/>
        <v>8.30067963894352</v>
      </c>
      <c r="AW75" s="613">
        <v>41516</v>
      </c>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row>
    <row r="76" spans="1:133" s="27" customFormat="1" ht="15.75">
      <c r="A76" s="387">
        <v>68</v>
      </c>
      <c r="B76" s="402" t="s">
        <v>105</v>
      </c>
      <c r="C76" s="403"/>
      <c r="D76" s="403"/>
      <c r="E76" s="402"/>
      <c r="F76" s="403"/>
      <c r="G76" s="403"/>
      <c r="H76" s="402" t="s">
        <v>48</v>
      </c>
      <c r="I76" s="406"/>
      <c r="J76" s="408"/>
      <c r="K76" s="414" t="s">
        <v>954</v>
      </c>
      <c r="L76" s="392" t="s">
        <v>78</v>
      </c>
      <c r="M76" s="490"/>
      <c r="N76" s="392" t="s">
        <v>954</v>
      </c>
      <c r="O76" s="495">
        <v>40879</v>
      </c>
      <c r="P76" s="491" t="s">
        <v>59</v>
      </c>
      <c r="Q76" s="509">
        <v>202</v>
      </c>
      <c r="R76" s="517">
        <v>1</v>
      </c>
      <c r="S76" s="517">
        <v>36</v>
      </c>
      <c r="T76" s="577">
        <v>0</v>
      </c>
      <c r="U76" s="578">
        <v>0</v>
      </c>
      <c r="V76" s="577">
        <v>0</v>
      </c>
      <c r="W76" s="578">
        <v>0</v>
      </c>
      <c r="X76" s="577">
        <v>0</v>
      </c>
      <c r="Y76" s="578">
        <v>0</v>
      </c>
      <c r="Z76" s="483">
        <f t="shared" si="30"/>
        <v>0</v>
      </c>
      <c r="AA76" s="484">
        <f t="shared" si="33"/>
        <v>0</v>
      </c>
      <c r="AB76" s="572">
        <f t="shared" si="34"/>
      </c>
      <c r="AC76" s="573">
        <f t="shared" si="35"/>
      </c>
      <c r="AD76" s="574">
        <v>0</v>
      </c>
      <c r="AE76" s="575">
        <v>0</v>
      </c>
      <c r="AF76" s="568">
        <f t="shared" si="31"/>
      </c>
      <c r="AG76" s="568">
        <f t="shared" si="32"/>
      </c>
      <c r="AH76" s="606">
        <f t="shared" si="36"/>
        <v>2019.6</v>
      </c>
      <c r="AI76" s="607">
        <f t="shared" si="37"/>
        <v>404</v>
      </c>
      <c r="AJ76" s="626">
        <v>2019.6</v>
      </c>
      <c r="AK76" s="627">
        <v>404</v>
      </c>
      <c r="AL76" s="608">
        <f t="shared" si="38"/>
        <v>0</v>
      </c>
      <c r="AM76" s="608">
        <f t="shared" si="39"/>
        <v>1</v>
      </c>
      <c r="AN76" s="607">
        <f t="shared" si="40"/>
        <v>404</v>
      </c>
      <c r="AO76" s="609">
        <f t="shared" si="41"/>
        <v>4.999009900990099</v>
      </c>
      <c r="AP76" s="618">
        <v>4752</v>
      </c>
      <c r="AQ76" s="619">
        <v>950</v>
      </c>
      <c r="AR76" s="608">
        <f t="shared" si="42"/>
        <v>-0.5750000000000001</v>
      </c>
      <c r="AS76" s="608">
        <f t="shared" si="43"/>
        <v>-0.5747368421052632</v>
      </c>
      <c r="AT76" s="634">
        <f>1080241.5+1088121+871543+502064+300294.5+131358.5+96969.5+68985+9253.5+5204.5+1760.5+2732.5+950.5+21051.01+1308+788+950.5+1188+1425.5+3801.5+1044+2376+7221.5+3207.6+2970+1782+4752+54277.06+4438.47+410+1422+3711+3564+1425.6+4752+2019.6</f>
        <v>4289363.839999998</v>
      </c>
      <c r="AU76" s="635">
        <f>121812+123965+100674+61096+39726+19116+14898+10338+1416+922+322+523+190+5321+312+187+190+238+285+760+348+475+1398+641+594+356+950+8206+894+57+272+736+713+285+950+404</f>
        <v>519570</v>
      </c>
      <c r="AV76" s="612">
        <f t="shared" si="44"/>
        <v>8.255603364320493</v>
      </c>
      <c r="AW76" s="613">
        <v>41516</v>
      </c>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row>
    <row r="77" spans="1:133" s="27" customFormat="1" ht="15.75">
      <c r="A77" s="387">
        <v>69</v>
      </c>
      <c r="B77" s="402"/>
      <c r="C77" s="402"/>
      <c r="D77" s="402"/>
      <c r="E77" s="402"/>
      <c r="F77" s="402"/>
      <c r="G77" s="402"/>
      <c r="H77" s="402" t="s">
        <v>48</v>
      </c>
      <c r="I77" s="406"/>
      <c r="J77" s="407"/>
      <c r="K77" s="414" t="s">
        <v>730</v>
      </c>
      <c r="L77" s="492" t="s">
        <v>566</v>
      </c>
      <c r="M77" s="490"/>
      <c r="N77" s="494" t="s">
        <v>730</v>
      </c>
      <c r="O77" s="493">
        <v>41355</v>
      </c>
      <c r="P77" s="491" t="s">
        <v>59</v>
      </c>
      <c r="Q77" s="509">
        <v>141</v>
      </c>
      <c r="R77" s="509">
        <v>1</v>
      </c>
      <c r="S77" s="509">
        <v>18</v>
      </c>
      <c r="T77" s="577">
        <v>0</v>
      </c>
      <c r="U77" s="578">
        <v>0</v>
      </c>
      <c r="V77" s="577">
        <v>0</v>
      </c>
      <c r="W77" s="578">
        <v>0</v>
      </c>
      <c r="X77" s="577">
        <v>0</v>
      </c>
      <c r="Y77" s="578">
        <v>0</v>
      </c>
      <c r="Z77" s="483">
        <f t="shared" si="30"/>
        <v>0</v>
      </c>
      <c r="AA77" s="484">
        <f t="shared" si="33"/>
        <v>0</v>
      </c>
      <c r="AB77" s="572">
        <f t="shared" si="34"/>
      </c>
      <c r="AC77" s="573">
        <f t="shared" si="35"/>
      </c>
      <c r="AD77" s="574">
        <v>0</v>
      </c>
      <c r="AE77" s="575">
        <v>0</v>
      </c>
      <c r="AF77" s="568">
        <f t="shared" si="31"/>
      </c>
      <c r="AG77" s="568">
        <f t="shared" si="32"/>
      </c>
      <c r="AH77" s="606">
        <f t="shared" si="36"/>
        <v>2019.6</v>
      </c>
      <c r="AI77" s="607">
        <f t="shared" si="37"/>
        <v>404</v>
      </c>
      <c r="AJ77" s="626">
        <v>2019.6</v>
      </c>
      <c r="AK77" s="627">
        <v>404</v>
      </c>
      <c r="AL77" s="608">
        <f t="shared" si="38"/>
        <v>0</v>
      </c>
      <c r="AM77" s="608">
        <f t="shared" si="39"/>
        <v>1</v>
      </c>
      <c r="AN77" s="607">
        <f t="shared" si="40"/>
        <v>404</v>
      </c>
      <c r="AO77" s="609">
        <f t="shared" si="41"/>
        <v>4.999009900990099</v>
      </c>
      <c r="AP77" s="614">
        <v>1663.2</v>
      </c>
      <c r="AQ77" s="615">
        <v>333</v>
      </c>
      <c r="AR77" s="608">
        <f t="shared" si="42"/>
        <v>0.2142857142857142</v>
      </c>
      <c r="AS77" s="608">
        <f t="shared" si="43"/>
        <v>0.2132132132132132</v>
      </c>
      <c r="AT77" s="634">
        <f>309737.79+106144.11+40397.55+20332.5+11277.5+6741+3986+3559+516+3263+432+794+1425.6+1188+1663.2+2851.2+1663.2+2019.6</f>
        <v>517991.24999999994</v>
      </c>
      <c r="AU77" s="635">
        <f>35020+12576+5163+3117+1814+1194+652+642+78+655+60+123+285+238+333+571+333+404</f>
        <v>63258</v>
      </c>
      <c r="AV77" s="612">
        <f t="shared" si="44"/>
        <v>8.188549274400074</v>
      </c>
      <c r="AW77" s="613">
        <v>41516</v>
      </c>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row>
    <row r="78" spans="1:133" s="27" customFormat="1" ht="15.75">
      <c r="A78" s="474">
        <v>70</v>
      </c>
      <c r="B78" s="402" t="s">
        <v>105</v>
      </c>
      <c r="C78" s="402"/>
      <c r="D78" s="402"/>
      <c r="E78" s="402"/>
      <c r="F78" s="402"/>
      <c r="G78" s="402"/>
      <c r="H78" s="402" t="s">
        <v>48</v>
      </c>
      <c r="I78" s="406"/>
      <c r="J78" s="407"/>
      <c r="K78" s="413" t="s">
        <v>258</v>
      </c>
      <c r="L78" s="490" t="s">
        <v>259</v>
      </c>
      <c r="M78" s="492"/>
      <c r="N78" s="496" t="s">
        <v>258</v>
      </c>
      <c r="O78" s="495">
        <v>41040</v>
      </c>
      <c r="P78" s="491" t="s">
        <v>59</v>
      </c>
      <c r="Q78" s="509">
        <v>37</v>
      </c>
      <c r="R78" s="517">
        <v>1</v>
      </c>
      <c r="S78" s="517">
        <v>17</v>
      </c>
      <c r="T78" s="577">
        <v>0</v>
      </c>
      <c r="U78" s="578">
        <v>0</v>
      </c>
      <c r="V78" s="577">
        <v>0</v>
      </c>
      <c r="W78" s="578">
        <v>0</v>
      </c>
      <c r="X78" s="577">
        <v>0</v>
      </c>
      <c r="Y78" s="578">
        <v>0</v>
      </c>
      <c r="Z78" s="483">
        <f t="shared" si="30"/>
        <v>0</v>
      </c>
      <c r="AA78" s="484">
        <f t="shared" si="33"/>
        <v>0</v>
      </c>
      <c r="AB78" s="572">
        <f t="shared" si="34"/>
      </c>
      <c r="AC78" s="573">
        <f t="shared" si="35"/>
      </c>
      <c r="AD78" s="574">
        <v>0</v>
      </c>
      <c r="AE78" s="575">
        <v>0</v>
      </c>
      <c r="AF78" s="568">
        <f t="shared" si="31"/>
      </c>
      <c r="AG78" s="568">
        <f t="shared" si="32"/>
      </c>
      <c r="AH78" s="606">
        <f t="shared" si="36"/>
        <v>2019.6</v>
      </c>
      <c r="AI78" s="607">
        <f t="shared" si="37"/>
        <v>404</v>
      </c>
      <c r="AJ78" s="626">
        <v>2019.6</v>
      </c>
      <c r="AK78" s="627">
        <v>404</v>
      </c>
      <c r="AL78" s="608">
        <f t="shared" si="38"/>
        <v>0</v>
      </c>
      <c r="AM78" s="608">
        <f t="shared" si="39"/>
        <v>1</v>
      </c>
      <c r="AN78" s="607">
        <f t="shared" si="40"/>
        <v>404</v>
      </c>
      <c r="AO78" s="609">
        <f t="shared" si="41"/>
        <v>4.999009900990099</v>
      </c>
      <c r="AP78" s="618">
        <v>1782</v>
      </c>
      <c r="AQ78" s="619">
        <v>356</v>
      </c>
      <c r="AR78" s="608">
        <f t="shared" si="42"/>
        <v>0.13333333333333328</v>
      </c>
      <c r="AS78" s="608">
        <f t="shared" si="43"/>
        <v>0.1348314606741573</v>
      </c>
      <c r="AT78" s="634">
        <f>45605.82+18401.38+7117.19+3855.05+2668+7215+2121+486+1162+525+831.6+1425.6+7128+2376+3564+1782+2019.6</f>
        <v>108283.24000000002</v>
      </c>
      <c r="AU78" s="635">
        <f>4934+2100+942+557+445+1177+297+54+161+105+166+285+1425+475+713+356+404</f>
        <v>14596</v>
      </c>
      <c r="AV78" s="612">
        <f t="shared" si="44"/>
        <v>7.4186927925459045</v>
      </c>
      <c r="AW78" s="613">
        <v>41516</v>
      </c>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row>
    <row r="79" spans="1:133" s="27" customFormat="1" ht="15.75">
      <c r="A79" s="387">
        <v>71</v>
      </c>
      <c r="B79" s="402"/>
      <c r="C79" s="402"/>
      <c r="D79" s="402"/>
      <c r="E79" s="402"/>
      <c r="F79" s="402"/>
      <c r="G79" s="402"/>
      <c r="H79" s="402"/>
      <c r="I79" s="409"/>
      <c r="J79" s="405"/>
      <c r="K79" s="414" t="s">
        <v>1016</v>
      </c>
      <c r="L79" s="392" t="s">
        <v>1020</v>
      </c>
      <c r="M79" s="490" t="s">
        <v>92</v>
      </c>
      <c r="N79" s="392" t="s">
        <v>1017</v>
      </c>
      <c r="O79" s="495">
        <v>41439</v>
      </c>
      <c r="P79" s="491" t="s">
        <v>12</v>
      </c>
      <c r="Q79" s="509">
        <v>10</v>
      </c>
      <c r="R79" s="509">
        <v>1</v>
      </c>
      <c r="S79" s="509">
        <v>12</v>
      </c>
      <c r="T79" s="585">
        <v>0</v>
      </c>
      <c r="U79" s="586">
        <v>0</v>
      </c>
      <c r="V79" s="585">
        <v>0</v>
      </c>
      <c r="W79" s="586">
        <v>0</v>
      </c>
      <c r="X79" s="585">
        <v>0</v>
      </c>
      <c r="Y79" s="586">
        <v>0</v>
      </c>
      <c r="Z79" s="483">
        <f t="shared" si="30"/>
        <v>0</v>
      </c>
      <c r="AA79" s="484">
        <f t="shared" si="33"/>
        <v>0</v>
      </c>
      <c r="AB79" s="572">
        <f t="shared" si="34"/>
      </c>
      <c r="AC79" s="573">
        <f t="shared" si="35"/>
      </c>
      <c r="AD79" s="574">
        <v>97</v>
      </c>
      <c r="AE79" s="575">
        <v>13</v>
      </c>
      <c r="AF79" s="568">
        <f t="shared" si="31"/>
        <v>-1</v>
      </c>
      <c r="AG79" s="568">
        <f t="shared" si="32"/>
        <v>-1</v>
      </c>
      <c r="AH79" s="606">
        <f t="shared" si="36"/>
        <v>1722</v>
      </c>
      <c r="AI79" s="607">
        <f t="shared" si="37"/>
        <v>287</v>
      </c>
      <c r="AJ79" s="622">
        <v>1722</v>
      </c>
      <c r="AK79" s="623">
        <v>287</v>
      </c>
      <c r="AL79" s="608">
        <f t="shared" si="38"/>
        <v>0</v>
      </c>
      <c r="AM79" s="608">
        <f t="shared" si="39"/>
        <v>1</v>
      </c>
      <c r="AN79" s="607">
        <f t="shared" si="40"/>
        <v>287</v>
      </c>
      <c r="AO79" s="609">
        <f t="shared" si="41"/>
        <v>6</v>
      </c>
      <c r="AP79" s="618">
        <v>205</v>
      </c>
      <c r="AQ79" s="619">
        <v>31</v>
      </c>
      <c r="AR79" s="608">
        <f t="shared" si="42"/>
        <v>7.4</v>
      </c>
      <c r="AS79" s="608">
        <f t="shared" si="43"/>
        <v>8.258064516129032</v>
      </c>
      <c r="AT79" s="630">
        <v>42177</v>
      </c>
      <c r="AU79" s="631">
        <v>3475</v>
      </c>
      <c r="AV79" s="612">
        <f t="shared" si="44"/>
        <v>12.13726618705036</v>
      </c>
      <c r="AW79" s="613">
        <v>41516</v>
      </c>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row>
    <row r="80" spans="1:133" s="27" customFormat="1" ht="15.75">
      <c r="A80" s="387">
        <v>72</v>
      </c>
      <c r="B80" s="402"/>
      <c r="C80" s="402"/>
      <c r="D80" s="402"/>
      <c r="E80" s="402">
        <v>2</v>
      </c>
      <c r="F80" s="402"/>
      <c r="G80" s="402"/>
      <c r="H80" s="402"/>
      <c r="I80" s="404"/>
      <c r="J80" s="410"/>
      <c r="K80" s="414" t="s">
        <v>1084</v>
      </c>
      <c r="L80" s="492" t="s">
        <v>1086</v>
      </c>
      <c r="M80" s="490" t="s">
        <v>73</v>
      </c>
      <c r="N80" s="392" t="s">
        <v>1085</v>
      </c>
      <c r="O80" s="493">
        <v>41467</v>
      </c>
      <c r="P80" s="491" t="s">
        <v>10</v>
      </c>
      <c r="Q80" s="509">
        <v>105</v>
      </c>
      <c r="R80" s="391">
        <v>3</v>
      </c>
      <c r="S80" s="391">
        <v>8</v>
      </c>
      <c r="T80" s="581">
        <v>123</v>
      </c>
      <c r="U80" s="582">
        <v>12</v>
      </c>
      <c r="V80" s="581">
        <v>299</v>
      </c>
      <c r="W80" s="582">
        <v>30</v>
      </c>
      <c r="X80" s="581">
        <v>373</v>
      </c>
      <c r="Y80" s="582">
        <v>36</v>
      </c>
      <c r="Z80" s="483">
        <f t="shared" si="30"/>
        <v>795</v>
      </c>
      <c r="AA80" s="484">
        <f t="shared" si="33"/>
        <v>78</v>
      </c>
      <c r="AB80" s="572">
        <f t="shared" si="34"/>
        <v>26</v>
      </c>
      <c r="AC80" s="573">
        <f t="shared" si="35"/>
        <v>10.192307692307692</v>
      </c>
      <c r="AD80" s="574">
        <v>2838</v>
      </c>
      <c r="AE80" s="575">
        <v>355</v>
      </c>
      <c r="AF80" s="568">
        <f t="shared" si="31"/>
        <v>-0.7198731501057083</v>
      </c>
      <c r="AG80" s="568">
        <f t="shared" si="32"/>
        <v>-0.780281690140845</v>
      </c>
      <c r="AH80" s="606">
        <f t="shared" si="36"/>
        <v>837</v>
      </c>
      <c r="AI80" s="607">
        <f t="shared" si="37"/>
        <v>96</v>
      </c>
      <c r="AJ80" s="624">
        <v>1632</v>
      </c>
      <c r="AK80" s="625">
        <v>174</v>
      </c>
      <c r="AL80" s="608">
        <f t="shared" si="38"/>
        <v>0.4482758620689655</v>
      </c>
      <c r="AM80" s="608">
        <f t="shared" si="39"/>
        <v>0.5517241379310345</v>
      </c>
      <c r="AN80" s="607">
        <f t="shared" si="40"/>
        <v>58</v>
      </c>
      <c r="AO80" s="609">
        <f t="shared" si="41"/>
        <v>9.379310344827585</v>
      </c>
      <c r="AP80" s="616">
        <v>5813</v>
      </c>
      <c r="AQ80" s="617">
        <v>757</v>
      </c>
      <c r="AR80" s="608">
        <f t="shared" si="42"/>
        <v>-0.7192499569929468</v>
      </c>
      <c r="AS80" s="608">
        <f t="shared" si="43"/>
        <v>-0.7701453104359313</v>
      </c>
      <c r="AT80" s="632">
        <v>750919</v>
      </c>
      <c r="AU80" s="633">
        <v>70709</v>
      </c>
      <c r="AV80" s="612">
        <f t="shared" si="44"/>
        <v>10.619850372654117</v>
      </c>
      <c r="AW80" s="613">
        <v>41516</v>
      </c>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row>
    <row r="81" spans="1:133" s="27" customFormat="1" ht="15.75">
      <c r="A81" s="387">
        <v>73</v>
      </c>
      <c r="B81" s="402"/>
      <c r="C81" s="402"/>
      <c r="D81" s="402"/>
      <c r="E81" s="402"/>
      <c r="F81" s="402"/>
      <c r="G81" s="402"/>
      <c r="H81" s="402"/>
      <c r="I81" s="409"/>
      <c r="J81" s="405"/>
      <c r="K81" s="413" t="s">
        <v>1079</v>
      </c>
      <c r="L81" s="491" t="s">
        <v>1067</v>
      </c>
      <c r="M81" s="491" t="s">
        <v>886</v>
      </c>
      <c r="N81" s="491" t="s">
        <v>1068</v>
      </c>
      <c r="O81" s="495">
        <v>41460</v>
      </c>
      <c r="P81" s="491" t="s">
        <v>46</v>
      </c>
      <c r="Q81" s="509">
        <v>10</v>
      </c>
      <c r="R81" s="509">
        <v>4</v>
      </c>
      <c r="S81" s="509">
        <v>9</v>
      </c>
      <c r="T81" s="574">
        <v>285</v>
      </c>
      <c r="U81" s="575">
        <v>48</v>
      </c>
      <c r="V81" s="574">
        <v>220</v>
      </c>
      <c r="W81" s="575">
        <v>36</v>
      </c>
      <c r="X81" s="574">
        <v>279</v>
      </c>
      <c r="Y81" s="575">
        <v>42</v>
      </c>
      <c r="Z81" s="483">
        <f t="shared" si="30"/>
        <v>784</v>
      </c>
      <c r="AA81" s="484">
        <f t="shared" si="33"/>
        <v>126</v>
      </c>
      <c r="AB81" s="572">
        <f t="shared" si="34"/>
        <v>31.5</v>
      </c>
      <c r="AC81" s="573">
        <f t="shared" si="35"/>
        <v>6.222222222222222</v>
      </c>
      <c r="AD81" s="574">
        <v>787</v>
      </c>
      <c r="AE81" s="575">
        <v>91</v>
      </c>
      <c r="AF81" s="568">
        <f t="shared" si="31"/>
        <v>-0.0038119440914866584</v>
      </c>
      <c r="AG81" s="568">
        <f t="shared" si="32"/>
        <v>0.38461538461538464</v>
      </c>
      <c r="AH81" s="606">
        <f t="shared" si="36"/>
        <v>831</v>
      </c>
      <c r="AI81" s="607">
        <f t="shared" si="37"/>
        <v>133</v>
      </c>
      <c r="AJ81" s="622">
        <v>1615</v>
      </c>
      <c r="AK81" s="623">
        <v>259</v>
      </c>
      <c r="AL81" s="608">
        <f t="shared" si="38"/>
        <v>0.4864864864864865</v>
      </c>
      <c r="AM81" s="608">
        <f t="shared" si="39"/>
        <v>0.5135135135135135</v>
      </c>
      <c r="AN81" s="607">
        <f t="shared" si="40"/>
        <v>64.75</v>
      </c>
      <c r="AO81" s="609">
        <f t="shared" si="41"/>
        <v>6.235521235521236</v>
      </c>
      <c r="AP81" s="614">
        <v>1172</v>
      </c>
      <c r="AQ81" s="615">
        <v>142</v>
      </c>
      <c r="AR81" s="608">
        <f t="shared" si="42"/>
        <v>0.3779863481228669</v>
      </c>
      <c r="AS81" s="608">
        <f t="shared" si="43"/>
        <v>0.823943661971831</v>
      </c>
      <c r="AT81" s="630">
        <v>30823.06</v>
      </c>
      <c r="AU81" s="631">
        <v>3790</v>
      </c>
      <c r="AV81" s="612">
        <f t="shared" si="44"/>
        <v>8.132733509234829</v>
      </c>
      <c r="AW81" s="613">
        <v>41516</v>
      </c>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row>
    <row r="82" spans="1:133" s="27" customFormat="1" ht="15.75">
      <c r="A82" s="474">
        <v>74</v>
      </c>
      <c r="B82" s="402" t="s">
        <v>105</v>
      </c>
      <c r="C82" s="402" t="s">
        <v>94</v>
      </c>
      <c r="D82" s="402"/>
      <c r="E82" s="402">
        <v>2</v>
      </c>
      <c r="F82" s="402"/>
      <c r="G82" s="402" t="s">
        <v>49</v>
      </c>
      <c r="H82" s="403"/>
      <c r="I82" s="406"/>
      <c r="J82" s="408"/>
      <c r="K82" s="413" t="s">
        <v>370</v>
      </c>
      <c r="L82" s="490" t="s">
        <v>371</v>
      </c>
      <c r="M82" s="492" t="s">
        <v>69</v>
      </c>
      <c r="N82" s="496" t="s">
        <v>372</v>
      </c>
      <c r="O82" s="495">
        <v>41131</v>
      </c>
      <c r="P82" s="491" t="s">
        <v>59</v>
      </c>
      <c r="Q82" s="556">
        <v>67</v>
      </c>
      <c r="R82" s="509">
        <v>1</v>
      </c>
      <c r="S82" s="509">
        <v>37</v>
      </c>
      <c r="T82" s="577">
        <v>0</v>
      </c>
      <c r="U82" s="578">
        <v>0</v>
      </c>
      <c r="V82" s="577">
        <v>0</v>
      </c>
      <c r="W82" s="578">
        <v>0</v>
      </c>
      <c r="X82" s="577">
        <v>0</v>
      </c>
      <c r="Y82" s="578">
        <v>0</v>
      </c>
      <c r="Z82" s="483">
        <f t="shared" si="30"/>
        <v>0</v>
      </c>
      <c r="AA82" s="484">
        <f t="shared" si="33"/>
        <v>0</v>
      </c>
      <c r="AB82" s="572">
        <f t="shared" si="34"/>
      </c>
      <c r="AC82" s="573">
        <f t="shared" si="35"/>
      </c>
      <c r="AD82" s="574">
        <v>0</v>
      </c>
      <c r="AE82" s="575">
        <v>0</v>
      </c>
      <c r="AF82" s="568">
        <f t="shared" si="31"/>
      </c>
      <c r="AG82" s="568">
        <f t="shared" si="32"/>
      </c>
      <c r="AH82" s="606">
        <f t="shared" si="36"/>
        <v>1425.6</v>
      </c>
      <c r="AI82" s="607">
        <f t="shared" si="37"/>
        <v>285</v>
      </c>
      <c r="AJ82" s="626">
        <v>1425.6</v>
      </c>
      <c r="AK82" s="627">
        <v>285</v>
      </c>
      <c r="AL82" s="608">
        <f t="shared" si="38"/>
        <v>0</v>
      </c>
      <c r="AM82" s="608">
        <f t="shared" si="39"/>
        <v>1</v>
      </c>
      <c r="AN82" s="607">
        <f t="shared" si="40"/>
        <v>285</v>
      </c>
      <c r="AO82" s="609">
        <f t="shared" si="41"/>
        <v>5.002105263157895</v>
      </c>
      <c r="AP82" s="618">
        <v>1188</v>
      </c>
      <c r="AQ82" s="619">
        <v>238</v>
      </c>
      <c r="AR82" s="608">
        <f t="shared" si="42"/>
        <v>0.19999999999999993</v>
      </c>
      <c r="AS82" s="608">
        <f t="shared" si="43"/>
        <v>0.19747899159663865</v>
      </c>
      <c r="AT82" s="634">
        <f>195847.27+85945.19+67186.35+18388+14296.55+7652.5+4441.5+3248.5+3720.25+2873+2066.5+5390.5+133+7174.6+527+1559+4226+102+1887.5+2017.5+2911.3+2860+93+4735+1782+1658+407.5+7380+1188+2970+114+497+5472+34+1188+1188+1425.6</f>
        <v>464586.10999999987</v>
      </c>
      <c r="AU82" s="635">
        <f>18796+8930+6307+1949+1879+1070+561+402+483+452+338+866+19+1301+96+545+859+34+197+203+462+542+15+1061+356+340+92+1494+238+594+45+198+1095+34+238+238+285</f>
        <v>52614</v>
      </c>
      <c r="AV82" s="612">
        <f t="shared" si="44"/>
        <v>8.830085338503057</v>
      </c>
      <c r="AW82" s="613">
        <v>41516</v>
      </c>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row>
    <row r="83" spans="1:133" s="27" customFormat="1" ht="15.75">
      <c r="A83" s="387">
        <v>75</v>
      </c>
      <c r="B83" s="402"/>
      <c r="C83" s="403"/>
      <c r="D83" s="403"/>
      <c r="E83" s="402"/>
      <c r="F83" s="403"/>
      <c r="G83" s="402"/>
      <c r="H83" s="402"/>
      <c r="I83" s="404"/>
      <c r="J83" s="407"/>
      <c r="K83" s="383" t="s">
        <v>1171</v>
      </c>
      <c r="L83" s="492" t="s">
        <v>1172</v>
      </c>
      <c r="M83" s="491" t="s">
        <v>313</v>
      </c>
      <c r="N83" s="491" t="s">
        <v>1173</v>
      </c>
      <c r="O83" s="495">
        <v>41502</v>
      </c>
      <c r="P83" s="491" t="s">
        <v>139</v>
      </c>
      <c r="Q83" s="509">
        <v>2</v>
      </c>
      <c r="R83" s="509">
        <v>2</v>
      </c>
      <c r="S83" s="509">
        <v>3</v>
      </c>
      <c r="T83" s="574">
        <v>254</v>
      </c>
      <c r="U83" s="575">
        <v>25</v>
      </c>
      <c r="V83" s="574">
        <v>256</v>
      </c>
      <c r="W83" s="575">
        <v>25</v>
      </c>
      <c r="X83" s="574">
        <v>272</v>
      </c>
      <c r="Y83" s="575">
        <v>27</v>
      </c>
      <c r="Z83" s="483">
        <f t="shared" si="30"/>
        <v>782</v>
      </c>
      <c r="AA83" s="484">
        <f t="shared" si="33"/>
        <v>77</v>
      </c>
      <c r="AB83" s="572">
        <f t="shared" si="34"/>
        <v>38.5</v>
      </c>
      <c r="AC83" s="573">
        <f t="shared" si="35"/>
        <v>10.155844155844155</v>
      </c>
      <c r="AD83" s="574">
        <v>1796</v>
      </c>
      <c r="AE83" s="575">
        <v>181</v>
      </c>
      <c r="AF83" s="568">
        <f t="shared" si="31"/>
        <v>-0.5645879732739421</v>
      </c>
      <c r="AG83" s="568">
        <f t="shared" si="32"/>
        <v>-0.574585635359116</v>
      </c>
      <c r="AH83" s="606">
        <f t="shared" si="36"/>
        <v>538</v>
      </c>
      <c r="AI83" s="607">
        <f t="shared" si="37"/>
        <v>53</v>
      </c>
      <c r="AJ83" s="622">
        <v>1320</v>
      </c>
      <c r="AK83" s="623">
        <v>130</v>
      </c>
      <c r="AL83" s="608">
        <f t="shared" si="38"/>
        <v>0.5923076923076923</v>
      </c>
      <c r="AM83" s="608">
        <f t="shared" si="39"/>
        <v>0.4076923076923077</v>
      </c>
      <c r="AN83" s="607">
        <f t="shared" si="40"/>
        <v>65</v>
      </c>
      <c r="AO83" s="609">
        <f t="shared" si="41"/>
        <v>10.153846153846153</v>
      </c>
      <c r="AP83" s="616">
        <v>2926</v>
      </c>
      <c r="AQ83" s="617">
        <v>291</v>
      </c>
      <c r="AR83" s="608">
        <f t="shared" si="42"/>
        <v>-0.5488721804511278</v>
      </c>
      <c r="AS83" s="608">
        <f t="shared" si="43"/>
        <v>-0.5532646048109966</v>
      </c>
      <c r="AT83" s="630">
        <v>8901</v>
      </c>
      <c r="AU83" s="631">
        <v>877</v>
      </c>
      <c r="AV83" s="612">
        <f t="shared" si="44"/>
        <v>10.149372862029647</v>
      </c>
      <c r="AW83" s="613">
        <v>41516</v>
      </c>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row>
    <row r="84" spans="1:133" s="27" customFormat="1" ht="15.75">
      <c r="A84" s="387">
        <v>76</v>
      </c>
      <c r="B84" s="402" t="s">
        <v>105</v>
      </c>
      <c r="C84" s="402"/>
      <c r="D84" s="402"/>
      <c r="E84" s="402"/>
      <c r="F84" s="402"/>
      <c r="G84" s="402"/>
      <c r="H84" s="402" t="s">
        <v>48</v>
      </c>
      <c r="I84" s="409"/>
      <c r="J84" s="410"/>
      <c r="K84" s="414" t="s">
        <v>471</v>
      </c>
      <c r="L84" s="492" t="s">
        <v>472</v>
      </c>
      <c r="M84" s="490"/>
      <c r="N84" s="392" t="s">
        <v>471</v>
      </c>
      <c r="O84" s="493">
        <v>41194</v>
      </c>
      <c r="P84" s="491" t="s">
        <v>12</v>
      </c>
      <c r="Q84" s="509">
        <v>227</v>
      </c>
      <c r="R84" s="517">
        <v>1</v>
      </c>
      <c r="S84" s="517">
        <v>47</v>
      </c>
      <c r="T84" s="587">
        <v>0</v>
      </c>
      <c r="U84" s="588">
        <v>0</v>
      </c>
      <c r="V84" s="587">
        <v>0</v>
      </c>
      <c r="W84" s="588">
        <v>0</v>
      </c>
      <c r="X84" s="587">
        <v>0</v>
      </c>
      <c r="Y84" s="588">
        <v>0</v>
      </c>
      <c r="Z84" s="483">
        <f t="shared" si="30"/>
        <v>0</v>
      </c>
      <c r="AA84" s="484">
        <f t="shared" si="33"/>
        <v>0</v>
      </c>
      <c r="AB84" s="572">
        <f t="shared" si="34"/>
      </c>
      <c r="AC84" s="573">
        <f t="shared" si="35"/>
      </c>
      <c r="AD84" s="574">
        <v>0</v>
      </c>
      <c r="AE84" s="575">
        <v>0</v>
      </c>
      <c r="AF84" s="568">
        <f t="shared" si="31"/>
      </c>
      <c r="AG84" s="568">
        <f t="shared" si="32"/>
      </c>
      <c r="AH84" s="606">
        <f t="shared" si="36"/>
        <v>1197</v>
      </c>
      <c r="AI84" s="607">
        <f t="shared" si="37"/>
        <v>189</v>
      </c>
      <c r="AJ84" s="622">
        <v>1197</v>
      </c>
      <c r="AK84" s="623">
        <v>189</v>
      </c>
      <c r="AL84" s="608">
        <f t="shared" si="38"/>
        <v>0</v>
      </c>
      <c r="AM84" s="608">
        <f t="shared" si="39"/>
        <v>1</v>
      </c>
      <c r="AN84" s="607">
        <f t="shared" si="40"/>
        <v>189</v>
      </c>
      <c r="AO84" s="609">
        <f t="shared" si="41"/>
        <v>6.333333333333333</v>
      </c>
      <c r="AP84" s="614">
        <v>1197</v>
      </c>
      <c r="AQ84" s="615">
        <v>189</v>
      </c>
      <c r="AR84" s="608">
        <f t="shared" si="42"/>
        <v>0</v>
      </c>
      <c r="AS84" s="608">
        <f t="shared" si="43"/>
        <v>0</v>
      </c>
      <c r="AT84" s="630">
        <v>6735452</v>
      </c>
      <c r="AU84" s="631">
        <v>723712</v>
      </c>
      <c r="AV84" s="612">
        <f t="shared" si="44"/>
        <v>9.306812654757694</v>
      </c>
      <c r="AW84" s="613">
        <v>41516</v>
      </c>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row>
    <row r="85" spans="1:133" s="27" customFormat="1" ht="15.75">
      <c r="A85" s="387">
        <v>77</v>
      </c>
      <c r="B85" s="402" t="s">
        <v>105</v>
      </c>
      <c r="C85" s="402"/>
      <c r="D85" s="402"/>
      <c r="E85" s="402"/>
      <c r="F85" s="402"/>
      <c r="G85" s="402"/>
      <c r="H85" s="402" t="s">
        <v>48</v>
      </c>
      <c r="I85" s="406"/>
      <c r="J85" s="408"/>
      <c r="K85" s="414" t="s">
        <v>550</v>
      </c>
      <c r="L85" s="492" t="s">
        <v>192</v>
      </c>
      <c r="M85" s="490"/>
      <c r="N85" s="494" t="s">
        <v>550</v>
      </c>
      <c r="O85" s="493">
        <v>41257</v>
      </c>
      <c r="P85" s="491" t="s">
        <v>59</v>
      </c>
      <c r="Q85" s="509">
        <v>12</v>
      </c>
      <c r="R85" s="509">
        <v>1</v>
      </c>
      <c r="S85" s="509">
        <v>19</v>
      </c>
      <c r="T85" s="577">
        <v>0</v>
      </c>
      <c r="U85" s="578">
        <v>0</v>
      </c>
      <c r="V85" s="577">
        <v>0</v>
      </c>
      <c r="W85" s="578">
        <v>0</v>
      </c>
      <c r="X85" s="577">
        <v>0</v>
      </c>
      <c r="Y85" s="578">
        <v>0</v>
      </c>
      <c r="Z85" s="483">
        <f t="shared" si="30"/>
        <v>0</v>
      </c>
      <c r="AA85" s="484">
        <f t="shared" si="33"/>
        <v>0</v>
      </c>
      <c r="AB85" s="572">
        <f t="shared" si="34"/>
      </c>
      <c r="AC85" s="573">
        <f t="shared" si="35"/>
      </c>
      <c r="AD85" s="574">
        <v>0</v>
      </c>
      <c r="AE85" s="575">
        <v>0</v>
      </c>
      <c r="AF85" s="568">
        <f t="shared" si="31"/>
      </c>
      <c r="AG85" s="568">
        <f t="shared" si="32"/>
      </c>
      <c r="AH85" s="606">
        <f t="shared" si="36"/>
        <v>1188</v>
      </c>
      <c r="AI85" s="607">
        <f t="shared" si="37"/>
        <v>238</v>
      </c>
      <c r="AJ85" s="626">
        <v>1188</v>
      </c>
      <c r="AK85" s="627">
        <v>238</v>
      </c>
      <c r="AL85" s="608">
        <f t="shared" si="38"/>
        <v>0</v>
      </c>
      <c r="AM85" s="608">
        <f t="shared" si="39"/>
        <v>1</v>
      </c>
      <c r="AN85" s="607">
        <f t="shared" si="40"/>
        <v>238</v>
      </c>
      <c r="AO85" s="609">
        <f t="shared" si="41"/>
        <v>4.991596638655462</v>
      </c>
      <c r="AP85" s="618">
        <v>5940</v>
      </c>
      <c r="AQ85" s="619">
        <v>1190</v>
      </c>
      <c r="AR85" s="608">
        <f t="shared" si="42"/>
        <v>-0.8</v>
      </c>
      <c r="AS85" s="608">
        <f t="shared" si="43"/>
        <v>-0.8</v>
      </c>
      <c r="AT85" s="634">
        <f>89498.54+46564.78+27996+11245+15610+3212+3469+1645+270+3589.5+1782+9504+217.5+42+2257+1188+1544.4+5940+1188</f>
        <v>226762.72</v>
      </c>
      <c r="AU85" s="635">
        <f>8836+4262+2778+1423+2394+623+907+261+45+714+356+1900+31+7+427+238+310+1190+238</f>
        <v>26940</v>
      </c>
      <c r="AV85" s="612">
        <f t="shared" si="44"/>
        <v>8.417324424647365</v>
      </c>
      <c r="AW85" s="613">
        <v>41516</v>
      </c>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row>
    <row r="86" spans="1:133" s="27" customFormat="1" ht="15.75">
      <c r="A86" s="474">
        <v>78</v>
      </c>
      <c r="B86" s="402"/>
      <c r="C86" s="402"/>
      <c r="D86" s="402"/>
      <c r="E86" s="402"/>
      <c r="F86" s="402"/>
      <c r="G86" s="402"/>
      <c r="H86" s="402"/>
      <c r="I86" s="409"/>
      <c r="J86" s="405"/>
      <c r="K86" s="414" t="s">
        <v>1024</v>
      </c>
      <c r="L86" s="492" t="s">
        <v>846</v>
      </c>
      <c r="M86" s="490" t="s">
        <v>65</v>
      </c>
      <c r="N86" s="494" t="s">
        <v>1025</v>
      </c>
      <c r="O86" s="495">
        <v>41415</v>
      </c>
      <c r="P86" s="491" t="s">
        <v>59</v>
      </c>
      <c r="Q86" s="509">
        <v>15</v>
      </c>
      <c r="R86" s="509">
        <v>3</v>
      </c>
      <c r="S86" s="509">
        <v>11</v>
      </c>
      <c r="T86" s="590">
        <v>143</v>
      </c>
      <c r="U86" s="591">
        <v>17</v>
      </c>
      <c r="V86" s="590">
        <v>136</v>
      </c>
      <c r="W86" s="591">
        <v>16</v>
      </c>
      <c r="X86" s="590">
        <v>335</v>
      </c>
      <c r="Y86" s="591">
        <v>43</v>
      </c>
      <c r="Z86" s="483">
        <f t="shared" si="30"/>
        <v>614</v>
      </c>
      <c r="AA86" s="484">
        <f t="shared" si="33"/>
        <v>76</v>
      </c>
      <c r="AB86" s="572">
        <f t="shared" si="34"/>
        <v>25.333333333333332</v>
      </c>
      <c r="AC86" s="573">
        <f t="shared" si="35"/>
        <v>8.078947368421053</v>
      </c>
      <c r="AD86" s="574">
        <v>2527</v>
      </c>
      <c r="AE86" s="575">
        <v>322</v>
      </c>
      <c r="AF86" s="568">
        <f t="shared" si="31"/>
        <v>-0.7570241392956074</v>
      </c>
      <c r="AG86" s="568">
        <f t="shared" si="32"/>
        <v>-0.7639751552795031</v>
      </c>
      <c r="AH86" s="606">
        <f t="shared" si="36"/>
        <v>425</v>
      </c>
      <c r="AI86" s="607">
        <f t="shared" si="37"/>
        <v>59</v>
      </c>
      <c r="AJ86" s="626">
        <v>1039</v>
      </c>
      <c r="AK86" s="627">
        <v>135</v>
      </c>
      <c r="AL86" s="608">
        <f t="shared" si="38"/>
        <v>0.562962962962963</v>
      </c>
      <c r="AM86" s="608">
        <f t="shared" si="39"/>
        <v>0.43703703703703706</v>
      </c>
      <c r="AN86" s="607">
        <f t="shared" si="40"/>
        <v>45</v>
      </c>
      <c r="AO86" s="609">
        <f t="shared" si="41"/>
        <v>7.696296296296296</v>
      </c>
      <c r="AP86" s="614">
        <v>5547.22</v>
      </c>
      <c r="AQ86" s="615">
        <v>737</v>
      </c>
      <c r="AR86" s="608">
        <f t="shared" si="42"/>
        <v>-0.8126989735398993</v>
      </c>
      <c r="AS86" s="608">
        <f t="shared" si="43"/>
        <v>-0.8168249660786974</v>
      </c>
      <c r="AT86" s="634">
        <f>22328.29+12997.69+1497+7167.54+4950.62+4306.75+1793.5+5632.5+2877+5547.22+1039</f>
        <v>70137.11</v>
      </c>
      <c r="AU86" s="635">
        <f>2309+1391+164+870+612+542+286+822+362+737+135</f>
        <v>8230</v>
      </c>
      <c r="AV86" s="612">
        <f t="shared" si="44"/>
        <v>8.522127582017012</v>
      </c>
      <c r="AW86" s="613">
        <v>41516</v>
      </c>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row>
    <row r="87" spans="1:133" s="27" customFormat="1" ht="15.75">
      <c r="A87" s="387">
        <v>79</v>
      </c>
      <c r="B87" s="402"/>
      <c r="C87" s="402"/>
      <c r="D87" s="402"/>
      <c r="E87" s="402">
        <v>2</v>
      </c>
      <c r="F87" s="402"/>
      <c r="G87" s="402"/>
      <c r="H87" s="402"/>
      <c r="I87" s="404"/>
      <c r="J87" s="410"/>
      <c r="K87" s="414" t="s">
        <v>1044</v>
      </c>
      <c r="L87" s="492" t="s">
        <v>266</v>
      </c>
      <c r="M87" s="490" t="s">
        <v>73</v>
      </c>
      <c r="N87" s="392" t="s">
        <v>1045</v>
      </c>
      <c r="O87" s="493">
        <v>41453</v>
      </c>
      <c r="P87" s="491" t="s">
        <v>10</v>
      </c>
      <c r="Q87" s="509">
        <v>116</v>
      </c>
      <c r="R87" s="391">
        <v>3</v>
      </c>
      <c r="S87" s="391">
        <v>10</v>
      </c>
      <c r="T87" s="581">
        <v>249</v>
      </c>
      <c r="U87" s="582">
        <v>29</v>
      </c>
      <c r="V87" s="581">
        <v>154</v>
      </c>
      <c r="W87" s="582">
        <v>19</v>
      </c>
      <c r="X87" s="581">
        <v>217</v>
      </c>
      <c r="Y87" s="582">
        <v>23</v>
      </c>
      <c r="Z87" s="483">
        <f t="shared" si="30"/>
        <v>620</v>
      </c>
      <c r="AA87" s="484">
        <f t="shared" si="33"/>
        <v>71</v>
      </c>
      <c r="AB87" s="572">
        <f t="shared" si="34"/>
        <v>23.666666666666668</v>
      </c>
      <c r="AC87" s="573">
        <f t="shared" si="35"/>
        <v>8.732394366197184</v>
      </c>
      <c r="AD87" s="574">
        <v>800</v>
      </c>
      <c r="AE87" s="575">
        <v>91</v>
      </c>
      <c r="AF87" s="568">
        <f t="shared" si="31"/>
        <v>-0.225</v>
      </c>
      <c r="AG87" s="568">
        <f t="shared" si="32"/>
        <v>-0.21978021978021978</v>
      </c>
      <c r="AH87" s="606">
        <f t="shared" si="36"/>
        <v>376</v>
      </c>
      <c r="AI87" s="607">
        <f t="shared" si="37"/>
        <v>46</v>
      </c>
      <c r="AJ87" s="624">
        <v>996</v>
      </c>
      <c r="AK87" s="625">
        <v>117</v>
      </c>
      <c r="AL87" s="608">
        <f t="shared" si="38"/>
        <v>0.6068376068376068</v>
      </c>
      <c r="AM87" s="608">
        <f t="shared" si="39"/>
        <v>0.39316239316239315</v>
      </c>
      <c r="AN87" s="607">
        <f t="shared" si="40"/>
        <v>39</v>
      </c>
      <c r="AO87" s="609">
        <f t="shared" si="41"/>
        <v>8.512820512820513</v>
      </c>
      <c r="AP87" s="616">
        <v>1571</v>
      </c>
      <c r="AQ87" s="617">
        <v>189</v>
      </c>
      <c r="AR87" s="608">
        <f t="shared" si="42"/>
        <v>-0.366008911521324</v>
      </c>
      <c r="AS87" s="608">
        <f t="shared" si="43"/>
        <v>-0.38095238095238093</v>
      </c>
      <c r="AT87" s="632">
        <v>2005483</v>
      </c>
      <c r="AU87" s="633">
        <v>198604</v>
      </c>
      <c r="AV87" s="612">
        <f t="shared" si="44"/>
        <v>10.097898330345814</v>
      </c>
      <c r="AW87" s="613">
        <v>41516</v>
      </c>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row>
    <row r="88" spans="1:133" s="27" customFormat="1" ht="15.75">
      <c r="A88" s="387">
        <v>80</v>
      </c>
      <c r="B88" s="402"/>
      <c r="C88" s="402"/>
      <c r="D88" s="402"/>
      <c r="E88" s="402"/>
      <c r="F88" s="402"/>
      <c r="G88" s="402"/>
      <c r="H88" s="403"/>
      <c r="I88" s="404"/>
      <c r="J88" s="405"/>
      <c r="K88" s="413" t="s">
        <v>1168</v>
      </c>
      <c r="L88" s="490" t="s">
        <v>1170</v>
      </c>
      <c r="M88" s="492" t="s">
        <v>92</v>
      </c>
      <c r="N88" s="496" t="s">
        <v>1169</v>
      </c>
      <c r="O88" s="495">
        <v>41502</v>
      </c>
      <c r="P88" s="491" t="s">
        <v>327</v>
      </c>
      <c r="Q88" s="556">
        <v>5</v>
      </c>
      <c r="R88" s="423">
        <v>3</v>
      </c>
      <c r="S88" s="423">
        <v>3</v>
      </c>
      <c r="T88" s="581">
        <v>143</v>
      </c>
      <c r="U88" s="582">
        <v>16</v>
      </c>
      <c r="V88" s="581">
        <v>137</v>
      </c>
      <c r="W88" s="582">
        <v>14</v>
      </c>
      <c r="X88" s="581">
        <v>301</v>
      </c>
      <c r="Y88" s="582">
        <v>24</v>
      </c>
      <c r="Z88" s="483">
        <f t="shared" si="30"/>
        <v>581</v>
      </c>
      <c r="AA88" s="484">
        <f t="shared" si="33"/>
        <v>54</v>
      </c>
      <c r="AB88" s="572">
        <f t="shared" si="34"/>
        <v>18</v>
      </c>
      <c r="AC88" s="573">
        <f t="shared" si="35"/>
        <v>10.75925925925926</v>
      </c>
      <c r="AD88" s="574">
        <v>1082</v>
      </c>
      <c r="AE88" s="575">
        <v>91</v>
      </c>
      <c r="AF88" s="568">
        <f t="shared" si="31"/>
        <v>-0.4630314232902033</v>
      </c>
      <c r="AG88" s="568">
        <f t="shared" si="32"/>
        <v>-0.4065934065934066</v>
      </c>
      <c r="AH88" s="606">
        <f t="shared" si="36"/>
        <v>372</v>
      </c>
      <c r="AI88" s="607">
        <f t="shared" si="37"/>
        <v>47</v>
      </c>
      <c r="AJ88" s="624">
        <v>953</v>
      </c>
      <c r="AK88" s="625">
        <v>101</v>
      </c>
      <c r="AL88" s="608">
        <f t="shared" si="38"/>
        <v>0.5346534653465347</v>
      </c>
      <c r="AM88" s="608">
        <f t="shared" si="39"/>
        <v>0.46534653465346537</v>
      </c>
      <c r="AN88" s="607">
        <f t="shared" si="40"/>
        <v>33.666666666666664</v>
      </c>
      <c r="AO88" s="609">
        <f t="shared" si="41"/>
        <v>9.435643564356436</v>
      </c>
      <c r="AP88" s="616">
        <v>1981</v>
      </c>
      <c r="AQ88" s="617">
        <v>189</v>
      </c>
      <c r="AR88" s="608">
        <f t="shared" si="42"/>
        <v>-0.5189298334174659</v>
      </c>
      <c r="AS88" s="608">
        <f t="shared" si="43"/>
        <v>-0.4656084656084656</v>
      </c>
      <c r="AT88" s="632">
        <v>14810</v>
      </c>
      <c r="AU88" s="633">
        <v>1344</v>
      </c>
      <c r="AV88" s="612">
        <f t="shared" si="44"/>
        <v>11.019345238095237</v>
      </c>
      <c r="AW88" s="613">
        <v>41516</v>
      </c>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row>
    <row r="89" spans="1:133" s="27" customFormat="1" ht="15.75">
      <c r="A89" s="387">
        <v>81</v>
      </c>
      <c r="B89" s="402"/>
      <c r="C89" s="402"/>
      <c r="D89" s="402"/>
      <c r="E89" s="402"/>
      <c r="F89" s="402"/>
      <c r="G89" s="402"/>
      <c r="H89" s="402"/>
      <c r="I89" s="409"/>
      <c r="J89" s="405"/>
      <c r="K89" s="414" t="s">
        <v>904</v>
      </c>
      <c r="L89" s="492" t="s">
        <v>905</v>
      </c>
      <c r="M89" s="490" t="s">
        <v>313</v>
      </c>
      <c r="N89" s="494" t="s">
        <v>906</v>
      </c>
      <c r="O89" s="493">
        <v>41418</v>
      </c>
      <c r="P89" s="491" t="s">
        <v>59</v>
      </c>
      <c r="Q89" s="509">
        <v>22</v>
      </c>
      <c r="R89" s="509">
        <v>2</v>
      </c>
      <c r="S89" s="509">
        <v>15</v>
      </c>
      <c r="T89" s="590">
        <v>0</v>
      </c>
      <c r="U89" s="591">
        <v>0</v>
      </c>
      <c r="V89" s="590">
        <v>0</v>
      </c>
      <c r="W89" s="591">
        <v>0</v>
      </c>
      <c r="X89" s="590">
        <v>0</v>
      </c>
      <c r="Y89" s="591">
        <v>0</v>
      </c>
      <c r="Z89" s="483">
        <f aca="true" t="shared" si="45" ref="Z89:Z113">SUM(T89+V89+X89)</f>
        <v>0</v>
      </c>
      <c r="AA89" s="484">
        <f t="shared" si="33"/>
        <v>0</v>
      </c>
      <c r="AB89" s="572">
        <f t="shared" si="34"/>
      </c>
      <c r="AC89" s="573">
        <f t="shared" si="35"/>
      </c>
      <c r="AD89" s="574">
        <v>0</v>
      </c>
      <c r="AE89" s="575">
        <v>0</v>
      </c>
      <c r="AF89" s="568">
        <f t="shared" si="31"/>
      </c>
      <c r="AG89" s="568">
        <f t="shared" si="32"/>
      </c>
      <c r="AH89" s="606">
        <f t="shared" si="36"/>
        <v>898.5</v>
      </c>
      <c r="AI89" s="607">
        <f t="shared" si="37"/>
        <v>147</v>
      </c>
      <c r="AJ89" s="626">
        <v>898.5</v>
      </c>
      <c r="AK89" s="627">
        <v>147</v>
      </c>
      <c r="AL89" s="608">
        <f t="shared" si="38"/>
        <v>0</v>
      </c>
      <c r="AM89" s="608">
        <f t="shared" si="39"/>
        <v>1</v>
      </c>
      <c r="AN89" s="607">
        <f t="shared" si="40"/>
        <v>73.5</v>
      </c>
      <c r="AO89" s="609">
        <f t="shared" si="41"/>
        <v>6.112244897959184</v>
      </c>
      <c r="AP89" s="614">
        <v>819</v>
      </c>
      <c r="AQ89" s="615">
        <v>116</v>
      </c>
      <c r="AR89" s="608">
        <f t="shared" si="42"/>
        <v>0.09706959706959707</v>
      </c>
      <c r="AS89" s="608">
        <f t="shared" si="43"/>
        <v>0.2672413793103448</v>
      </c>
      <c r="AT89" s="634">
        <f>42301.45+27488.5+21349.04+30409.93+18481.11+10952.22+5759.24+3595+8467+7348.36+2517+1617.5+1024+819+898.5</f>
        <v>183027.84999999995</v>
      </c>
      <c r="AU89" s="635">
        <f>4145+3094+2230+3762+2228+1398+815+487+1032+981+320+228+143+116+147</f>
        <v>21126</v>
      </c>
      <c r="AV89" s="612">
        <f t="shared" si="44"/>
        <v>8.663630124017795</v>
      </c>
      <c r="AW89" s="613">
        <v>41516</v>
      </c>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row>
    <row r="90" spans="1:133" s="27" customFormat="1" ht="15.75">
      <c r="A90" s="474">
        <v>82</v>
      </c>
      <c r="B90" s="402"/>
      <c r="C90" s="402"/>
      <c r="D90" s="402"/>
      <c r="E90" s="402"/>
      <c r="F90" s="402"/>
      <c r="G90" s="402"/>
      <c r="H90" s="402"/>
      <c r="I90" s="409"/>
      <c r="J90" s="405"/>
      <c r="K90" s="413" t="s">
        <v>1000</v>
      </c>
      <c r="L90" s="491" t="s">
        <v>1081</v>
      </c>
      <c r="M90" s="491" t="s">
        <v>403</v>
      </c>
      <c r="N90" s="491" t="s">
        <v>1002</v>
      </c>
      <c r="O90" s="495">
        <v>41432</v>
      </c>
      <c r="P90" s="491" t="s">
        <v>46</v>
      </c>
      <c r="Q90" s="509">
        <v>20</v>
      </c>
      <c r="R90" s="509">
        <v>3</v>
      </c>
      <c r="S90" s="509">
        <v>10</v>
      </c>
      <c r="T90" s="574">
        <v>52</v>
      </c>
      <c r="U90" s="575">
        <v>7</v>
      </c>
      <c r="V90" s="574">
        <v>196</v>
      </c>
      <c r="W90" s="575">
        <v>25</v>
      </c>
      <c r="X90" s="574">
        <v>292</v>
      </c>
      <c r="Y90" s="575">
        <v>38</v>
      </c>
      <c r="Z90" s="483">
        <f t="shared" si="45"/>
        <v>540</v>
      </c>
      <c r="AA90" s="484">
        <f t="shared" si="33"/>
        <v>70</v>
      </c>
      <c r="AB90" s="572">
        <f t="shared" si="34"/>
        <v>23.333333333333332</v>
      </c>
      <c r="AC90" s="573">
        <f t="shared" si="35"/>
        <v>7.714285714285714</v>
      </c>
      <c r="AD90" s="574">
        <v>2100.5</v>
      </c>
      <c r="AE90" s="575">
        <v>260</v>
      </c>
      <c r="AF90" s="568">
        <f t="shared" si="31"/>
        <v>-0.7429183527731492</v>
      </c>
      <c r="AG90" s="568">
        <f t="shared" si="32"/>
        <v>-0.7307692307692307</v>
      </c>
      <c r="AH90" s="606">
        <f t="shared" si="36"/>
        <v>259</v>
      </c>
      <c r="AI90" s="607">
        <f t="shared" si="37"/>
        <v>37</v>
      </c>
      <c r="AJ90" s="622">
        <v>799</v>
      </c>
      <c r="AK90" s="623">
        <v>107</v>
      </c>
      <c r="AL90" s="608">
        <f t="shared" si="38"/>
        <v>0.6542056074766355</v>
      </c>
      <c r="AM90" s="608">
        <f t="shared" si="39"/>
        <v>0.34579439252336447</v>
      </c>
      <c r="AN90" s="607">
        <f t="shared" si="40"/>
        <v>35.666666666666664</v>
      </c>
      <c r="AO90" s="609">
        <f t="shared" si="41"/>
        <v>7.4672897196261685</v>
      </c>
      <c r="AP90" s="614">
        <v>3897</v>
      </c>
      <c r="AQ90" s="615">
        <v>501</v>
      </c>
      <c r="AR90" s="608">
        <f t="shared" si="42"/>
        <v>-0.7949704901206056</v>
      </c>
      <c r="AS90" s="608">
        <f t="shared" si="43"/>
        <v>-0.7864271457085829</v>
      </c>
      <c r="AT90" s="630">
        <v>27364.62</v>
      </c>
      <c r="AU90" s="631">
        <v>3349</v>
      </c>
      <c r="AV90" s="612">
        <f t="shared" si="44"/>
        <v>8.170982382800835</v>
      </c>
      <c r="AW90" s="613">
        <v>41516</v>
      </c>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row>
    <row r="91" spans="1:133" s="27" customFormat="1" ht="15.75">
      <c r="A91" s="387">
        <v>83</v>
      </c>
      <c r="B91" s="402"/>
      <c r="C91" s="402"/>
      <c r="D91" s="403"/>
      <c r="E91" s="402"/>
      <c r="F91" s="403"/>
      <c r="G91" s="402"/>
      <c r="H91" s="403"/>
      <c r="I91" s="409"/>
      <c r="J91" s="405"/>
      <c r="K91" s="415" t="s">
        <v>1018</v>
      </c>
      <c r="L91" s="496" t="s">
        <v>334</v>
      </c>
      <c r="M91" s="492" t="s">
        <v>92</v>
      </c>
      <c r="N91" s="496" t="s">
        <v>1019</v>
      </c>
      <c r="O91" s="495">
        <v>41439</v>
      </c>
      <c r="P91" s="491" t="s">
        <v>8</v>
      </c>
      <c r="Q91" s="556">
        <v>35</v>
      </c>
      <c r="R91" s="423">
        <v>1</v>
      </c>
      <c r="S91" s="423">
        <v>12</v>
      </c>
      <c r="T91" s="581">
        <v>123</v>
      </c>
      <c r="U91" s="582">
        <v>15</v>
      </c>
      <c r="V91" s="581">
        <v>115</v>
      </c>
      <c r="W91" s="582">
        <v>15</v>
      </c>
      <c r="X91" s="581">
        <v>108</v>
      </c>
      <c r="Y91" s="582">
        <v>14</v>
      </c>
      <c r="Z91" s="483">
        <f t="shared" si="45"/>
        <v>346</v>
      </c>
      <c r="AA91" s="484">
        <f t="shared" si="33"/>
        <v>44</v>
      </c>
      <c r="AB91" s="572">
        <f t="shared" si="34"/>
        <v>44</v>
      </c>
      <c r="AC91" s="573">
        <f t="shared" si="35"/>
        <v>7.863636363636363</v>
      </c>
      <c r="AD91" s="574">
        <v>126</v>
      </c>
      <c r="AE91" s="575">
        <v>14</v>
      </c>
      <c r="AF91" s="568">
        <f t="shared" si="31"/>
        <v>1.746031746031746</v>
      </c>
      <c r="AG91" s="568">
        <f t="shared" si="32"/>
        <v>2.142857142857143</v>
      </c>
      <c r="AH91" s="606">
        <f t="shared" si="36"/>
        <v>377</v>
      </c>
      <c r="AI91" s="607">
        <f t="shared" si="37"/>
        <v>48</v>
      </c>
      <c r="AJ91" s="624">
        <v>723</v>
      </c>
      <c r="AK91" s="625">
        <v>92</v>
      </c>
      <c r="AL91" s="608">
        <f t="shared" si="38"/>
        <v>0.4782608695652174</v>
      </c>
      <c r="AM91" s="608">
        <f t="shared" si="39"/>
        <v>0.5217391304347826</v>
      </c>
      <c r="AN91" s="607">
        <f t="shared" si="40"/>
        <v>92</v>
      </c>
      <c r="AO91" s="609">
        <f t="shared" si="41"/>
        <v>7.858695652173913</v>
      </c>
      <c r="AP91" s="614">
        <v>209</v>
      </c>
      <c r="AQ91" s="615">
        <v>26</v>
      </c>
      <c r="AR91" s="608">
        <f t="shared" si="42"/>
        <v>2.45933014354067</v>
      </c>
      <c r="AS91" s="608">
        <f t="shared" si="43"/>
        <v>2.5384615384615383</v>
      </c>
      <c r="AT91" s="632">
        <v>148902</v>
      </c>
      <c r="AU91" s="633">
        <v>14542</v>
      </c>
      <c r="AV91" s="612">
        <f t="shared" si="44"/>
        <v>10.23944436803741</v>
      </c>
      <c r="AW91" s="613">
        <v>41516</v>
      </c>
      <c r="AX91" s="26"/>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row>
    <row r="92" spans="1:133" s="27" customFormat="1" ht="15.75">
      <c r="A92" s="387">
        <v>84</v>
      </c>
      <c r="B92" s="402"/>
      <c r="C92" s="403"/>
      <c r="D92" s="403"/>
      <c r="E92" s="402"/>
      <c r="F92" s="403"/>
      <c r="G92" s="402"/>
      <c r="H92" s="402"/>
      <c r="I92" s="404"/>
      <c r="J92" s="405"/>
      <c r="K92" s="383" t="s">
        <v>1103</v>
      </c>
      <c r="L92" s="492" t="s">
        <v>155</v>
      </c>
      <c r="M92" s="491" t="s">
        <v>728</v>
      </c>
      <c r="N92" s="491" t="s">
        <v>1102</v>
      </c>
      <c r="O92" s="495">
        <v>41467</v>
      </c>
      <c r="P92" s="491" t="s">
        <v>139</v>
      </c>
      <c r="Q92" s="509">
        <v>3</v>
      </c>
      <c r="R92" s="509">
        <v>1</v>
      </c>
      <c r="S92" s="509">
        <v>7</v>
      </c>
      <c r="T92" s="574">
        <v>80</v>
      </c>
      <c r="U92" s="575">
        <v>8</v>
      </c>
      <c r="V92" s="574">
        <v>130</v>
      </c>
      <c r="W92" s="575">
        <v>13</v>
      </c>
      <c r="X92" s="574">
        <v>178</v>
      </c>
      <c r="Y92" s="575">
        <v>17</v>
      </c>
      <c r="Z92" s="483">
        <f t="shared" si="45"/>
        <v>388</v>
      </c>
      <c r="AA92" s="484">
        <f t="shared" si="33"/>
        <v>38</v>
      </c>
      <c r="AB92" s="572">
        <f t="shared" si="34"/>
        <v>38</v>
      </c>
      <c r="AC92" s="573">
        <f t="shared" si="35"/>
        <v>10.210526315789474</v>
      </c>
      <c r="AD92" s="574">
        <v>815</v>
      </c>
      <c r="AE92" s="575">
        <v>72</v>
      </c>
      <c r="AF92" s="568">
        <f t="shared" si="31"/>
        <v>-0.5239263803680981</v>
      </c>
      <c r="AG92" s="568">
        <f t="shared" si="32"/>
        <v>-0.4722222222222222</v>
      </c>
      <c r="AH92" s="606">
        <f t="shared" si="36"/>
        <v>329.6700000000001</v>
      </c>
      <c r="AI92" s="607">
        <f t="shared" si="37"/>
        <v>33</v>
      </c>
      <c r="AJ92" s="622">
        <v>717.6700000000001</v>
      </c>
      <c r="AK92" s="623">
        <v>71</v>
      </c>
      <c r="AL92" s="608">
        <f t="shared" si="38"/>
        <v>0.5352112676056338</v>
      </c>
      <c r="AM92" s="608">
        <f t="shared" si="39"/>
        <v>0.4647887323943662</v>
      </c>
      <c r="AN92" s="607">
        <f t="shared" si="40"/>
        <v>71</v>
      </c>
      <c r="AO92" s="609">
        <f t="shared" si="41"/>
        <v>10.108028169014085</v>
      </c>
      <c r="AP92" s="616">
        <v>1577.6100000000001</v>
      </c>
      <c r="AQ92" s="617">
        <v>156</v>
      </c>
      <c r="AR92" s="608">
        <f t="shared" si="42"/>
        <v>-0.5450903582000621</v>
      </c>
      <c r="AS92" s="608">
        <f t="shared" si="43"/>
        <v>-0.5448717948717948</v>
      </c>
      <c r="AT92" s="630">
        <v>16078.920000000002</v>
      </c>
      <c r="AU92" s="631">
        <v>1742</v>
      </c>
      <c r="AV92" s="612">
        <f t="shared" si="44"/>
        <v>9.230149253731344</v>
      </c>
      <c r="AW92" s="613">
        <v>41516</v>
      </c>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row>
    <row r="93" spans="1:133" s="27" customFormat="1" ht="15.75">
      <c r="A93" s="387">
        <v>85</v>
      </c>
      <c r="B93" s="402"/>
      <c r="C93" s="402"/>
      <c r="D93" s="402"/>
      <c r="E93" s="402"/>
      <c r="F93" s="402"/>
      <c r="G93" s="402"/>
      <c r="H93" s="402"/>
      <c r="I93" s="411"/>
      <c r="J93" s="405"/>
      <c r="K93" s="414" t="s">
        <v>1014</v>
      </c>
      <c r="L93" s="492" t="s">
        <v>80</v>
      </c>
      <c r="M93" s="490" t="s">
        <v>69</v>
      </c>
      <c r="N93" s="494" t="s">
        <v>1015</v>
      </c>
      <c r="O93" s="493">
        <v>41439</v>
      </c>
      <c r="P93" s="491" t="s">
        <v>59</v>
      </c>
      <c r="Q93" s="509">
        <v>25</v>
      </c>
      <c r="R93" s="509">
        <v>2</v>
      </c>
      <c r="S93" s="509">
        <v>11</v>
      </c>
      <c r="T93" s="590">
        <v>0</v>
      </c>
      <c r="U93" s="591">
        <v>0</v>
      </c>
      <c r="V93" s="590">
        <v>0</v>
      </c>
      <c r="W93" s="591">
        <v>0</v>
      </c>
      <c r="X93" s="590">
        <v>0</v>
      </c>
      <c r="Y93" s="591">
        <v>0</v>
      </c>
      <c r="Z93" s="483">
        <f t="shared" si="45"/>
        <v>0</v>
      </c>
      <c r="AA93" s="484">
        <f t="shared" si="33"/>
        <v>0</v>
      </c>
      <c r="AB93" s="572">
        <f t="shared" si="34"/>
      </c>
      <c r="AC93" s="573">
        <f t="shared" si="35"/>
      </c>
      <c r="AD93" s="574">
        <v>0</v>
      </c>
      <c r="AE93" s="575">
        <v>0</v>
      </c>
      <c r="AF93" s="568">
        <f t="shared" si="31"/>
      </c>
      <c r="AG93" s="568">
        <f t="shared" si="32"/>
      </c>
      <c r="AH93" s="606">
        <f t="shared" si="36"/>
        <v>646</v>
      </c>
      <c r="AI93" s="607">
        <f t="shared" si="37"/>
        <v>79</v>
      </c>
      <c r="AJ93" s="626">
        <v>646</v>
      </c>
      <c r="AK93" s="627">
        <v>79</v>
      </c>
      <c r="AL93" s="608">
        <f t="shared" si="38"/>
        <v>0</v>
      </c>
      <c r="AM93" s="608">
        <f t="shared" si="39"/>
        <v>1</v>
      </c>
      <c r="AN93" s="607">
        <f t="shared" si="40"/>
        <v>39.5</v>
      </c>
      <c r="AO93" s="609">
        <f t="shared" si="41"/>
        <v>8.177215189873417</v>
      </c>
      <c r="AP93" s="614">
        <v>105</v>
      </c>
      <c r="AQ93" s="615">
        <v>26</v>
      </c>
      <c r="AR93" s="608">
        <f t="shared" si="42"/>
        <v>5.152380952380953</v>
      </c>
      <c r="AS93" s="608">
        <f t="shared" si="43"/>
        <v>2.0384615384615383</v>
      </c>
      <c r="AT93" s="634">
        <f>61942.74+28234.93+13668.5+5240.5+10574.1+9158+3369+1649+1475.5+105+646</f>
        <v>136063.27000000002</v>
      </c>
      <c r="AU93" s="635">
        <f>5947+2632+1843+726+1780+759+460+199+205+26+79</f>
        <v>14656</v>
      </c>
      <c r="AV93" s="612">
        <f t="shared" si="44"/>
        <v>9.283792985807862</v>
      </c>
      <c r="AW93" s="613">
        <v>41516</v>
      </c>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row>
    <row r="94" spans="1:133" s="27" customFormat="1" ht="15.75">
      <c r="A94" s="474">
        <v>86</v>
      </c>
      <c r="B94" s="402"/>
      <c r="C94" s="402"/>
      <c r="D94" s="402"/>
      <c r="E94" s="402"/>
      <c r="F94" s="402"/>
      <c r="G94" s="402"/>
      <c r="H94" s="402"/>
      <c r="I94" s="411"/>
      <c r="J94" s="405"/>
      <c r="K94" s="414" t="s">
        <v>759</v>
      </c>
      <c r="L94" s="492" t="s">
        <v>332</v>
      </c>
      <c r="M94" s="490" t="s">
        <v>81</v>
      </c>
      <c r="N94" s="494" t="s">
        <v>760</v>
      </c>
      <c r="O94" s="495">
        <v>41369</v>
      </c>
      <c r="P94" s="491" t="s">
        <v>59</v>
      </c>
      <c r="Q94" s="509">
        <v>36</v>
      </c>
      <c r="R94" s="509">
        <v>2</v>
      </c>
      <c r="S94" s="509">
        <v>22</v>
      </c>
      <c r="T94" s="590">
        <v>0</v>
      </c>
      <c r="U94" s="591">
        <v>0</v>
      </c>
      <c r="V94" s="590">
        <v>0</v>
      </c>
      <c r="W94" s="591">
        <v>0</v>
      </c>
      <c r="X94" s="590">
        <v>0</v>
      </c>
      <c r="Y94" s="591">
        <v>0</v>
      </c>
      <c r="Z94" s="483">
        <f t="shared" si="45"/>
        <v>0</v>
      </c>
      <c r="AA94" s="484">
        <f t="shared" si="33"/>
        <v>0</v>
      </c>
      <c r="AB94" s="572">
        <f t="shared" si="34"/>
      </c>
      <c r="AC94" s="573">
        <f t="shared" si="35"/>
      </c>
      <c r="AD94" s="574">
        <v>1298</v>
      </c>
      <c r="AE94" s="575">
        <v>136</v>
      </c>
      <c r="AF94" s="568">
        <f t="shared" si="31"/>
        <v>-1</v>
      </c>
      <c r="AG94" s="568">
        <f t="shared" si="32"/>
        <v>-1</v>
      </c>
      <c r="AH94" s="606">
        <f t="shared" si="36"/>
        <v>628</v>
      </c>
      <c r="AI94" s="607">
        <f t="shared" si="37"/>
        <v>79</v>
      </c>
      <c r="AJ94" s="626">
        <v>628</v>
      </c>
      <c r="AK94" s="627">
        <v>79</v>
      </c>
      <c r="AL94" s="608">
        <f t="shared" si="38"/>
        <v>0</v>
      </c>
      <c r="AM94" s="608">
        <f t="shared" si="39"/>
        <v>1</v>
      </c>
      <c r="AN94" s="607">
        <f t="shared" si="40"/>
        <v>39.5</v>
      </c>
      <c r="AO94" s="609">
        <f t="shared" si="41"/>
        <v>7.949367088607595</v>
      </c>
      <c r="AP94" s="614">
        <v>2586</v>
      </c>
      <c r="AQ94" s="615">
        <v>294</v>
      </c>
      <c r="AR94" s="608">
        <f t="shared" si="42"/>
        <v>-0.757153905645785</v>
      </c>
      <c r="AS94" s="608">
        <f t="shared" si="43"/>
        <v>-0.7312925170068028</v>
      </c>
      <c r="AT94" s="634">
        <f>89916.47+42311.77+18933.34+26683.66+14917+35240.5+21799+13144.5+17512+10760+10745.58+6090+6987.47+11843.28+3155.5+813+12098.58+2010.36+4358.72+3416+2586+628</f>
        <v>355950.73</v>
      </c>
      <c r="AU94" s="635">
        <f>7966+3957+2100+3063+1894+4874+2790+1661+2701+1662+1555+871+986+1460+428+136+1440+225+505+391+294+79</f>
        <v>41038</v>
      </c>
      <c r="AV94" s="612">
        <f t="shared" si="44"/>
        <v>8.673686095813636</v>
      </c>
      <c r="AW94" s="613">
        <v>41516</v>
      </c>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row>
    <row r="95" spans="1:133" s="27" customFormat="1" ht="15.75">
      <c r="A95" s="387">
        <v>87</v>
      </c>
      <c r="B95" s="402"/>
      <c r="C95" s="403"/>
      <c r="D95" s="403"/>
      <c r="E95" s="402"/>
      <c r="F95" s="403"/>
      <c r="G95" s="402"/>
      <c r="H95" s="402"/>
      <c r="I95" s="404"/>
      <c r="J95" s="410"/>
      <c r="K95" s="383" t="s">
        <v>1074</v>
      </c>
      <c r="L95" s="492" t="s">
        <v>1080</v>
      </c>
      <c r="M95" s="491" t="s">
        <v>109</v>
      </c>
      <c r="N95" s="491" t="s">
        <v>1075</v>
      </c>
      <c r="O95" s="495">
        <v>41460</v>
      </c>
      <c r="P95" s="491" t="s">
        <v>139</v>
      </c>
      <c r="Q95" s="509">
        <v>25</v>
      </c>
      <c r="R95" s="509">
        <v>3</v>
      </c>
      <c r="S95" s="509">
        <v>9</v>
      </c>
      <c r="T95" s="574">
        <v>93</v>
      </c>
      <c r="U95" s="575">
        <v>9</v>
      </c>
      <c r="V95" s="574">
        <v>56</v>
      </c>
      <c r="W95" s="575">
        <v>6</v>
      </c>
      <c r="X95" s="574">
        <v>140</v>
      </c>
      <c r="Y95" s="575">
        <v>16</v>
      </c>
      <c r="Z95" s="483">
        <f t="shared" si="45"/>
        <v>289</v>
      </c>
      <c r="AA95" s="484">
        <f t="shared" si="33"/>
        <v>31</v>
      </c>
      <c r="AB95" s="572">
        <f t="shared" si="34"/>
        <v>10.333333333333334</v>
      </c>
      <c r="AC95" s="573">
        <f t="shared" si="35"/>
        <v>9.32258064516129</v>
      </c>
      <c r="AD95" s="574">
        <v>1771.5</v>
      </c>
      <c r="AE95" s="575">
        <v>185</v>
      </c>
      <c r="AF95" s="568">
        <f t="shared" si="31"/>
        <v>-0.8368614168783517</v>
      </c>
      <c r="AG95" s="568">
        <f t="shared" si="32"/>
        <v>-0.8324324324324325</v>
      </c>
      <c r="AH95" s="606">
        <f t="shared" si="36"/>
        <v>335</v>
      </c>
      <c r="AI95" s="607">
        <f t="shared" si="37"/>
        <v>42</v>
      </c>
      <c r="AJ95" s="622">
        <v>624</v>
      </c>
      <c r="AK95" s="623">
        <v>73</v>
      </c>
      <c r="AL95" s="608">
        <f t="shared" si="38"/>
        <v>0.4246575342465753</v>
      </c>
      <c r="AM95" s="608">
        <f t="shared" si="39"/>
        <v>0.5753424657534246</v>
      </c>
      <c r="AN95" s="607">
        <f t="shared" si="40"/>
        <v>24.333333333333332</v>
      </c>
      <c r="AO95" s="609">
        <f t="shared" si="41"/>
        <v>8.547945205479452</v>
      </c>
      <c r="AP95" s="616">
        <v>3493</v>
      </c>
      <c r="AQ95" s="617">
        <v>405</v>
      </c>
      <c r="AR95" s="608">
        <f t="shared" si="42"/>
        <v>-0.8213569997137131</v>
      </c>
      <c r="AS95" s="608">
        <f t="shared" si="43"/>
        <v>-0.8197530864197531</v>
      </c>
      <c r="AT95" s="630">
        <v>59787.94</v>
      </c>
      <c r="AU95" s="631">
        <v>5773</v>
      </c>
      <c r="AV95" s="612">
        <f t="shared" si="44"/>
        <v>10.3564767018881</v>
      </c>
      <c r="AW95" s="613">
        <v>41516</v>
      </c>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row>
    <row r="96" spans="1:133" s="27" customFormat="1" ht="15.75">
      <c r="A96" s="387">
        <v>88</v>
      </c>
      <c r="B96" s="402"/>
      <c r="C96" s="402"/>
      <c r="D96" s="403"/>
      <c r="E96" s="402"/>
      <c r="F96" s="403"/>
      <c r="G96" s="402"/>
      <c r="H96" s="402" t="s">
        <v>48</v>
      </c>
      <c r="I96" s="409"/>
      <c r="J96" s="405"/>
      <c r="K96" s="415" t="s">
        <v>891</v>
      </c>
      <c r="L96" s="496" t="s">
        <v>892</v>
      </c>
      <c r="M96" s="492"/>
      <c r="N96" s="496" t="s">
        <v>891</v>
      </c>
      <c r="O96" s="495">
        <v>41411</v>
      </c>
      <c r="P96" s="491" t="s">
        <v>8</v>
      </c>
      <c r="Q96" s="556">
        <v>142</v>
      </c>
      <c r="R96" s="423">
        <v>2</v>
      </c>
      <c r="S96" s="423">
        <v>11</v>
      </c>
      <c r="T96" s="581">
        <v>63</v>
      </c>
      <c r="U96" s="582">
        <v>8</v>
      </c>
      <c r="V96" s="581">
        <v>83</v>
      </c>
      <c r="W96" s="582">
        <v>11</v>
      </c>
      <c r="X96" s="581">
        <v>157</v>
      </c>
      <c r="Y96" s="582">
        <v>19</v>
      </c>
      <c r="Z96" s="483">
        <f t="shared" si="45"/>
        <v>303</v>
      </c>
      <c r="AA96" s="484">
        <f t="shared" si="33"/>
        <v>38</v>
      </c>
      <c r="AB96" s="572">
        <f t="shared" si="34"/>
        <v>19</v>
      </c>
      <c r="AC96" s="573">
        <f t="shared" si="35"/>
        <v>7.973684210526316</v>
      </c>
      <c r="AD96" s="574">
        <v>56</v>
      </c>
      <c r="AE96" s="575">
        <v>8</v>
      </c>
      <c r="AF96" s="568">
        <f t="shared" si="31"/>
        <v>4.410714285714286</v>
      </c>
      <c r="AG96" s="568">
        <f t="shared" si="32"/>
        <v>3.75</v>
      </c>
      <c r="AH96" s="606">
        <f t="shared" si="36"/>
        <v>272</v>
      </c>
      <c r="AI96" s="607">
        <f t="shared" si="37"/>
        <v>38</v>
      </c>
      <c r="AJ96" s="624">
        <v>575</v>
      </c>
      <c r="AK96" s="625">
        <v>76</v>
      </c>
      <c r="AL96" s="608">
        <f t="shared" si="38"/>
        <v>0.5</v>
      </c>
      <c r="AM96" s="608">
        <f t="shared" si="39"/>
        <v>0.5</v>
      </c>
      <c r="AN96" s="607">
        <f t="shared" si="40"/>
        <v>38</v>
      </c>
      <c r="AO96" s="609">
        <f t="shared" si="41"/>
        <v>7.565789473684211</v>
      </c>
      <c r="AP96" s="614">
        <v>112</v>
      </c>
      <c r="AQ96" s="615">
        <v>16</v>
      </c>
      <c r="AR96" s="608">
        <f t="shared" si="42"/>
        <v>4.133928571428571</v>
      </c>
      <c r="AS96" s="608">
        <f t="shared" si="43"/>
        <v>3.75</v>
      </c>
      <c r="AT96" s="632">
        <v>640921</v>
      </c>
      <c r="AU96" s="633">
        <v>75195</v>
      </c>
      <c r="AV96" s="612">
        <f t="shared" si="44"/>
        <v>8.5234523572046</v>
      </c>
      <c r="AW96" s="613">
        <v>41516</v>
      </c>
      <c r="AX96" s="30"/>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row>
    <row r="97" spans="1:133" s="27" customFormat="1" ht="15.75">
      <c r="A97" s="387">
        <v>89</v>
      </c>
      <c r="B97" s="402"/>
      <c r="C97" s="402"/>
      <c r="D97" s="403"/>
      <c r="E97" s="402"/>
      <c r="F97" s="403"/>
      <c r="G97" s="402"/>
      <c r="H97" s="403"/>
      <c r="I97" s="409"/>
      <c r="J97" s="405"/>
      <c r="K97" s="415" t="s">
        <v>936</v>
      </c>
      <c r="L97" s="496" t="s">
        <v>749</v>
      </c>
      <c r="M97" s="492" t="s">
        <v>240</v>
      </c>
      <c r="N97" s="496" t="s">
        <v>937</v>
      </c>
      <c r="O97" s="495">
        <v>41425</v>
      </c>
      <c r="P97" s="491" t="s">
        <v>8</v>
      </c>
      <c r="Q97" s="556">
        <v>16</v>
      </c>
      <c r="R97" s="423">
        <v>4</v>
      </c>
      <c r="S97" s="423">
        <v>14</v>
      </c>
      <c r="T97" s="581">
        <v>40</v>
      </c>
      <c r="U97" s="582">
        <v>5</v>
      </c>
      <c r="V97" s="581">
        <v>84</v>
      </c>
      <c r="W97" s="582">
        <v>13</v>
      </c>
      <c r="X97" s="581">
        <v>126</v>
      </c>
      <c r="Y97" s="582">
        <v>17</v>
      </c>
      <c r="Z97" s="483">
        <f t="shared" si="45"/>
        <v>250</v>
      </c>
      <c r="AA97" s="484">
        <f t="shared" si="33"/>
        <v>35</v>
      </c>
      <c r="AB97" s="572">
        <f t="shared" si="34"/>
        <v>8.75</v>
      </c>
      <c r="AC97" s="573">
        <f t="shared" si="35"/>
        <v>7.142857142857143</v>
      </c>
      <c r="AD97" s="574">
        <v>2497</v>
      </c>
      <c r="AE97" s="575">
        <v>299</v>
      </c>
      <c r="AF97" s="568">
        <f t="shared" si="31"/>
        <v>-0.8998798558269924</v>
      </c>
      <c r="AG97" s="568">
        <f t="shared" si="32"/>
        <v>-0.882943143812709</v>
      </c>
      <c r="AH97" s="606">
        <f t="shared" si="36"/>
        <v>302</v>
      </c>
      <c r="AI97" s="607">
        <f t="shared" si="37"/>
        <v>42</v>
      </c>
      <c r="AJ97" s="624">
        <v>552</v>
      </c>
      <c r="AK97" s="625">
        <v>77</v>
      </c>
      <c r="AL97" s="608">
        <f t="shared" si="38"/>
        <v>0.45454545454545453</v>
      </c>
      <c r="AM97" s="608">
        <f t="shared" si="39"/>
        <v>0.5454545454545454</v>
      </c>
      <c r="AN97" s="607">
        <f t="shared" si="40"/>
        <v>19.25</v>
      </c>
      <c r="AO97" s="609">
        <f t="shared" si="41"/>
        <v>7.1688311688311686</v>
      </c>
      <c r="AP97" s="614">
        <v>5402</v>
      </c>
      <c r="AQ97" s="615">
        <v>654</v>
      </c>
      <c r="AR97" s="608">
        <f t="shared" si="42"/>
        <v>-0.897815623843021</v>
      </c>
      <c r="AS97" s="608">
        <f t="shared" si="43"/>
        <v>-0.882262996941896</v>
      </c>
      <c r="AT97" s="632">
        <v>283511</v>
      </c>
      <c r="AU97" s="633">
        <v>26988</v>
      </c>
      <c r="AV97" s="612">
        <f t="shared" si="44"/>
        <v>10.505076330220838</v>
      </c>
      <c r="AW97" s="613">
        <v>41516</v>
      </c>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row>
    <row r="98" spans="1:133" s="27" customFormat="1" ht="15.75">
      <c r="A98" s="474">
        <v>90</v>
      </c>
      <c r="B98" s="402"/>
      <c r="C98" s="402"/>
      <c r="D98" s="402"/>
      <c r="E98" s="402"/>
      <c r="F98" s="402"/>
      <c r="G98" s="402"/>
      <c r="H98" s="402"/>
      <c r="I98" s="411"/>
      <c r="J98" s="405"/>
      <c r="K98" s="414" t="s">
        <v>940</v>
      </c>
      <c r="L98" s="492" t="s">
        <v>80</v>
      </c>
      <c r="M98" s="490" t="s">
        <v>69</v>
      </c>
      <c r="N98" s="494" t="s">
        <v>939</v>
      </c>
      <c r="O98" s="493">
        <v>41425</v>
      </c>
      <c r="P98" s="491" t="s">
        <v>59</v>
      </c>
      <c r="Q98" s="509">
        <v>93</v>
      </c>
      <c r="R98" s="509">
        <v>2</v>
      </c>
      <c r="S98" s="509">
        <v>14</v>
      </c>
      <c r="T98" s="590">
        <v>0</v>
      </c>
      <c r="U98" s="591">
        <v>0</v>
      </c>
      <c r="V98" s="590">
        <v>0</v>
      </c>
      <c r="W98" s="591">
        <v>0</v>
      </c>
      <c r="X98" s="590">
        <v>0</v>
      </c>
      <c r="Y98" s="591">
        <v>0</v>
      </c>
      <c r="Z98" s="483">
        <f t="shared" si="45"/>
        <v>0</v>
      </c>
      <c r="AA98" s="484">
        <f t="shared" si="33"/>
        <v>0</v>
      </c>
      <c r="AB98" s="572">
        <f t="shared" si="34"/>
      </c>
      <c r="AC98" s="573">
        <f t="shared" si="35"/>
      </c>
      <c r="AD98" s="574">
        <v>0</v>
      </c>
      <c r="AE98" s="575">
        <v>0</v>
      </c>
      <c r="AF98" s="568">
        <f t="shared" si="31"/>
      </c>
      <c r="AG98" s="568">
        <f t="shared" si="32"/>
      </c>
      <c r="AH98" s="606">
        <f t="shared" si="36"/>
        <v>506</v>
      </c>
      <c r="AI98" s="607">
        <f t="shared" si="37"/>
        <v>60</v>
      </c>
      <c r="AJ98" s="626">
        <v>506</v>
      </c>
      <c r="AK98" s="627">
        <v>60</v>
      </c>
      <c r="AL98" s="608">
        <f t="shared" si="38"/>
        <v>0</v>
      </c>
      <c r="AM98" s="608">
        <f t="shared" si="39"/>
        <v>1</v>
      </c>
      <c r="AN98" s="607">
        <f t="shared" si="40"/>
        <v>30</v>
      </c>
      <c r="AO98" s="609">
        <f t="shared" si="41"/>
        <v>8.433333333333334</v>
      </c>
      <c r="AP98" s="614">
        <v>985</v>
      </c>
      <c r="AQ98" s="615">
        <v>127</v>
      </c>
      <c r="AR98" s="608">
        <f t="shared" si="42"/>
        <v>-0.4862944162436548</v>
      </c>
      <c r="AS98" s="608">
        <f t="shared" si="43"/>
        <v>-0.5275590551181102</v>
      </c>
      <c r="AT98" s="634">
        <f>560969.69+474123.7+288746.5+34389.8+21918.97+14956.66+10538.1+8770.9+5638.9+4851+3982.5+1303+985+506</f>
        <v>1431680.7199999997</v>
      </c>
      <c r="AU98" s="635">
        <f>51988+46222+27139+3659+3098+2212+1839+1309+935+731+641+187+127+60</f>
        <v>140147</v>
      </c>
      <c r="AV98" s="612">
        <f t="shared" si="44"/>
        <v>10.215564514402732</v>
      </c>
      <c r="AW98" s="613">
        <v>41516</v>
      </c>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row>
    <row r="99" spans="1:133" s="27" customFormat="1" ht="15.75">
      <c r="A99" s="387">
        <v>91</v>
      </c>
      <c r="B99" s="402"/>
      <c r="C99" s="402" t="s">
        <v>94</v>
      </c>
      <c r="D99" s="402"/>
      <c r="E99" s="402"/>
      <c r="F99" s="402" t="s">
        <v>913</v>
      </c>
      <c r="G99" s="402"/>
      <c r="H99" s="402"/>
      <c r="I99" s="409"/>
      <c r="J99" s="410"/>
      <c r="K99" s="414" t="s">
        <v>910</v>
      </c>
      <c r="L99" s="392" t="s">
        <v>912</v>
      </c>
      <c r="M99" s="490" t="s">
        <v>72</v>
      </c>
      <c r="N99" s="392" t="s">
        <v>911</v>
      </c>
      <c r="O99" s="495">
        <v>41418</v>
      </c>
      <c r="P99" s="491" t="s">
        <v>12</v>
      </c>
      <c r="Q99" s="509">
        <v>212</v>
      </c>
      <c r="R99" s="509">
        <v>1</v>
      </c>
      <c r="S99" s="509">
        <v>15</v>
      </c>
      <c r="T99" s="585">
        <v>81</v>
      </c>
      <c r="U99" s="586">
        <v>12</v>
      </c>
      <c r="V99" s="585">
        <v>68</v>
      </c>
      <c r="W99" s="586">
        <v>10</v>
      </c>
      <c r="X99" s="585">
        <v>107</v>
      </c>
      <c r="Y99" s="586">
        <v>16</v>
      </c>
      <c r="Z99" s="483">
        <f t="shared" si="45"/>
        <v>256</v>
      </c>
      <c r="AA99" s="484">
        <f t="shared" si="33"/>
        <v>38</v>
      </c>
      <c r="AB99" s="572">
        <f t="shared" si="34"/>
        <v>38</v>
      </c>
      <c r="AC99" s="573">
        <f t="shared" si="35"/>
        <v>6.7368421052631575</v>
      </c>
      <c r="AD99" s="574">
        <v>258</v>
      </c>
      <c r="AE99" s="575">
        <v>40</v>
      </c>
      <c r="AF99" s="568">
        <f t="shared" si="31"/>
        <v>-0.007751937984496124</v>
      </c>
      <c r="AG99" s="568">
        <f t="shared" si="32"/>
        <v>-0.05</v>
      </c>
      <c r="AH99" s="606">
        <f t="shared" si="36"/>
        <v>243</v>
      </c>
      <c r="AI99" s="607">
        <f t="shared" si="37"/>
        <v>36</v>
      </c>
      <c r="AJ99" s="622">
        <v>499</v>
      </c>
      <c r="AK99" s="623">
        <v>74</v>
      </c>
      <c r="AL99" s="608">
        <f t="shared" si="38"/>
        <v>0.5135135135135135</v>
      </c>
      <c r="AM99" s="608">
        <f t="shared" si="39"/>
        <v>0.4864864864864865</v>
      </c>
      <c r="AN99" s="607">
        <f t="shared" si="40"/>
        <v>74</v>
      </c>
      <c r="AO99" s="609">
        <f t="shared" si="41"/>
        <v>6.743243243243243</v>
      </c>
      <c r="AP99" s="618">
        <v>1668</v>
      </c>
      <c r="AQ99" s="619">
        <v>274</v>
      </c>
      <c r="AR99" s="608">
        <f t="shared" si="42"/>
        <v>-0.7008393285371702</v>
      </c>
      <c r="AS99" s="608">
        <f t="shared" si="43"/>
        <v>-0.7299270072992701</v>
      </c>
      <c r="AT99" s="630">
        <v>11225845</v>
      </c>
      <c r="AU99" s="631">
        <v>1180105</v>
      </c>
      <c r="AV99" s="612">
        <f t="shared" si="44"/>
        <v>9.512581507577716</v>
      </c>
      <c r="AW99" s="613">
        <v>41516</v>
      </c>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row>
    <row r="100" spans="1:133" s="27" customFormat="1" ht="15.75">
      <c r="A100" s="387">
        <v>92</v>
      </c>
      <c r="B100" s="402"/>
      <c r="C100" s="402"/>
      <c r="D100" s="403"/>
      <c r="E100" s="402"/>
      <c r="F100" s="403"/>
      <c r="G100" s="402"/>
      <c r="H100" s="402"/>
      <c r="I100" s="406"/>
      <c r="J100" s="407"/>
      <c r="K100" s="383" t="s">
        <v>851</v>
      </c>
      <c r="L100" s="492" t="s">
        <v>853</v>
      </c>
      <c r="M100" s="492" t="s">
        <v>236</v>
      </c>
      <c r="N100" s="393" t="s">
        <v>852</v>
      </c>
      <c r="O100" s="493">
        <v>41404</v>
      </c>
      <c r="P100" s="491" t="s">
        <v>151</v>
      </c>
      <c r="Q100" s="517">
        <v>18</v>
      </c>
      <c r="R100" s="509">
        <v>3</v>
      </c>
      <c r="S100" s="509">
        <v>10</v>
      </c>
      <c r="T100" s="579">
        <v>122</v>
      </c>
      <c r="U100" s="580">
        <v>22</v>
      </c>
      <c r="V100" s="579">
        <v>41</v>
      </c>
      <c r="W100" s="580">
        <v>5</v>
      </c>
      <c r="X100" s="579">
        <v>132</v>
      </c>
      <c r="Y100" s="580">
        <v>16</v>
      </c>
      <c r="Z100" s="483">
        <f t="shared" si="45"/>
        <v>295</v>
      </c>
      <c r="AA100" s="484">
        <f t="shared" si="33"/>
        <v>43</v>
      </c>
      <c r="AB100" s="572">
        <f t="shared" si="34"/>
        <v>14.333333333333334</v>
      </c>
      <c r="AC100" s="573">
        <f t="shared" si="35"/>
        <v>6.8604651162790695</v>
      </c>
      <c r="AD100" s="577">
        <v>0</v>
      </c>
      <c r="AE100" s="578">
        <v>0</v>
      </c>
      <c r="AF100" s="568">
        <f aca="true" t="shared" si="46" ref="AF100:AF113">IF(AD100&lt;&gt;0,-(AD100-Z100)/AD100,"")</f>
      </c>
      <c r="AG100" s="568">
        <f aca="true" t="shared" si="47" ref="AG100:AG113">IF(AE100&lt;&gt;0,-(AE100-AA100)/AE100,"")</f>
      </c>
      <c r="AH100" s="606">
        <f t="shared" si="36"/>
        <v>200</v>
      </c>
      <c r="AI100" s="607">
        <f t="shared" si="37"/>
        <v>28</v>
      </c>
      <c r="AJ100" s="620">
        <v>495</v>
      </c>
      <c r="AK100" s="621">
        <v>71</v>
      </c>
      <c r="AL100" s="608">
        <f t="shared" si="38"/>
        <v>0.6056338028169014</v>
      </c>
      <c r="AM100" s="608">
        <f t="shared" si="39"/>
        <v>0.39436619718309857</v>
      </c>
      <c r="AN100" s="607">
        <f t="shared" si="40"/>
        <v>23.666666666666668</v>
      </c>
      <c r="AO100" s="609">
        <f t="shared" si="41"/>
        <v>6.971830985915493</v>
      </c>
      <c r="AP100" s="610">
        <v>572.5</v>
      </c>
      <c r="AQ100" s="611">
        <v>59</v>
      </c>
      <c r="AR100" s="608">
        <f t="shared" si="42"/>
        <v>-0.13537117903930132</v>
      </c>
      <c r="AS100" s="608">
        <f t="shared" si="43"/>
        <v>0.2033898305084746</v>
      </c>
      <c r="AT100" s="628">
        <v>76419.79</v>
      </c>
      <c r="AU100" s="629">
        <v>7559</v>
      </c>
      <c r="AV100" s="612">
        <f t="shared" si="44"/>
        <v>10.109775102526788</v>
      </c>
      <c r="AW100" s="613">
        <v>41516</v>
      </c>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row>
    <row r="101" spans="1:133" s="27" customFormat="1" ht="15.75">
      <c r="A101" s="387">
        <v>93</v>
      </c>
      <c r="B101" s="402"/>
      <c r="C101" s="402"/>
      <c r="D101" s="402"/>
      <c r="E101" s="402"/>
      <c r="F101" s="402"/>
      <c r="G101" s="402"/>
      <c r="H101" s="402" t="s">
        <v>48</v>
      </c>
      <c r="I101" s="409"/>
      <c r="J101" s="410"/>
      <c r="K101" s="413" t="s">
        <v>883</v>
      </c>
      <c r="L101" s="491" t="s">
        <v>885</v>
      </c>
      <c r="M101" s="491"/>
      <c r="N101" s="491" t="s">
        <v>883</v>
      </c>
      <c r="O101" s="495">
        <v>41411</v>
      </c>
      <c r="P101" s="491" t="s">
        <v>46</v>
      </c>
      <c r="Q101" s="509">
        <v>100</v>
      </c>
      <c r="R101" s="509">
        <v>2</v>
      </c>
      <c r="S101" s="509">
        <v>13</v>
      </c>
      <c r="T101" s="574">
        <v>73</v>
      </c>
      <c r="U101" s="575">
        <v>9</v>
      </c>
      <c r="V101" s="574">
        <v>71</v>
      </c>
      <c r="W101" s="575">
        <v>9</v>
      </c>
      <c r="X101" s="574">
        <v>82</v>
      </c>
      <c r="Y101" s="575">
        <v>10</v>
      </c>
      <c r="Z101" s="483">
        <f t="shared" si="45"/>
        <v>226</v>
      </c>
      <c r="AA101" s="484">
        <f t="shared" si="33"/>
        <v>28</v>
      </c>
      <c r="AB101" s="572">
        <f t="shared" si="34"/>
        <v>14</v>
      </c>
      <c r="AC101" s="573">
        <f t="shared" si="35"/>
        <v>8.071428571428571</v>
      </c>
      <c r="AD101" s="574">
        <v>336</v>
      </c>
      <c r="AE101" s="575">
        <v>42</v>
      </c>
      <c r="AF101" s="568">
        <f t="shared" si="46"/>
        <v>-0.3273809523809524</v>
      </c>
      <c r="AG101" s="568">
        <f t="shared" si="47"/>
        <v>-0.3333333333333333</v>
      </c>
      <c r="AH101" s="606">
        <f t="shared" si="36"/>
        <v>221</v>
      </c>
      <c r="AI101" s="607">
        <f t="shared" si="37"/>
        <v>27</v>
      </c>
      <c r="AJ101" s="622">
        <v>447</v>
      </c>
      <c r="AK101" s="623">
        <v>55</v>
      </c>
      <c r="AL101" s="608">
        <f t="shared" si="38"/>
        <v>0.509090909090909</v>
      </c>
      <c r="AM101" s="608">
        <f t="shared" si="39"/>
        <v>0.4909090909090909</v>
      </c>
      <c r="AN101" s="607">
        <f t="shared" si="40"/>
        <v>27.5</v>
      </c>
      <c r="AO101" s="609">
        <f t="shared" si="41"/>
        <v>8.127272727272727</v>
      </c>
      <c r="AP101" s="614">
        <v>584</v>
      </c>
      <c r="AQ101" s="615">
        <v>73</v>
      </c>
      <c r="AR101" s="608">
        <f t="shared" si="42"/>
        <v>-0.2345890410958904</v>
      </c>
      <c r="AS101" s="608">
        <f t="shared" si="43"/>
        <v>-0.2465753424657534</v>
      </c>
      <c r="AT101" s="630">
        <v>151331.47</v>
      </c>
      <c r="AU101" s="631">
        <v>17873</v>
      </c>
      <c r="AV101" s="612">
        <f t="shared" si="44"/>
        <v>8.467043585296256</v>
      </c>
      <c r="AW101" s="613">
        <v>41516</v>
      </c>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row>
    <row r="102" spans="1:133" s="27" customFormat="1" ht="15.75">
      <c r="A102" s="474">
        <v>94</v>
      </c>
      <c r="B102" s="402"/>
      <c r="C102" s="402"/>
      <c r="D102" s="402"/>
      <c r="E102" s="402"/>
      <c r="F102" s="402"/>
      <c r="G102" s="402"/>
      <c r="H102" s="402"/>
      <c r="I102" s="409"/>
      <c r="J102" s="405"/>
      <c r="K102" s="383" t="s">
        <v>1092</v>
      </c>
      <c r="L102" s="491" t="s">
        <v>1094</v>
      </c>
      <c r="M102" s="491" t="s">
        <v>784</v>
      </c>
      <c r="N102" s="491" t="s">
        <v>1093</v>
      </c>
      <c r="O102" s="493">
        <v>41467</v>
      </c>
      <c r="P102" s="491" t="s">
        <v>47</v>
      </c>
      <c r="Q102" s="509">
        <v>3</v>
      </c>
      <c r="R102" s="556">
        <v>3</v>
      </c>
      <c r="S102" s="556">
        <v>8</v>
      </c>
      <c r="T102" s="585">
        <v>22</v>
      </c>
      <c r="U102" s="586">
        <v>2</v>
      </c>
      <c r="V102" s="585">
        <v>79</v>
      </c>
      <c r="W102" s="586">
        <v>9</v>
      </c>
      <c r="X102" s="585">
        <v>128</v>
      </c>
      <c r="Y102" s="586">
        <v>14</v>
      </c>
      <c r="Z102" s="483">
        <f t="shared" si="45"/>
        <v>229</v>
      </c>
      <c r="AA102" s="484">
        <f t="shared" si="33"/>
        <v>25</v>
      </c>
      <c r="AB102" s="572">
        <f t="shared" si="34"/>
        <v>8.333333333333334</v>
      </c>
      <c r="AC102" s="573">
        <f t="shared" si="35"/>
        <v>9.16</v>
      </c>
      <c r="AD102" s="574">
        <v>99</v>
      </c>
      <c r="AE102" s="575">
        <v>12</v>
      </c>
      <c r="AF102" s="568">
        <f t="shared" si="46"/>
        <v>1.3131313131313131</v>
      </c>
      <c r="AG102" s="568">
        <f t="shared" si="47"/>
        <v>1.0833333333333333</v>
      </c>
      <c r="AH102" s="606">
        <f t="shared" si="36"/>
        <v>199</v>
      </c>
      <c r="AI102" s="607">
        <f t="shared" si="37"/>
        <v>27</v>
      </c>
      <c r="AJ102" s="622">
        <v>428</v>
      </c>
      <c r="AK102" s="623">
        <v>52</v>
      </c>
      <c r="AL102" s="608">
        <f t="shared" si="38"/>
        <v>0.4807692307692308</v>
      </c>
      <c r="AM102" s="608">
        <f t="shared" si="39"/>
        <v>0.5192307692307693</v>
      </c>
      <c r="AN102" s="607">
        <f t="shared" si="40"/>
        <v>17.333333333333332</v>
      </c>
      <c r="AO102" s="609">
        <f t="shared" si="41"/>
        <v>8.23076923076923</v>
      </c>
      <c r="AP102" s="614">
        <v>339.58</v>
      </c>
      <c r="AQ102" s="615">
        <v>46</v>
      </c>
      <c r="AR102" s="608">
        <f t="shared" si="42"/>
        <v>0.26038046999234354</v>
      </c>
      <c r="AS102" s="608">
        <f t="shared" si="43"/>
        <v>0.13043478260869565</v>
      </c>
      <c r="AT102" s="630">
        <f>1668.36+775+757+647.5+488+649+339.58+428</f>
        <v>5752.44</v>
      </c>
      <c r="AU102" s="631">
        <f>164+69+68+48+37+90+46+52</f>
        <v>574</v>
      </c>
      <c r="AV102" s="612">
        <f t="shared" si="44"/>
        <v>10.021672473867595</v>
      </c>
      <c r="AW102" s="613">
        <v>41516</v>
      </c>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row>
    <row r="103" spans="1:133" s="27" customFormat="1" ht="15.75">
      <c r="A103" s="387">
        <v>95</v>
      </c>
      <c r="B103" s="402"/>
      <c r="C103" s="402"/>
      <c r="D103" s="402"/>
      <c r="E103" s="402"/>
      <c r="F103" s="402"/>
      <c r="G103" s="402"/>
      <c r="H103" s="402"/>
      <c r="I103" s="409"/>
      <c r="J103" s="410"/>
      <c r="K103" s="413" t="s">
        <v>918</v>
      </c>
      <c r="L103" s="491" t="s">
        <v>333</v>
      </c>
      <c r="M103" s="491" t="s">
        <v>75</v>
      </c>
      <c r="N103" s="491" t="s">
        <v>928</v>
      </c>
      <c r="O103" s="495">
        <v>41418</v>
      </c>
      <c r="P103" s="491" t="s">
        <v>46</v>
      </c>
      <c r="Q103" s="509">
        <v>20</v>
      </c>
      <c r="R103" s="509">
        <v>1</v>
      </c>
      <c r="S103" s="509">
        <v>13</v>
      </c>
      <c r="T103" s="574">
        <v>91</v>
      </c>
      <c r="U103" s="575">
        <v>14</v>
      </c>
      <c r="V103" s="574">
        <v>65</v>
      </c>
      <c r="W103" s="575">
        <v>10</v>
      </c>
      <c r="X103" s="574">
        <v>54</v>
      </c>
      <c r="Y103" s="575">
        <v>8</v>
      </c>
      <c r="Z103" s="483">
        <f t="shared" si="45"/>
        <v>210</v>
      </c>
      <c r="AA103" s="484">
        <f t="shared" si="33"/>
        <v>32</v>
      </c>
      <c r="AB103" s="572">
        <f t="shared" si="34"/>
        <v>32</v>
      </c>
      <c r="AC103" s="573">
        <f t="shared" si="35"/>
        <v>6.5625</v>
      </c>
      <c r="AD103" s="574">
        <v>360</v>
      </c>
      <c r="AE103" s="575">
        <v>56</v>
      </c>
      <c r="AF103" s="568">
        <f t="shared" si="46"/>
        <v>-0.4166666666666667</v>
      </c>
      <c r="AG103" s="568">
        <f t="shared" si="47"/>
        <v>-0.42857142857142855</v>
      </c>
      <c r="AH103" s="606">
        <f t="shared" si="36"/>
        <v>206</v>
      </c>
      <c r="AI103" s="607">
        <f t="shared" si="37"/>
        <v>32</v>
      </c>
      <c r="AJ103" s="622">
        <v>416</v>
      </c>
      <c r="AK103" s="623">
        <v>64</v>
      </c>
      <c r="AL103" s="608">
        <f t="shared" si="38"/>
        <v>0.5</v>
      </c>
      <c r="AM103" s="608">
        <f t="shared" si="39"/>
        <v>0.5</v>
      </c>
      <c r="AN103" s="607">
        <f t="shared" si="40"/>
        <v>64</v>
      </c>
      <c r="AO103" s="609">
        <f t="shared" si="41"/>
        <v>6.5</v>
      </c>
      <c r="AP103" s="614">
        <v>566</v>
      </c>
      <c r="AQ103" s="615">
        <v>88</v>
      </c>
      <c r="AR103" s="608">
        <f t="shared" si="42"/>
        <v>-0.26501766784452296</v>
      </c>
      <c r="AS103" s="608">
        <f t="shared" si="43"/>
        <v>-0.2727272727272727</v>
      </c>
      <c r="AT103" s="630">
        <v>107148.64</v>
      </c>
      <c r="AU103" s="631">
        <v>11311</v>
      </c>
      <c r="AV103" s="612">
        <f t="shared" si="44"/>
        <v>9.472959066395545</v>
      </c>
      <c r="AW103" s="613">
        <v>41516</v>
      </c>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row>
    <row r="104" spans="1:133" s="27" customFormat="1" ht="15.75">
      <c r="A104" s="387">
        <v>96</v>
      </c>
      <c r="B104" s="402"/>
      <c r="C104" s="402"/>
      <c r="D104" s="402"/>
      <c r="E104" s="402"/>
      <c r="F104" s="402"/>
      <c r="G104" s="402"/>
      <c r="H104" s="402"/>
      <c r="I104" s="411"/>
      <c r="J104" s="405"/>
      <c r="K104" s="414" t="s">
        <v>1005</v>
      </c>
      <c r="L104" s="492" t="s">
        <v>1007</v>
      </c>
      <c r="M104" s="490" t="s">
        <v>81</v>
      </c>
      <c r="N104" s="494" t="s">
        <v>1006</v>
      </c>
      <c r="O104" s="493">
        <v>41432</v>
      </c>
      <c r="P104" s="491" t="s">
        <v>59</v>
      </c>
      <c r="Q104" s="509">
        <v>17</v>
      </c>
      <c r="R104" s="509">
        <v>1</v>
      </c>
      <c r="S104" s="509">
        <v>9</v>
      </c>
      <c r="T104" s="590">
        <v>0</v>
      </c>
      <c r="U104" s="591">
        <v>0</v>
      </c>
      <c r="V104" s="590">
        <v>0</v>
      </c>
      <c r="W104" s="591">
        <v>0</v>
      </c>
      <c r="X104" s="590">
        <v>0</v>
      </c>
      <c r="Y104" s="591">
        <v>0</v>
      </c>
      <c r="Z104" s="483">
        <f t="shared" si="45"/>
        <v>0</v>
      </c>
      <c r="AA104" s="484">
        <f t="shared" si="33"/>
        <v>0</v>
      </c>
      <c r="AB104" s="572">
        <f t="shared" si="34"/>
      </c>
      <c r="AC104" s="573">
        <f t="shared" si="35"/>
      </c>
      <c r="AD104" s="574">
        <v>0</v>
      </c>
      <c r="AE104" s="575">
        <v>0</v>
      </c>
      <c r="AF104" s="568">
        <f t="shared" si="46"/>
      </c>
      <c r="AG104" s="568">
        <f t="shared" si="47"/>
      </c>
      <c r="AH104" s="606">
        <f t="shared" si="36"/>
        <v>401</v>
      </c>
      <c r="AI104" s="607">
        <f t="shared" si="37"/>
        <v>44</v>
      </c>
      <c r="AJ104" s="626">
        <v>401</v>
      </c>
      <c r="AK104" s="627">
        <v>44</v>
      </c>
      <c r="AL104" s="608">
        <f t="shared" si="38"/>
        <v>0</v>
      </c>
      <c r="AM104" s="608">
        <f t="shared" si="39"/>
        <v>1</v>
      </c>
      <c r="AN104" s="607">
        <f t="shared" si="40"/>
        <v>44</v>
      </c>
      <c r="AO104" s="609">
        <f t="shared" si="41"/>
        <v>9.113636363636363</v>
      </c>
      <c r="AP104" s="614">
        <v>522.5</v>
      </c>
      <c r="AQ104" s="615">
        <v>59</v>
      </c>
      <c r="AR104" s="608">
        <f t="shared" si="42"/>
        <v>-0.23253588516746412</v>
      </c>
      <c r="AS104" s="608">
        <f t="shared" si="43"/>
        <v>-0.2542372881355932</v>
      </c>
      <c r="AT104" s="634">
        <f>40761.96+9215.4+3284.27+1206.63+1234+7189.38+1023+522.5+401</f>
        <v>64838.13999999999</v>
      </c>
      <c r="AU104" s="635">
        <f>3177+721+299+142+127+619+116+59+44</f>
        <v>5304</v>
      </c>
      <c r="AV104" s="612">
        <f t="shared" si="44"/>
        <v>12.224385369532428</v>
      </c>
      <c r="AW104" s="613">
        <v>41516</v>
      </c>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row>
    <row r="105" spans="1:133" s="27" customFormat="1" ht="15.75">
      <c r="A105" s="387">
        <v>97</v>
      </c>
      <c r="B105" s="402"/>
      <c r="C105" s="402"/>
      <c r="D105" s="402"/>
      <c r="E105" s="402">
        <v>2</v>
      </c>
      <c r="F105" s="402"/>
      <c r="G105" s="402"/>
      <c r="H105" s="402"/>
      <c r="I105" s="409"/>
      <c r="J105" s="410"/>
      <c r="K105" s="414" t="s">
        <v>1097</v>
      </c>
      <c r="L105" s="392" t="s">
        <v>70</v>
      </c>
      <c r="M105" s="490" t="s">
        <v>72</v>
      </c>
      <c r="N105" s="392" t="s">
        <v>1098</v>
      </c>
      <c r="O105" s="495">
        <v>41467</v>
      </c>
      <c r="P105" s="491" t="s">
        <v>12</v>
      </c>
      <c r="Q105" s="509">
        <v>24</v>
      </c>
      <c r="R105" s="509">
        <v>1</v>
      </c>
      <c r="S105" s="509">
        <v>8</v>
      </c>
      <c r="T105" s="585">
        <v>28</v>
      </c>
      <c r="U105" s="586">
        <v>5</v>
      </c>
      <c r="V105" s="585">
        <v>45</v>
      </c>
      <c r="W105" s="586">
        <v>8</v>
      </c>
      <c r="X105" s="585">
        <v>75</v>
      </c>
      <c r="Y105" s="586">
        <v>13</v>
      </c>
      <c r="Z105" s="483">
        <f t="shared" si="45"/>
        <v>148</v>
      </c>
      <c r="AA105" s="484">
        <f aca="true" t="shared" si="48" ref="AA105:AA113">U105+W105+Y105</f>
        <v>26</v>
      </c>
      <c r="AB105" s="572">
        <f aca="true" t="shared" si="49" ref="AB105:AB113">IF(Z105&lt;&gt;0,AA105/R105,"")</f>
        <v>26</v>
      </c>
      <c r="AC105" s="573">
        <f aca="true" t="shared" si="50" ref="AC105:AC113">IF(Z105&lt;&gt;0,Z105/AA105,"")</f>
        <v>5.6923076923076925</v>
      </c>
      <c r="AD105" s="574">
        <v>320</v>
      </c>
      <c r="AE105" s="575">
        <v>26</v>
      </c>
      <c r="AF105" s="568">
        <f t="shared" si="46"/>
        <v>-0.5375</v>
      </c>
      <c r="AG105" s="568">
        <f t="shared" si="47"/>
        <v>0</v>
      </c>
      <c r="AH105" s="606">
        <f aca="true" t="shared" si="51" ref="AH105:AH113">AJ105-Z105</f>
        <v>208</v>
      </c>
      <c r="AI105" s="607">
        <f aca="true" t="shared" si="52" ref="AI105:AI113">AK105-AA105</f>
        <v>37</v>
      </c>
      <c r="AJ105" s="622">
        <v>356</v>
      </c>
      <c r="AK105" s="623">
        <v>63</v>
      </c>
      <c r="AL105" s="608">
        <f aca="true" t="shared" si="53" ref="AL105:AL113">AA105*1/AK105</f>
        <v>0.4126984126984127</v>
      </c>
      <c r="AM105" s="608">
        <f aca="true" t="shared" si="54" ref="AM105:AM113">AI105*1/AK105</f>
        <v>0.5873015873015873</v>
      </c>
      <c r="AN105" s="607">
        <f aca="true" t="shared" si="55" ref="AN105:AN113">AK105/R105</f>
        <v>63</v>
      </c>
      <c r="AO105" s="609">
        <f aca="true" t="shared" si="56" ref="AO105:AO113">AJ105/AK105</f>
        <v>5.650793650793651</v>
      </c>
      <c r="AP105" s="618">
        <v>722</v>
      </c>
      <c r="AQ105" s="619">
        <v>66</v>
      </c>
      <c r="AR105" s="608">
        <f aca="true" t="shared" si="57" ref="AR105:AR113">IF(AP105&lt;&gt;0,-(AP105-AJ105)/AP105,"")</f>
        <v>-0.5069252077562327</v>
      </c>
      <c r="AS105" s="608">
        <f aca="true" t="shared" si="58" ref="AS105:AS113">IF(AQ105&lt;&gt;0,-(AQ105-AK105)/AQ105,"")</f>
        <v>-0.045454545454545456</v>
      </c>
      <c r="AT105" s="630">
        <v>286244</v>
      </c>
      <c r="AU105" s="631">
        <v>24893</v>
      </c>
      <c r="AV105" s="612">
        <f aca="true" t="shared" si="59" ref="AV105:AV113">AT105/AU105</f>
        <v>11.498975615634917</v>
      </c>
      <c r="AW105" s="613">
        <v>41516</v>
      </c>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row>
    <row r="106" spans="1:133" s="27" customFormat="1" ht="15.75">
      <c r="A106" s="474">
        <v>98</v>
      </c>
      <c r="B106" s="402"/>
      <c r="C106" s="402"/>
      <c r="D106" s="402"/>
      <c r="E106" s="402"/>
      <c r="F106" s="402"/>
      <c r="G106" s="402"/>
      <c r="H106" s="402"/>
      <c r="I106" s="411"/>
      <c r="J106" s="405"/>
      <c r="K106" s="414" t="s">
        <v>1050</v>
      </c>
      <c r="L106" s="492" t="s">
        <v>1007</v>
      </c>
      <c r="M106" s="490" t="s">
        <v>65</v>
      </c>
      <c r="N106" s="494" t="s">
        <v>1051</v>
      </c>
      <c r="O106" s="493">
        <v>41453</v>
      </c>
      <c r="P106" s="491" t="s">
        <v>59</v>
      </c>
      <c r="Q106" s="509">
        <v>26</v>
      </c>
      <c r="R106" s="509">
        <v>1</v>
      </c>
      <c r="S106" s="509">
        <v>8</v>
      </c>
      <c r="T106" s="590">
        <v>0</v>
      </c>
      <c r="U106" s="591">
        <v>0</v>
      </c>
      <c r="V106" s="590">
        <v>0</v>
      </c>
      <c r="W106" s="591">
        <v>0</v>
      </c>
      <c r="X106" s="590">
        <v>0</v>
      </c>
      <c r="Y106" s="591">
        <v>0</v>
      </c>
      <c r="Z106" s="483">
        <f t="shared" si="45"/>
        <v>0</v>
      </c>
      <c r="AA106" s="484">
        <f t="shared" si="48"/>
        <v>0</v>
      </c>
      <c r="AB106" s="572">
        <f t="shared" si="49"/>
      </c>
      <c r="AC106" s="573">
        <f t="shared" si="50"/>
      </c>
      <c r="AD106" s="574">
        <v>0</v>
      </c>
      <c r="AE106" s="575">
        <v>0</v>
      </c>
      <c r="AF106" s="568">
        <f t="shared" si="46"/>
      </c>
      <c r="AG106" s="568">
        <f t="shared" si="47"/>
      </c>
      <c r="AH106" s="606">
        <f t="shared" si="51"/>
        <v>352.5</v>
      </c>
      <c r="AI106" s="607">
        <f t="shared" si="52"/>
        <v>96</v>
      </c>
      <c r="AJ106" s="626">
        <v>352.5</v>
      </c>
      <c r="AK106" s="627">
        <v>96</v>
      </c>
      <c r="AL106" s="608">
        <f t="shared" si="53"/>
        <v>0</v>
      </c>
      <c r="AM106" s="608">
        <f t="shared" si="54"/>
        <v>1</v>
      </c>
      <c r="AN106" s="607">
        <f t="shared" si="55"/>
        <v>96</v>
      </c>
      <c r="AO106" s="609">
        <f t="shared" si="56"/>
        <v>3.671875</v>
      </c>
      <c r="AP106" s="614">
        <v>1561.5</v>
      </c>
      <c r="AQ106" s="615">
        <v>337</v>
      </c>
      <c r="AR106" s="608">
        <f t="shared" si="57"/>
        <v>-0.7742555235350624</v>
      </c>
      <c r="AS106" s="608">
        <f t="shared" si="58"/>
        <v>-0.7151335311572701</v>
      </c>
      <c r="AT106" s="634">
        <f>32439.87+7886+1187+3595.6+1758.5+300+1561.5+352.5</f>
        <v>49080.969999999994</v>
      </c>
      <c r="AU106" s="635">
        <f>2622+664+119+517+193+52+337+96</f>
        <v>4600</v>
      </c>
      <c r="AV106" s="612">
        <f t="shared" si="59"/>
        <v>10.66977608695652</v>
      </c>
      <c r="AW106" s="613">
        <v>41516</v>
      </c>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row>
    <row r="107" spans="1:133" s="27" customFormat="1" ht="15.75">
      <c r="A107" s="387">
        <v>99</v>
      </c>
      <c r="B107" s="402"/>
      <c r="C107" s="402"/>
      <c r="D107" s="402"/>
      <c r="E107" s="402"/>
      <c r="F107" s="402"/>
      <c r="G107" s="402"/>
      <c r="H107" s="402" t="s">
        <v>48</v>
      </c>
      <c r="I107" s="404"/>
      <c r="J107" s="407"/>
      <c r="K107" s="383" t="s">
        <v>1155</v>
      </c>
      <c r="L107" s="491" t="s">
        <v>1156</v>
      </c>
      <c r="M107" s="491"/>
      <c r="N107" s="491" t="s">
        <v>1155</v>
      </c>
      <c r="O107" s="493">
        <v>41495</v>
      </c>
      <c r="P107" s="491" t="s">
        <v>47</v>
      </c>
      <c r="Q107" s="509">
        <v>12</v>
      </c>
      <c r="R107" s="556">
        <v>1</v>
      </c>
      <c r="S107" s="556">
        <v>4</v>
      </c>
      <c r="T107" s="585">
        <v>20</v>
      </c>
      <c r="U107" s="586">
        <v>2</v>
      </c>
      <c r="V107" s="585">
        <v>28</v>
      </c>
      <c r="W107" s="586">
        <v>3</v>
      </c>
      <c r="X107" s="585">
        <v>0</v>
      </c>
      <c r="Y107" s="586">
        <v>0</v>
      </c>
      <c r="Z107" s="483">
        <f t="shared" si="45"/>
        <v>48</v>
      </c>
      <c r="AA107" s="484">
        <f t="shared" si="48"/>
        <v>5</v>
      </c>
      <c r="AB107" s="572">
        <f t="shared" si="49"/>
        <v>5</v>
      </c>
      <c r="AC107" s="573">
        <f t="shared" si="50"/>
        <v>9.6</v>
      </c>
      <c r="AD107" s="574">
        <v>49</v>
      </c>
      <c r="AE107" s="575">
        <v>7</v>
      </c>
      <c r="AF107" s="568">
        <f t="shared" si="46"/>
        <v>-0.02040816326530612</v>
      </c>
      <c r="AG107" s="568">
        <f t="shared" si="47"/>
        <v>-0.2857142857142857</v>
      </c>
      <c r="AH107" s="606">
        <f t="shared" si="51"/>
        <v>245</v>
      </c>
      <c r="AI107" s="607">
        <f t="shared" si="52"/>
        <v>35</v>
      </c>
      <c r="AJ107" s="622">
        <v>293</v>
      </c>
      <c r="AK107" s="623">
        <v>40</v>
      </c>
      <c r="AL107" s="608">
        <f t="shared" si="53"/>
        <v>0.125</v>
      </c>
      <c r="AM107" s="608">
        <f t="shared" si="54"/>
        <v>0.875</v>
      </c>
      <c r="AN107" s="607">
        <f t="shared" si="55"/>
        <v>40</v>
      </c>
      <c r="AO107" s="609">
        <f t="shared" si="56"/>
        <v>7.325</v>
      </c>
      <c r="AP107" s="614">
        <v>63</v>
      </c>
      <c r="AQ107" s="615">
        <v>9</v>
      </c>
      <c r="AR107" s="608">
        <f t="shared" si="57"/>
        <v>3.6507936507936507</v>
      </c>
      <c r="AS107" s="608">
        <f t="shared" si="58"/>
        <v>3.4444444444444446</v>
      </c>
      <c r="AT107" s="630">
        <f>4113+388+63+293</f>
        <v>4857</v>
      </c>
      <c r="AU107" s="631">
        <f>510+45+9+40</f>
        <v>604</v>
      </c>
      <c r="AV107" s="612">
        <f t="shared" si="59"/>
        <v>8.041390728476822</v>
      </c>
      <c r="AW107" s="613">
        <v>41516</v>
      </c>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row>
    <row r="108" spans="1:133" s="27" customFormat="1" ht="15.75">
      <c r="A108" s="387">
        <v>100</v>
      </c>
      <c r="B108" s="402"/>
      <c r="C108" s="402"/>
      <c r="D108" s="402"/>
      <c r="E108" s="402"/>
      <c r="F108" s="402"/>
      <c r="G108" s="402"/>
      <c r="H108" s="402"/>
      <c r="I108" s="411"/>
      <c r="J108" s="405"/>
      <c r="K108" s="414" t="s">
        <v>715</v>
      </c>
      <c r="L108" s="492" t="s">
        <v>716</v>
      </c>
      <c r="M108" s="490" t="s">
        <v>65</v>
      </c>
      <c r="N108" s="494" t="s">
        <v>717</v>
      </c>
      <c r="O108" s="493">
        <v>41348</v>
      </c>
      <c r="P108" s="491" t="s">
        <v>59</v>
      </c>
      <c r="Q108" s="509">
        <v>25</v>
      </c>
      <c r="R108" s="509">
        <v>1</v>
      </c>
      <c r="S108" s="509">
        <v>21</v>
      </c>
      <c r="T108" s="590">
        <v>0</v>
      </c>
      <c r="U108" s="591">
        <v>0</v>
      </c>
      <c r="V108" s="590">
        <v>0</v>
      </c>
      <c r="W108" s="591">
        <v>0</v>
      </c>
      <c r="X108" s="590">
        <v>0</v>
      </c>
      <c r="Y108" s="591">
        <v>0</v>
      </c>
      <c r="Z108" s="483">
        <f t="shared" si="45"/>
        <v>0</v>
      </c>
      <c r="AA108" s="484">
        <f t="shared" si="48"/>
        <v>0</v>
      </c>
      <c r="AB108" s="572">
        <f t="shared" si="49"/>
      </c>
      <c r="AC108" s="573">
        <f t="shared" si="50"/>
      </c>
      <c r="AD108" s="574">
        <v>0</v>
      </c>
      <c r="AE108" s="575">
        <v>0</v>
      </c>
      <c r="AF108" s="568">
        <f t="shared" si="46"/>
      </c>
      <c r="AG108" s="568">
        <f t="shared" si="47"/>
      </c>
      <c r="AH108" s="606">
        <f t="shared" si="51"/>
        <v>215</v>
      </c>
      <c r="AI108" s="607">
        <f t="shared" si="52"/>
        <v>30</v>
      </c>
      <c r="AJ108" s="626">
        <v>215</v>
      </c>
      <c r="AK108" s="627">
        <v>30</v>
      </c>
      <c r="AL108" s="608">
        <f t="shared" si="53"/>
        <v>0</v>
      </c>
      <c r="AM108" s="608">
        <f t="shared" si="54"/>
        <v>1</v>
      </c>
      <c r="AN108" s="607">
        <f t="shared" si="55"/>
        <v>30</v>
      </c>
      <c r="AO108" s="609">
        <f t="shared" si="56"/>
        <v>7.166666666666667</v>
      </c>
      <c r="AP108" s="614">
        <v>227</v>
      </c>
      <c r="AQ108" s="615">
        <v>32</v>
      </c>
      <c r="AR108" s="608">
        <f t="shared" si="57"/>
        <v>-0.05286343612334802</v>
      </c>
      <c r="AS108" s="608">
        <f t="shared" si="58"/>
        <v>-0.0625</v>
      </c>
      <c r="AT108" s="634">
        <f>444019.23+322801.64+149138.7+71014.06+16566.26+25233.5+7838+9867+5635.63+6619.1+5833.1+4443+6388.5+1585.5+3587+844+994+204+383+227+215</f>
        <v>1083437.2200000002</v>
      </c>
      <c r="AU108" s="635">
        <f>39872+30388+15039+7529+2514+3572+1136+1461+1053+1018+1043+753+1169+234+557+112+150+29+59+32+30</f>
        <v>107750</v>
      </c>
      <c r="AV108" s="612">
        <f t="shared" si="59"/>
        <v>10.055101809744782</v>
      </c>
      <c r="AW108" s="613">
        <v>41516</v>
      </c>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row>
    <row r="109" spans="1:133" s="27" customFormat="1" ht="15.75">
      <c r="A109" s="387">
        <v>101</v>
      </c>
      <c r="B109" s="402"/>
      <c r="C109" s="402" t="s">
        <v>94</v>
      </c>
      <c r="D109" s="402">
        <v>3</v>
      </c>
      <c r="E109" s="402">
        <v>2</v>
      </c>
      <c r="F109" s="402" t="s">
        <v>112</v>
      </c>
      <c r="G109" s="402"/>
      <c r="H109" s="402"/>
      <c r="I109" s="409"/>
      <c r="J109" s="405"/>
      <c r="K109" s="414" t="s">
        <v>838</v>
      </c>
      <c r="L109" s="492" t="s">
        <v>841</v>
      </c>
      <c r="M109" s="490" t="s">
        <v>840</v>
      </c>
      <c r="N109" s="494" t="s">
        <v>839</v>
      </c>
      <c r="O109" s="493">
        <v>41397</v>
      </c>
      <c r="P109" s="491" t="s">
        <v>59</v>
      </c>
      <c r="Q109" s="509">
        <v>104</v>
      </c>
      <c r="R109" s="509">
        <v>2</v>
      </c>
      <c r="S109" s="509">
        <v>18</v>
      </c>
      <c r="T109" s="590">
        <v>0</v>
      </c>
      <c r="U109" s="591">
        <v>0</v>
      </c>
      <c r="V109" s="590">
        <v>0</v>
      </c>
      <c r="W109" s="591">
        <v>0</v>
      </c>
      <c r="X109" s="590">
        <v>0</v>
      </c>
      <c r="Y109" s="591">
        <v>0</v>
      </c>
      <c r="Z109" s="483">
        <f t="shared" si="45"/>
        <v>0</v>
      </c>
      <c r="AA109" s="484">
        <f t="shared" si="48"/>
        <v>0</v>
      </c>
      <c r="AB109" s="572">
        <f t="shared" si="49"/>
      </c>
      <c r="AC109" s="573">
        <f t="shared" si="50"/>
      </c>
      <c r="AD109" s="574">
        <v>0</v>
      </c>
      <c r="AE109" s="575">
        <v>0</v>
      </c>
      <c r="AF109" s="568">
        <f t="shared" si="46"/>
      </c>
      <c r="AG109" s="568">
        <f t="shared" si="47"/>
      </c>
      <c r="AH109" s="606">
        <f t="shared" si="51"/>
        <v>180</v>
      </c>
      <c r="AI109" s="607">
        <f t="shared" si="52"/>
        <v>27</v>
      </c>
      <c r="AJ109" s="626">
        <v>180</v>
      </c>
      <c r="AK109" s="627">
        <v>27</v>
      </c>
      <c r="AL109" s="608">
        <f t="shared" si="53"/>
        <v>0</v>
      </c>
      <c r="AM109" s="608">
        <f t="shared" si="54"/>
        <v>1</v>
      </c>
      <c r="AN109" s="607">
        <f t="shared" si="55"/>
        <v>13.5</v>
      </c>
      <c r="AO109" s="609">
        <f t="shared" si="56"/>
        <v>6.666666666666667</v>
      </c>
      <c r="AP109" s="614">
        <v>4275.2</v>
      </c>
      <c r="AQ109" s="615">
        <v>841</v>
      </c>
      <c r="AR109" s="608">
        <f t="shared" si="57"/>
        <v>-0.9578967065868264</v>
      </c>
      <c r="AS109" s="608">
        <f t="shared" si="58"/>
        <v>-0.9678953626634959</v>
      </c>
      <c r="AT109" s="634">
        <f>817365.12+553920.94+348896.33+171455.22+56615.62+34749.5+18417.5+7935.5+6211.6+1930+4961.6+2201.5+3982.5+1332+915.5+1188+4275.2+180</f>
        <v>2036533.6300000004</v>
      </c>
      <c r="AU109" s="635">
        <f>74439+52865+35091+18330+6907+4787+2534+1285+1134+311+852+404+544+253+159+238+841+27</f>
        <v>201001</v>
      </c>
      <c r="AV109" s="612">
        <f t="shared" si="59"/>
        <v>10.131957701702978</v>
      </c>
      <c r="AW109" s="613">
        <v>41516</v>
      </c>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row>
    <row r="110" spans="1:133" s="27" customFormat="1" ht="15.75">
      <c r="A110" s="474">
        <v>102</v>
      </c>
      <c r="B110" s="416"/>
      <c r="C110" s="416"/>
      <c r="D110" s="596"/>
      <c r="E110" s="416"/>
      <c r="F110" s="596"/>
      <c r="G110" s="416"/>
      <c r="H110" s="596"/>
      <c r="I110" s="597"/>
      <c r="J110" s="636"/>
      <c r="K110" s="415" t="s">
        <v>994</v>
      </c>
      <c r="L110" s="496" t="s">
        <v>995</v>
      </c>
      <c r="M110" s="492" t="s">
        <v>8</v>
      </c>
      <c r="N110" s="496" t="s">
        <v>996</v>
      </c>
      <c r="O110" s="495">
        <v>41432</v>
      </c>
      <c r="P110" s="491" t="s">
        <v>8</v>
      </c>
      <c r="Q110" s="556">
        <v>30</v>
      </c>
      <c r="R110" s="423">
        <v>1</v>
      </c>
      <c r="S110" s="423">
        <v>11</v>
      </c>
      <c r="T110" s="581">
        <v>35</v>
      </c>
      <c r="U110" s="582">
        <v>7</v>
      </c>
      <c r="V110" s="581">
        <v>35</v>
      </c>
      <c r="W110" s="582">
        <v>7</v>
      </c>
      <c r="X110" s="581">
        <v>19</v>
      </c>
      <c r="Y110" s="582">
        <v>3</v>
      </c>
      <c r="Z110" s="483">
        <f t="shared" si="45"/>
        <v>89</v>
      </c>
      <c r="AA110" s="484">
        <f t="shared" si="48"/>
        <v>17</v>
      </c>
      <c r="AB110" s="572">
        <f t="shared" si="49"/>
        <v>17</v>
      </c>
      <c r="AC110" s="573">
        <f t="shared" si="50"/>
        <v>5.235294117647059</v>
      </c>
      <c r="AD110" s="574">
        <v>502</v>
      </c>
      <c r="AE110" s="575">
        <v>61</v>
      </c>
      <c r="AF110" s="568">
        <f t="shared" si="46"/>
        <v>-0.8227091633466136</v>
      </c>
      <c r="AG110" s="568">
        <f t="shared" si="47"/>
        <v>-0.7213114754098361</v>
      </c>
      <c r="AH110" s="606">
        <f t="shared" si="51"/>
        <v>57</v>
      </c>
      <c r="AI110" s="607">
        <f t="shared" si="52"/>
        <v>11</v>
      </c>
      <c r="AJ110" s="624">
        <v>146</v>
      </c>
      <c r="AK110" s="625">
        <v>28</v>
      </c>
      <c r="AL110" s="608">
        <f t="shared" si="53"/>
        <v>0.6071428571428571</v>
      </c>
      <c r="AM110" s="608">
        <f t="shared" si="54"/>
        <v>0.39285714285714285</v>
      </c>
      <c r="AN110" s="607">
        <f t="shared" si="55"/>
        <v>28</v>
      </c>
      <c r="AO110" s="609">
        <f t="shared" si="56"/>
        <v>5.214285714285714</v>
      </c>
      <c r="AP110" s="614">
        <v>856</v>
      </c>
      <c r="AQ110" s="615">
        <v>116</v>
      </c>
      <c r="AR110" s="608">
        <f t="shared" si="57"/>
        <v>-0.8294392523364486</v>
      </c>
      <c r="AS110" s="608">
        <f t="shared" si="58"/>
        <v>-0.7586206896551724</v>
      </c>
      <c r="AT110" s="632">
        <v>80337</v>
      </c>
      <c r="AU110" s="633">
        <v>8045</v>
      </c>
      <c r="AV110" s="612">
        <f t="shared" si="59"/>
        <v>9.985954008701057</v>
      </c>
      <c r="AW110" s="613">
        <v>41516</v>
      </c>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row>
    <row r="111" spans="1:133" s="27" customFormat="1" ht="15.75">
      <c r="A111" s="387">
        <v>103</v>
      </c>
      <c r="B111" s="402"/>
      <c r="C111" s="403"/>
      <c r="D111" s="403"/>
      <c r="E111" s="402"/>
      <c r="F111" s="403"/>
      <c r="G111" s="402"/>
      <c r="H111" s="402"/>
      <c r="I111" s="404"/>
      <c r="J111" s="410"/>
      <c r="K111" s="383" t="s">
        <v>1133</v>
      </c>
      <c r="L111" s="492" t="s">
        <v>1134</v>
      </c>
      <c r="M111" s="491" t="s">
        <v>81</v>
      </c>
      <c r="N111" s="491" t="s">
        <v>1133</v>
      </c>
      <c r="O111" s="495">
        <v>41481</v>
      </c>
      <c r="P111" s="491" t="s">
        <v>139</v>
      </c>
      <c r="Q111" s="509">
        <v>1</v>
      </c>
      <c r="R111" s="509">
        <v>1</v>
      </c>
      <c r="S111" s="509">
        <v>6</v>
      </c>
      <c r="T111" s="574">
        <v>37</v>
      </c>
      <c r="U111" s="575">
        <v>6</v>
      </c>
      <c r="V111" s="574">
        <v>46</v>
      </c>
      <c r="W111" s="575">
        <v>7</v>
      </c>
      <c r="X111" s="574">
        <v>28</v>
      </c>
      <c r="Y111" s="575">
        <v>4</v>
      </c>
      <c r="Z111" s="483">
        <f t="shared" si="45"/>
        <v>111</v>
      </c>
      <c r="AA111" s="484">
        <f t="shared" si="48"/>
        <v>17</v>
      </c>
      <c r="AB111" s="572">
        <f t="shared" si="49"/>
        <v>17</v>
      </c>
      <c r="AC111" s="573">
        <f t="shared" si="50"/>
        <v>6.529411764705882</v>
      </c>
      <c r="AD111" s="574">
        <v>404</v>
      </c>
      <c r="AE111" s="575">
        <v>38</v>
      </c>
      <c r="AF111" s="568">
        <f t="shared" si="46"/>
        <v>-0.7252475247524752</v>
      </c>
      <c r="AG111" s="568">
        <f t="shared" si="47"/>
        <v>-0.5526315789473685</v>
      </c>
      <c r="AH111" s="606">
        <f t="shared" si="51"/>
        <v>0</v>
      </c>
      <c r="AI111" s="607">
        <f t="shared" si="52"/>
        <v>0</v>
      </c>
      <c r="AJ111" s="622">
        <v>111</v>
      </c>
      <c r="AK111" s="623">
        <v>17</v>
      </c>
      <c r="AL111" s="608">
        <f t="shared" si="53"/>
        <v>1</v>
      </c>
      <c r="AM111" s="608">
        <f t="shared" si="54"/>
        <v>0</v>
      </c>
      <c r="AN111" s="607">
        <f t="shared" si="55"/>
        <v>17</v>
      </c>
      <c r="AO111" s="609">
        <f t="shared" si="56"/>
        <v>6.529411764705882</v>
      </c>
      <c r="AP111" s="616">
        <v>942</v>
      </c>
      <c r="AQ111" s="617">
        <v>90</v>
      </c>
      <c r="AR111" s="608">
        <f t="shared" si="57"/>
        <v>-0.8821656050955414</v>
      </c>
      <c r="AS111" s="608">
        <f t="shared" si="58"/>
        <v>-0.8111111111111111</v>
      </c>
      <c r="AT111" s="630">
        <v>12643</v>
      </c>
      <c r="AU111" s="631">
        <v>1188</v>
      </c>
      <c r="AV111" s="612">
        <f t="shared" si="59"/>
        <v>10.642255892255893</v>
      </c>
      <c r="AW111" s="613">
        <v>41516</v>
      </c>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row>
    <row r="112" spans="1:133" s="27" customFormat="1" ht="15.75">
      <c r="A112" s="387">
        <v>104</v>
      </c>
      <c r="B112" s="402"/>
      <c r="C112" s="402"/>
      <c r="D112" s="402"/>
      <c r="E112" s="402"/>
      <c r="F112" s="402"/>
      <c r="G112" s="402"/>
      <c r="H112" s="402"/>
      <c r="I112" s="404"/>
      <c r="J112" s="408"/>
      <c r="K112" s="413" t="s">
        <v>731</v>
      </c>
      <c r="L112" s="491" t="s">
        <v>733</v>
      </c>
      <c r="M112" s="491" t="s">
        <v>75</v>
      </c>
      <c r="N112" s="491" t="s">
        <v>732</v>
      </c>
      <c r="O112" s="495">
        <v>41355</v>
      </c>
      <c r="P112" s="491" t="s">
        <v>46</v>
      </c>
      <c r="Q112" s="509">
        <v>1</v>
      </c>
      <c r="R112" s="509">
        <v>1</v>
      </c>
      <c r="S112" s="509">
        <v>14</v>
      </c>
      <c r="T112" s="574">
        <v>15</v>
      </c>
      <c r="U112" s="575">
        <v>3</v>
      </c>
      <c r="V112" s="574">
        <v>10</v>
      </c>
      <c r="W112" s="575">
        <v>2</v>
      </c>
      <c r="X112" s="574">
        <v>11</v>
      </c>
      <c r="Y112" s="575">
        <v>2</v>
      </c>
      <c r="Z112" s="483">
        <f t="shared" si="45"/>
        <v>36</v>
      </c>
      <c r="AA112" s="484">
        <f t="shared" si="48"/>
        <v>7</v>
      </c>
      <c r="AB112" s="572">
        <f t="shared" si="49"/>
        <v>7</v>
      </c>
      <c r="AC112" s="573">
        <f t="shared" si="50"/>
        <v>5.142857142857143</v>
      </c>
      <c r="AD112" s="574">
        <v>46</v>
      </c>
      <c r="AE112" s="575">
        <v>9</v>
      </c>
      <c r="AF112" s="568">
        <f t="shared" si="46"/>
        <v>-0.21739130434782608</v>
      </c>
      <c r="AG112" s="568">
        <f t="shared" si="47"/>
        <v>-0.2222222222222222</v>
      </c>
      <c r="AH112" s="606">
        <f t="shared" si="51"/>
        <v>48</v>
      </c>
      <c r="AI112" s="607">
        <f t="shared" si="52"/>
        <v>9</v>
      </c>
      <c r="AJ112" s="622">
        <v>84</v>
      </c>
      <c r="AK112" s="623">
        <v>16</v>
      </c>
      <c r="AL112" s="608">
        <f t="shared" si="53"/>
        <v>0.4375</v>
      </c>
      <c r="AM112" s="608">
        <f t="shared" si="54"/>
        <v>0.5625</v>
      </c>
      <c r="AN112" s="607">
        <f t="shared" si="55"/>
        <v>16</v>
      </c>
      <c r="AO112" s="609">
        <f t="shared" si="56"/>
        <v>5.25</v>
      </c>
      <c r="AP112" s="614">
        <v>101</v>
      </c>
      <c r="AQ112" s="615">
        <v>20</v>
      </c>
      <c r="AR112" s="608">
        <f t="shared" si="57"/>
        <v>-0.16831683168316833</v>
      </c>
      <c r="AS112" s="608">
        <f t="shared" si="58"/>
        <v>-0.2</v>
      </c>
      <c r="AT112" s="630">
        <v>36685</v>
      </c>
      <c r="AU112" s="631">
        <v>2929</v>
      </c>
      <c r="AV112" s="612">
        <f t="shared" si="59"/>
        <v>12.524752475247524</v>
      </c>
      <c r="AW112" s="613">
        <v>41516</v>
      </c>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row>
    <row r="113" spans="1:133" s="27" customFormat="1" ht="15.75">
      <c r="A113" s="387">
        <v>105</v>
      </c>
      <c r="B113" s="402"/>
      <c r="C113" s="402" t="s">
        <v>94</v>
      </c>
      <c r="D113" s="402"/>
      <c r="E113" s="402">
        <v>2</v>
      </c>
      <c r="F113" s="402" t="s">
        <v>112</v>
      </c>
      <c r="G113" s="402" t="s">
        <v>49</v>
      </c>
      <c r="H113" s="402"/>
      <c r="I113" s="409"/>
      <c r="J113" s="410"/>
      <c r="K113" s="414" t="s">
        <v>1101</v>
      </c>
      <c r="L113" s="392" t="s">
        <v>1100</v>
      </c>
      <c r="M113" s="490" t="s">
        <v>92</v>
      </c>
      <c r="N113" s="392" t="s">
        <v>1099</v>
      </c>
      <c r="O113" s="495">
        <v>41467</v>
      </c>
      <c r="P113" s="491" t="s">
        <v>12</v>
      </c>
      <c r="Q113" s="509">
        <v>48</v>
      </c>
      <c r="R113" s="509">
        <v>1</v>
      </c>
      <c r="S113" s="509">
        <v>8</v>
      </c>
      <c r="T113" s="585">
        <v>12</v>
      </c>
      <c r="U113" s="586">
        <v>2</v>
      </c>
      <c r="V113" s="585">
        <v>12</v>
      </c>
      <c r="W113" s="586">
        <v>2</v>
      </c>
      <c r="X113" s="585">
        <v>12</v>
      </c>
      <c r="Y113" s="586">
        <v>2</v>
      </c>
      <c r="Z113" s="483">
        <f t="shared" si="45"/>
        <v>36</v>
      </c>
      <c r="AA113" s="484">
        <f t="shared" si="48"/>
        <v>6</v>
      </c>
      <c r="AB113" s="572">
        <f t="shared" si="49"/>
        <v>6</v>
      </c>
      <c r="AC113" s="573">
        <f t="shared" si="50"/>
        <v>6</v>
      </c>
      <c r="AD113" s="574">
        <v>1522</v>
      </c>
      <c r="AE113" s="575">
        <v>177</v>
      </c>
      <c r="AF113" s="568">
        <f t="shared" si="46"/>
        <v>-0.9763469119579501</v>
      </c>
      <c r="AG113" s="568">
        <f t="shared" si="47"/>
        <v>-0.9661016949152542</v>
      </c>
      <c r="AH113" s="606">
        <f t="shared" si="51"/>
        <v>15</v>
      </c>
      <c r="AI113" s="607">
        <f t="shared" si="52"/>
        <v>3</v>
      </c>
      <c r="AJ113" s="622">
        <v>51</v>
      </c>
      <c r="AK113" s="623">
        <v>9</v>
      </c>
      <c r="AL113" s="608">
        <f t="shared" si="53"/>
        <v>0.6666666666666666</v>
      </c>
      <c r="AM113" s="608">
        <f t="shared" si="54"/>
        <v>0.3333333333333333</v>
      </c>
      <c r="AN113" s="607">
        <f t="shared" si="55"/>
        <v>9</v>
      </c>
      <c r="AO113" s="609">
        <f t="shared" si="56"/>
        <v>5.666666666666667</v>
      </c>
      <c r="AP113" s="618">
        <v>3124</v>
      </c>
      <c r="AQ113" s="619">
        <v>345</v>
      </c>
      <c r="AR113" s="608">
        <f t="shared" si="57"/>
        <v>-0.9836747759282971</v>
      </c>
      <c r="AS113" s="608">
        <f t="shared" si="58"/>
        <v>-0.9739130434782609</v>
      </c>
      <c r="AT113" s="630">
        <v>126905</v>
      </c>
      <c r="AU113" s="631">
        <v>12316</v>
      </c>
      <c r="AV113" s="612">
        <f t="shared" si="59"/>
        <v>10.304075998700878</v>
      </c>
      <c r="AW113" s="613">
        <v>41516</v>
      </c>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row>
    <row r="114" spans="1:49" ht="11.25">
      <c r="A114" s="811" t="s">
        <v>375</v>
      </c>
      <c r="B114" s="811"/>
      <c r="C114" s="811"/>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row>
    <row r="115" spans="1:49" ht="11.25">
      <c r="A115" s="811"/>
      <c r="B115" s="811"/>
      <c r="C115" s="811"/>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1"/>
      <c r="AA115" s="811"/>
      <c r="AB115" s="811"/>
      <c r="AC115" s="811"/>
      <c r="AD115" s="811"/>
      <c r="AE115" s="811"/>
      <c r="AF115" s="811"/>
      <c r="AG115" s="811"/>
      <c r="AH115" s="811"/>
      <c r="AI115" s="811"/>
      <c r="AJ115" s="811"/>
      <c r="AK115" s="811"/>
      <c r="AL115" s="811"/>
      <c r="AM115" s="811"/>
      <c r="AN115" s="811"/>
      <c r="AO115" s="811"/>
      <c r="AP115" s="811"/>
      <c r="AQ115" s="811"/>
      <c r="AR115" s="811"/>
      <c r="AS115" s="811"/>
      <c r="AT115" s="811"/>
      <c r="AU115" s="811"/>
      <c r="AV115" s="811"/>
      <c r="AW115" s="811"/>
    </row>
    <row r="116" spans="1:49" ht="11.25">
      <c r="A116" s="811"/>
      <c r="B116" s="811"/>
      <c r="C116" s="811"/>
      <c r="D116" s="811"/>
      <c r="E116" s="811"/>
      <c r="F116" s="811"/>
      <c r="G116" s="811"/>
      <c r="H116" s="811"/>
      <c r="I116" s="811"/>
      <c r="J116" s="811"/>
      <c r="K116" s="811"/>
      <c r="L116" s="811"/>
      <c r="M116" s="811"/>
      <c r="N116" s="811"/>
      <c r="O116" s="811"/>
      <c r="P116" s="811"/>
      <c r="Q116" s="811"/>
      <c r="R116" s="811"/>
      <c r="S116" s="811"/>
      <c r="T116" s="811"/>
      <c r="U116" s="811"/>
      <c r="V116" s="811"/>
      <c r="W116" s="811"/>
      <c r="X116" s="811"/>
      <c r="Y116" s="811"/>
      <c r="Z116" s="811"/>
      <c r="AA116" s="811"/>
      <c r="AB116" s="811"/>
      <c r="AC116" s="811"/>
      <c r="AD116" s="811"/>
      <c r="AE116" s="811"/>
      <c r="AF116" s="811"/>
      <c r="AG116" s="811"/>
      <c r="AH116" s="811"/>
      <c r="AI116" s="811"/>
      <c r="AJ116" s="811"/>
      <c r="AK116" s="811"/>
      <c r="AL116" s="811"/>
      <c r="AM116" s="811"/>
      <c r="AN116" s="811"/>
      <c r="AO116" s="811"/>
      <c r="AP116" s="811"/>
      <c r="AQ116" s="811"/>
      <c r="AR116" s="811"/>
      <c r="AS116" s="811"/>
      <c r="AT116" s="811"/>
      <c r="AU116" s="811"/>
      <c r="AV116" s="811"/>
      <c r="AW116" s="811"/>
    </row>
    <row r="117" spans="1:49" ht="11.25">
      <c r="A117" s="811"/>
      <c r="B117" s="811"/>
      <c r="C117" s="811"/>
      <c r="D117" s="811"/>
      <c r="E117" s="811"/>
      <c r="F117" s="811"/>
      <c r="G117" s="811"/>
      <c r="H117" s="811"/>
      <c r="I117" s="811"/>
      <c r="J117" s="811"/>
      <c r="K117" s="811"/>
      <c r="L117" s="811"/>
      <c r="M117" s="811"/>
      <c r="N117" s="811"/>
      <c r="O117" s="811"/>
      <c r="P117" s="811"/>
      <c r="Q117" s="811"/>
      <c r="R117" s="811"/>
      <c r="S117" s="811"/>
      <c r="T117" s="811"/>
      <c r="U117" s="811"/>
      <c r="V117" s="811"/>
      <c r="W117" s="811"/>
      <c r="X117" s="811"/>
      <c r="Y117" s="811"/>
      <c r="Z117" s="811"/>
      <c r="AA117" s="811"/>
      <c r="AB117" s="811"/>
      <c r="AC117" s="811"/>
      <c r="AD117" s="811"/>
      <c r="AE117" s="811"/>
      <c r="AF117" s="811"/>
      <c r="AG117" s="811"/>
      <c r="AH117" s="811"/>
      <c r="AI117" s="811"/>
      <c r="AJ117" s="811"/>
      <c r="AK117" s="811"/>
      <c r="AL117" s="811"/>
      <c r="AM117" s="811"/>
      <c r="AN117" s="811"/>
      <c r="AO117" s="811"/>
      <c r="AP117" s="811"/>
      <c r="AQ117" s="811"/>
      <c r="AR117" s="811"/>
      <c r="AS117" s="811"/>
      <c r="AT117" s="811"/>
      <c r="AU117" s="811"/>
      <c r="AV117" s="811"/>
      <c r="AW117" s="811"/>
    </row>
    <row r="118" spans="1:49" ht="11.25">
      <c r="A118" s="811"/>
      <c r="B118" s="811"/>
      <c r="C118" s="811"/>
      <c r="D118" s="811"/>
      <c r="E118" s="811"/>
      <c r="F118" s="811"/>
      <c r="G118" s="811"/>
      <c r="H118" s="811"/>
      <c r="I118" s="811"/>
      <c r="J118" s="811"/>
      <c r="K118" s="811"/>
      <c r="L118" s="811"/>
      <c r="M118" s="811"/>
      <c r="N118" s="811"/>
      <c r="O118" s="811"/>
      <c r="P118" s="811"/>
      <c r="Q118" s="811"/>
      <c r="R118" s="811"/>
      <c r="S118" s="811"/>
      <c r="T118" s="811"/>
      <c r="U118" s="811"/>
      <c r="V118" s="811"/>
      <c r="W118" s="811"/>
      <c r="X118" s="811"/>
      <c r="Y118" s="811"/>
      <c r="Z118" s="811"/>
      <c r="AA118" s="811"/>
      <c r="AB118" s="811"/>
      <c r="AC118" s="811"/>
      <c r="AD118" s="811"/>
      <c r="AE118" s="811"/>
      <c r="AF118" s="811"/>
      <c r="AG118" s="811"/>
      <c r="AH118" s="811"/>
      <c r="AI118" s="811"/>
      <c r="AJ118" s="811"/>
      <c r="AK118" s="811"/>
      <c r="AL118" s="811"/>
      <c r="AM118" s="811"/>
      <c r="AN118" s="811"/>
      <c r="AO118" s="811"/>
      <c r="AP118" s="811"/>
      <c r="AQ118" s="811"/>
      <c r="AR118" s="811"/>
      <c r="AS118" s="811"/>
      <c r="AT118" s="811"/>
      <c r="AU118" s="811"/>
      <c r="AV118" s="811"/>
      <c r="AW118" s="811"/>
    </row>
    <row r="119" ht="11.25">
      <c r="K119" s="125"/>
    </row>
  </sheetData>
  <sheetProtection formatCells="0" formatColumns="0" formatRows="0" insertColumns="0" insertRows="0" insertHyperlinks="0" deleteColumns="0" deleteRows="0" sort="0" autoFilter="0" pivotTables="0"/>
  <mergeCells count="41">
    <mergeCell ref="B8:H8"/>
    <mergeCell ref="R4:S4"/>
    <mergeCell ref="T7:U7"/>
    <mergeCell ref="AF8:AG8"/>
    <mergeCell ref="AB7:AC7"/>
    <mergeCell ref="X7:Y7"/>
    <mergeCell ref="AD5:AG5"/>
    <mergeCell ref="B7:H7"/>
    <mergeCell ref="AF6:AG6"/>
    <mergeCell ref="AT3:AU3"/>
    <mergeCell ref="T4:AF4"/>
    <mergeCell ref="AJ4:AK4"/>
    <mergeCell ref="AB5:AC5"/>
    <mergeCell ref="Z5:AA5"/>
    <mergeCell ref="AP5:AS5"/>
    <mergeCell ref="AH5:AI5"/>
    <mergeCell ref="V5:W5"/>
    <mergeCell ref="AT5:AU5"/>
    <mergeCell ref="AR8:AS8"/>
    <mergeCell ref="AN7:AO7"/>
    <mergeCell ref="AR6:AS6"/>
    <mergeCell ref="AP7:AQ7"/>
    <mergeCell ref="AJ5:AK5"/>
    <mergeCell ref="AL5:AM5"/>
    <mergeCell ref="AL7:AM7"/>
    <mergeCell ref="L3:S3"/>
    <mergeCell ref="Z7:AA7"/>
    <mergeCell ref="AD7:AE7"/>
    <mergeCell ref="Z3:AF3"/>
    <mergeCell ref="V7:W7"/>
    <mergeCell ref="X5:Y5"/>
    <mergeCell ref="T1:AW1"/>
    <mergeCell ref="AV3:AW3"/>
    <mergeCell ref="AH4:AI4"/>
    <mergeCell ref="AN4:AO4"/>
    <mergeCell ref="T5:U5"/>
    <mergeCell ref="A114:AW118"/>
    <mergeCell ref="K4:Q4"/>
    <mergeCell ref="AN5:AO5"/>
    <mergeCell ref="AL4:AM4"/>
    <mergeCell ref="AT4:AW4"/>
  </mergeCells>
  <hyperlinks>
    <hyperlink ref="K3" r:id="rId1" display="http://www.antraktsinema.com"/>
  </hyperlinks>
  <printOptions/>
  <pageMargins left="0.3" right="0.13" top="0.18" bottom="0.21" header="0.13" footer="0.16"/>
  <pageSetup orientation="landscape" paperSize="9" scale="40" r:id="rId3"/>
  <ignoredErrors>
    <ignoredError sqref="A114:AW118 AT14:AU113" unlockedFormula="1"/>
  </ignoredErrors>
  <drawing r:id="rId2"/>
</worksheet>
</file>

<file path=xl/worksheets/sheet2.xml><?xml version="1.0" encoding="utf-8"?>
<worksheet xmlns="http://schemas.openxmlformats.org/spreadsheetml/2006/main" xmlns:r="http://schemas.openxmlformats.org/officeDocument/2006/relationships">
  <sheetPr>
    <tabColor rgb="FFFF0000"/>
  </sheetPr>
  <dimension ref="A1:F37"/>
  <sheetViews>
    <sheetView zoomScalePageLayoutView="0" workbookViewId="0" topLeftCell="A1">
      <pane ySplit="9" topLeftCell="A10" activePane="bottomLeft" state="frozen"/>
      <selection pane="topLeft" activeCell="A1" sqref="A1"/>
      <selection pane="bottomLeft" activeCell="A40" sqref="A40"/>
    </sheetView>
  </sheetViews>
  <sheetFormatPr defaultColWidth="5.140625" defaultRowHeight="12.75"/>
  <cols>
    <col min="1" max="1" width="5.00390625" style="1" bestFit="1" customWidth="1"/>
    <col min="2" max="2" width="47.00390625" style="2" bestFit="1" customWidth="1"/>
    <col min="3" max="3" width="24.57421875" style="2" bestFit="1" customWidth="1"/>
    <col min="4" max="4" width="41.421875" style="2" bestFit="1" customWidth="1"/>
    <col min="5" max="5" width="13.140625" style="3" bestFit="1" customWidth="1"/>
    <col min="6" max="6" width="14.57421875" style="4" bestFit="1" customWidth="1"/>
    <col min="7" max="16384" width="5.140625" style="2" customWidth="1"/>
  </cols>
  <sheetData>
    <row r="1" spans="1:6" s="9" customFormat="1" ht="11.25">
      <c r="A1" s="45"/>
      <c r="E1" s="18"/>
      <c r="F1" s="8"/>
    </row>
    <row r="2" spans="1:6" s="9" customFormat="1" ht="11.25">
      <c r="A2" s="45"/>
      <c r="E2" s="18"/>
      <c r="F2" s="8"/>
    </row>
    <row r="3" spans="1:6" s="44" customFormat="1" ht="18.75">
      <c r="A3" s="831" t="s">
        <v>1198</v>
      </c>
      <c r="B3" s="832"/>
      <c r="C3" s="832"/>
      <c r="D3" s="832"/>
      <c r="E3" s="832"/>
      <c r="F3" s="832"/>
    </row>
    <row r="4" spans="1:6" s="6" customFormat="1" ht="15.75">
      <c r="A4" s="833" t="s">
        <v>597</v>
      </c>
      <c r="B4" s="832"/>
      <c r="C4" s="832"/>
      <c r="D4" s="832"/>
      <c r="E4" s="832"/>
      <c r="F4" s="832"/>
    </row>
    <row r="5" spans="1:6" s="6" customFormat="1" ht="11.25">
      <c r="A5" s="834" t="s">
        <v>43</v>
      </c>
      <c r="B5" s="835"/>
      <c r="C5" s="835"/>
      <c r="D5" s="835"/>
      <c r="E5" s="835"/>
      <c r="F5" s="835"/>
    </row>
    <row r="6" spans="1:6" s="44" customFormat="1" ht="12.75">
      <c r="A6" s="49"/>
      <c r="B6" s="822" t="s">
        <v>96</v>
      </c>
      <c r="C6" s="822"/>
      <c r="D6" s="822"/>
      <c r="E6" s="822" t="s">
        <v>600</v>
      </c>
      <c r="F6" s="822"/>
    </row>
    <row r="7" spans="1:6" s="6" customFormat="1" ht="12.75">
      <c r="A7" s="47"/>
      <c r="B7" s="48" t="s">
        <v>9</v>
      </c>
      <c r="C7" s="48" t="s">
        <v>1181</v>
      </c>
      <c r="D7" s="48" t="s">
        <v>54</v>
      </c>
      <c r="E7" s="823" t="s">
        <v>40</v>
      </c>
      <c r="F7" s="823"/>
    </row>
    <row r="8" spans="1:6" s="6" customFormat="1" ht="13.5" thickBot="1">
      <c r="A8" s="50"/>
      <c r="B8" s="51" t="s">
        <v>19</v>
      </c>
      <c r="C8" s="51" t="s">
        <v>1182</v>
      </c>
      <c r="D8" s="51" t="s">
        <v>55</v>
      </c>
      <c r="E8" s="52" t="s">
        <v>595</v>
      </c>
      <c r="F8" s="52" t="s">
        <v>596</v>
      </c>
    </row>
    <row r="9" spans="1:6" s="105" customFormat="1" ht="15.75">
      <c r="A9" s="95">
        <v>1</v>
      </c>
      <c r="B9" s="374" t="s">
        <v>1185</v>
      </c>
      <c r="C9" s="91" t="s">
        <v>12</v>
      </c>
      <c r="D9" s="92" t="s">
        <v>1187</v>
      </c>
      <c r="E9" s="375">
        <v>716501</v>
      </c>
      <c r="F9" s="376">
        <v>57489</v>
      </c>
    </row>
    <row r="10" spans="1:6" s="105" customFormat="1" ht="15.75">
      <c r="A10" s="97">
        <v>2</v>
      </c>
      <c r="B10" s="84" t="s">
        <v>1136</v>
      </c>
      <c r="C10" s="59" t="s">
        <v>10</v>
      </c>
      <c r="D10" s="60" t="s">
        <v>1137</v>
      </c>
      <c r="E10" s="68">
        <v>529169</v>
      </c>
      <c r="F10" s="69">
        <v>47859</v>
      </c>
    </row>
    <row r="11" spans="1:6" s="105" customFormat="1" ht="15.75">
      <c r="A11" s="96">
        <v>3</v>
      </c>
      <c r="B11" s="83" t="s">
        <v>1199</v>
      </c>
      <c r="C11" s="42" t="s">
        <v>10</v>
      </c>
      <c r="D11" s="40" t="s">
        <v>1200</v>
      </c>
      <c r="E11" s="66">
        <v>323273</v>
      </c>
      <c r="F11" s="67">
        <v>23832</v>
      </c>
    </row>
    <row r="12" spans="1:6" s="105" customFormat="1" ht="15.75">
      <c r="A12" s="97">
        <v>4</v>
      </c>
      <c r="B12" s="84" t="s">
        <v>1201</v>
      </c>
      <c r="C12" s="59" t="s">
        <v>10</v>
      </c>
      <c r="D12" s="60" t="s">
        <v>1202</v>
      </c>
      <c r="E12" s="68">
        <v>293680</v>
      </c>
      <c r="F12" s="69">
        <v>25006</v>
      </c>
    </row>
    <row r="13" spans="1:6" s="105" customFormat="1" ht="15.75">
      <c r="A13" s="96">
        <v>5</v>
      </c>
      <c r="B13" s="86" t="s">
        <v>1161</v>
      </c>
      <c r="C13" s="40" t="s">
        <v>10</v>
      </c>
      <c r="D13" s="40" t="s">
        <v>1162</v>
      </c>
      <c r="E13" s="66">
        <v>266671</v>
      </c>
      <c r="F13" s="67">
        <v>20741</v>
      </c>
    </row>
    <row r="14" spans="1:6" s="105" customFormat="1" ht="15.75">
      <c r="A14" s="97">
        <v>6</v>
      </c>
      <c r="B14" s="84" t="s">
        <v>1203</v>
      </c>
      <c r="C14" s="59" t="s">
        <v>59</v>
      </c>
      <c r="D14" s="60" t="s">
        <v>1204</v>
      </c>
      <c r="E14" s="68">
        <v>221334.95</v>
      </c>
      <c r="F14" s="69">
        <v>20595</v>
      </c>
    </row>
    <row r="15" spans="1:6" s="106" customFormat="1" ht="15.75">
      <c r="A15" s="96">
        <v>7</v>
      </c>
      <c r="B15" s="93" t="s">
        <v>1145</v>
      </c>
      <c r="C15" s="37" t="s">
        <v>12</v>
      </c>
      <c r="D15" s="38" t="s">
        <v>1146</v>
      </c>
      <c r="E15" s="66">
        <v>185407</v>
      </c>
      <c r="F15" s="67">
        <v>19967</v>
      </c>
    </row>
    <row r="16" spans="1:6" s="105" customFormat="1" ht="15.75">
      <c r="A16" s="97">
        <v>8</v>
      </c>
      <c r="B16" s="379" t="s">
        <v>1166</v>
      </c>
      <c r="C16" s="59" t="s">
        <v>59</v>
      </c>
      <c r="D16" s="380" t="s">
        <v>1167</v>
      </c>
      <c r="E16" s="68">
        <v>159144.12</v>
      </c>
      <c r="F16" s="69">
        <v>15121</v>
      </c>
    </row>
    <row r="17" spans="1:6" s="105" customFormat="1" ht="15.75">
      <c r="A17" s="96">
        <v>9</v>
      </c>
      <c r="B17" s="94" t="s">
        <v>1183</v>
      </c>
      <c r="C17" s="38" t="s">
        <v>10</v>
      </c>
      <c r="D17" s="41" t="s">
        <v>1184</v>
      </c>
      <c r="E17" s="66">
        <v>152467</v>
      </c>
      <c r="F17" s="67">
        <v>11385</v>
      </c>
    </row>
    <row r="18" spans="1:6" s="106" customFormat="1" ht="15.75">
      <c r="A18" s="97">
        <v>10</v>
      </c>
      <c r="B18" s="87" t="s">
        <v>1174</v>
      </c>
      <c r="C18" s="59" t="s">
        <v>151</v>
      </c>
      <c r="D18" s="61" t="s">
        <v>1174</v>
      </c>
      <c r="E18" s="68">
        <v>94286.9</v>
      </c>
      <c r="F18" s="69">
        <v>6685</v>
      </c>
    </row>
    <row r="19" spans="1:6" s="105" customFormat="1" ht="15.75">
      <c r="A19" s="96">
        <v>11</v>
      </c>
      <c r="B19" s="86" t="s">
        <v>1208</v>
      </c>
      <c r="C19" s="40" t="s">
        <v>12</v>
      </c>
      <c r="D19" s="40" t="s">
        <v>1209</v>
      </c>
      <c r="E19" s="66">
        <v>78207</v>
      </c>
      <c r="F19" s="67">
        <v>5916</v>
      </c>
    </row>
    <row r="20" spans="1:6" s="105" customFormat="1" ht="15.75">
      <c r="A20" s="97">
        <v>12</v>
      </c>
      <c r="B20" s="98" t="s">
        <v>1194</v>
      </c>
      <c r="C20" s="63" t="s">
        <v>8</v>
      </c>
      <c r="D20" s="63" t="s">
        <v>1193</v>
      </c>
      <c r="E20" s="68">
        <v>47619</v>
      </c>
      <c r="F20" s="69">
        <v>3829</v>
      </c>
    </row>
    <row r="21" spans="1:6" s="106" customFormat="1" ht="15.75">
      <c r="A21" s="96">
        <v>13</v>
      </c>
      <c r="B21" s="86" t="s">
        <v>1129</v>
      </c>
      <c r="C21" s="40" t="s">
        <v>59</v>
      </c>
      <c r="D21" s="40" t="s">
        <v>1130</v>
      </c>
      <c r="E21" s="66">
        <v>39076</v>
      </c>
      <c r="F21" s="67">
        <v>3971</v>
      </c>
    </row>
    <row r="22" spans="1:6" s="105" customFormat="1" ht="15.75">
      <c r="A22" s="97">
        <v>14</v>
      </c>
      <c r="B22" s="87" t="s">
        <v>1213</v>
      </c>
      <c r="C22" s="61" t="s">
        <v>8</v>
      </c>
      <c r="D22" s="61" t="s">
        <v>1214</v>
      </c>
      <c r="E22" s="68">
        <v>36381</v>
      </c>
      <c r="F22" s="69">
        <v>3066</v>
      </c>
    </row>
    <row r="23" spans="1:6" s="105" customFormat="1" ht="15.75">
      <c r="A23" s="96">
        <v>15</v>
      </c>
      <c r="B23" s="83" t="s">
        <v>1188</v>
      </c>
      <c r="C23" s="41" t="s">
        <v>139</v>
      </c>
      <c r="D23" s="41" t="s">
        <v>1189</v>
      </c>
      <c r="E23" s="66">
        <v>35549.82</v>
      </c>
      <c r="F23" s="67">
        <v>2661</v>
      </c>
    </row>
    <row r="24" spans="1:6" s="105" customFormat="1" ht="15.75">
      <c r="A24" s="97">
        <v>16</v>
      </c>
      <c r="B24" s="87" t="s">
        <v>1179</v>
      </c>
      <c r="C24" s="62" t="s">
        <v>47</v>
      </c>
      <c r="D24" s="63" t="s">
        <v>1179</v>
      </c>
      <c r="E24" s="68">
        <v>29926.5</v>
      </c>
      <c r="F24" s="69">
        <v>3509</v>
      </c>
    </row>
    <row r="25" spans="1:6" s="105" customFormat="1" ht="15.75">
      <c r="A25" s="96">
        <v>17</v>
      </c>
      <c r="B25" s="83" t="s">
        <v>1147</v>
      </c>
      <c r="C25" s="42" t="s">
        <v>59</v>
      </c>
      <c r="D25" s="40" t="s">
        <v>1147</v>
      </c>
      <c r="E25" s="66">
        <v>29352</v>
      </c>
      <c r="F25" s="67">
        <v>2826</v>
      </c>
    </row>
    <row r="26" spans="1:6" s="105" customFormat="1" ht="15.75">
      <c r="A26" s="97">
        <v>18</v>
      </c>
      <c r="B26" s="87" t="s">
        <v>1191</v>
      </c>
      <c r="C26" s="61" t="s">
        <v>8</v>
      </c>
      <c r="D26" s="61" t="s">
        <v>1192</v>
      </c>
      <c r="E26" s="68">
        <v>29099</v>
      </c>
      <c r="F26" s="69">
        <v>2003</v>
      </c>
    </row>
    <row r="27" spans="1:6" s="105" customFormat="1" ht="15.75">
      <c r="A27" s="96">
        <v>19</v>
      </c>
      <c r="B27" s="86" t="s">
        <v>1127</v>
      </c>
      <c r="C27" s="40" t="s">
        <v>59</v>
      </c>
      <c r="D27" s="40" t="s">
        <v>1126</v>
      </c>
      <c r="E27" s="66">
        <v>15431.5</v>
      </c>
      <c r="F27" s="67">
        <v>1817</v>
      </c>
    </row>
    <row r="28" spans="1:6" s="105" customFormat="1" ht="16.5" thickBot="1">
      <c r="A28" s="99">
        <v>20</v>
      </c>
      <c r="B28" s="100" t="s">
        <v>1157</v>
      </c>
      <c r="C28" s="101" t="s">
        <v>59</v>
      </c>
      <c r="D28" s="102" t="s">
        <v>1158</v>
      </c>
      <c r="E28" s="103">
        <v>13019</v>
      </c>
      <c r="F28" s="104">
        <v>1509</v>
      </c>
    </row>
    <row r="29" spans="1:6" s="42" customFormat="1" ht="15.75">
      <c r="A29" s="96"/>
      <c r="B29" s="94"/>
      <c r="C29" s="37"/>
      <c r="D29" s="41"/>
      <c r="E29" s="66"/>
      <c r="F29" s="67"/>
    </row>
    <row r="30" spans="1:6" ht="18">
      <c r="A30" s="824" t="s">
        <v>375</v>
      </c>
      <c r="B30" s="825"/>
      <c r="C30" s="825"/>
      <c r="D30" s="825"/>
      <c r="E30" s="825"/>
      <c r="F30" s="826"/>
    </row>
    <row r="31" spans="1:6" s="9" customFormat="1" ht="11.25">
      <c r="A31" s="827"/>
      <c r="B31" s="825"/>
      <c r="C31" s="825"/>
      <c r="D31" s="825"/>
      <c r="E31" s="825"/>
      <c r="F31" s="826"/>
    </row>
    <row r="32" spans="1:6" s="9" customFormat="1" ht="11.25">
      <c r="A32" s="827"/>
      <c r="B32" s="825"/>
      <c r="C32" s="825"/>
      <c r="D32" s="825"/>
      <c r="E32" s="825"/>
      <c r="F32" s="826"/>
    </row>
    <row r="33" spans="1:6" s="9" customFormat="1" ht="11.25">
      <c r="A33" s="827"/>
      <c r="B33" s="825"/>
      <c r="C33" s="825"/>
      <c r="D33" s="825"/>
      <c r="E33" s="825"/>
      <c r="F33" s="826"/>
    </row>
    <row r="34" spans="1:6" s="9" customFormat="1" ht="11.25">
      <c r="A34" s="827"/>
      <c r="B34" s="825"/>
      <c r="C34" s="825"/>
      <c r="D34" s="825"/>
      <c r="E34" s="825"/>
      <c r="F34" s="826"/>
    </row>
    <row r="35" spans="1:6" s="9" customFormat="1" ht="12" thickBot="1">
      <c r="A35" s="828"/>
      <c r="B35" s="829"/>
      <c r="C35" s="829"/>
      <c r="D35" s="829"/>
      <c r="E35" s="829"/>
      <c r="F35" s="830"/>
    </row>
    <row r="36" spans="1:6" s="9" customFormat="1" ht="18">
      <c r="A36" s="1"/>
      <c r="B36" s="2"/>
      <c r="C36" s="2"/>
      <c r="D36" s="2"/>
      <c r="E36" s="3"/>
      <c r="F36" s="4"/>
    </row>
    <row r="37" spans="1:6" s="9" customFormat="1" ht="11.25">
      <c r="A37" s="45"/>
      <c r="E37" s="18"/>
      <c r="F37" s="8"/>
    </row>
  </sheetData>
  <sheetProtection/>
  <mergeCells count="7">
    <mergeCell ref="B6:D6"/>
    <mergeCell ref="E6:F6"/>
    <mergeCell ref="E7:F7"/>
    <mergeCell ref="A30:F35"/>
    <mergeCell ref="A3:F3"/>
    <mergeCell ref="A4:F4"/>
    <mergeCell ref="A5:F5"/>
  </mergeCells>
  <hyperlinks>
    <hyperlink ref="A5" r:id="rId1" display="http://www.antraktsinema.com"/>
  </hyperlinks>
  <printOptions/>
  <pageMargins left="0.89" right="0.7480314960629921" top="0.984251968503937" bottom="0.984251968503937" header="0.5118110236220472" footer="0.5118110236220472"/>
  <pageSetup horizontalDpi="600" verticalDpi="600" orientation="landscape" paperSize="9" scale="90" r:id="rId3"/>
  <drawing r:id="rId2"/>
</worksheet>
</file>

<file path=xl/worksheets/sheet3.xml><?xml version="1.0" encoding="utf-8"?>
<worksheet xmlns="http://schemas.openxmlformats.org/spreadsheetml/2006/main" xmlns:r="http://schemas.openxmlformats.org/officeDocument/2006/relationships">
  <sheetPr>
    <tabColor rgb="FFFF0000"/>
  </sheetPr>
  <dimension ref="A3:F35"/>
  <sheetViews>
    <sheetView zoomScalePageLayoutView="0" workbookViewId="0" topLeftCell="A1">
      <selection activeCell="A41" sqref="A41"/>
    </sheetView>
  </sheetViews>
  <sheetFormatPr defaultColWidth="4.8515625" defaultRowHeight="12.75"/>
  <cols>
    <col min="1" max="1" width="5.00390625" style="45" bestFit="1" customWidth="1"/>
    <col min="2" max="2" width="47.00390625" style="9" bestFit="1" customWidth="1"/>
    <col min="3" max="3" width="24.57421875" style="9" bestFit="1" customWidth="1"/>
    <col min="4" max="4" width="41.421875" style="9" bestFit="1" customWidth="1"/>
    <col min="5" max="5" width="14.8515625" style="18" bestFit="1" customWidth="1"/>
    <col min="6" max="6" width="14.57421875" style="8" bestFit="1" customWidth="1"/>
    <col min="7" max="16384" width="4.8515625" style="9" customWidth="1"/>
  </cols>
  <sheetData>
    <row r="1" ht="11.25"/>
    <row r="2" ht="11.25"/>
    <row r="3" spans="1:6" s="44" customFormat="1" ht="18.75">
      <c r="A3" s="831" t="s">
        <v>1216</v>
      </c>
      <c r="B3" s="832"/>
      <c r="C3" s="832"/>
      <c r="D3" s="832"/>
      <c r="E3" s="832"/>
      <c r="F3" s="832"/>
    </row>
    <row r="4" spans="1:6" s="6" customFormat="1" ht="15.75">
      <c r="A4" s="833" t="s">
        <v>597</v>
      </c>
      <c r="B4" s="832"/>
      <c r="C4" s="832"/>
      <c r="D4" s="832"/>
      <c r="E4" s="832"/>
      <c r="F4" s="832"/>
    </row>
    <row r="5" spans="1:6" s="6" customFormat="1" ht="12" thickBot="1">
      <c r="A5" s="834" t="s">
        <v>43</v>
      </c>
      <c r="B5" s="835"/>
      <c r="C5" s="835"/>
      <c r="D5" s="835"/>
      <c r="E5" s="835"/>
      <c r="F5" s="835"/>
    </row>
    <row r="6" spans="1:6" s="44" customFormat="1" ht="12.75">
      <c r="A6" s="346"/>
      <c r="B6" s="836" t="s">
        <v>96</v>
      </c>
      <c r="C6" s="836"/>
      <c r="D6" s="836"/>
      <c r="E6" s="836" t="s">
        <v>598</v>
      </c>
      <c r="F6" s="837"/>
    </row>
    <row r="7" spans="1:6" s="6" customFormat="1" ht="12.75">
      <c r="A7" s="347"/>
      <c r="B7" s="48" t="s">
        <v>9</v>
      </c>
      <c r="C7" s="48" t="s">
        <v>1181</v>
      </c>
      <c r="D7" s="48" t="s">
        <v>54</v>
      </c>
      <c r="E7" s="823" t="s">
        <v>599</v>
      </c>
      <c r="F7" s="838"/>
    </row>
    <row r="8" spans="1:6" s="6" customFormat="1" ht="13.5" thickBot="1">
      <c r="A8" s="348"/>
      <c r="B8" s="51" t="s">
        <v>19</v>
      </c>
      <c r="C8" s="51" t="s">
        <v>1182</v>
      </c>
      <c r="D8" s="51" t="s">
        <v>55</v>
      </c>
      <c r="E8" s="52" t="s">
        <v>595</v>
      </c>
      <c r="F8" s="349" t="s">
        <v>596</v>
      </c>
    </row>
    <row r="9" spans="1:6" s="10" customFormat="1" ht="15.75">
      <c r="A9" s="80">
        <v>1</v>
      </c>
      <c r="B9" s="83" t="s">
        <v>1185</v>
      </c>
      <c r="C9" s="42" t="s">
        <v>12</v>
      </c>
      <c r="D9" s="38" t="s">
        <v>1187</v>
      </c>
      <c r="E9" s="66">
        <v>1134020</v>
      </c>
      <c r="F9" s="67">
        <v>100855</v>
      </c>
    </row>
    <row r="10" spans="1:6" s="46" customFormat="1" ht="15.75">
      <c r="A10" s="81">
        <v>2</v>
      </c>
      <c r="B10" s="84" t="s">
        <v>1136</v>
      </c>
      <c r="C10" s="59" t="s">
        <v>10</v>
      </c>
      <c r="D10" s="60" t="s">
        <v>1137</v>
      </c>
      <c r="E10" s="68">
        <v>914384</v>
      </c>
      <c r="F10" s="69">
        <v>89003</v>
      </c>
    </row>
    <row r="11" spans="1:6" s="10" customFormat="1" ht="15.75">
      <c r="A11" s="80">
        <v>3</v>
      </c>
      <c r="B11" s="85" t="s">
        <v>1201</v>
      </c>
      <c r="C11" s="37" t="s">
        <v>10</v>
      </c>
      <c r="D11" s="38" t="s">
        <v>1202</v>
      </c>
      <c r="E11" s="70">
        <v>533880</v>
      </c>
      <c r="F11" s="71">
        <v>50286</v>
      </c>
    </row>
    <row r="12" spans="1:6" s="46" customFormat="1" ht="15.75">
      <c r="A12" s="81">
        <v>4</v>
      </c>
      <c r="B12" s="84" t="s">
        <v>1199</v>
      </c>
      <c r="C12" s="59" t="s">
        <v>10</v>
      </c>
      <c r="D12" s="60" t="s">
        <v>1200</v>
      </c>
      <c r="E12" s="68">
        <v>464837</v>
      </c>
      <c r="F12" s="69">
        <v>36027</v>
      </c>
    </row>
    <row r="13" spans="1:6" s="10" customFormat="1" ht="15.75">
      <c r="A13" s="80">
        <v>5</v>
      </c>
      <c r="B13" s="86" t="s">
        <v>1161</v>
      </c>
      <c r="C13" s="39" t="s">
        <v>10</v>
      </c>
      <c r="D13" s="40" t="s">
        <v>1162</v>
      </c>
      <c r="E13" s="66">
        <v>432035</v>
      </c>
      <c r="F13" s="67">
        <v>36893</v>
      </c>
    </row>
    <row r="14" spans="1:6" s="46" customFormat="1" ht="15.75">
      <c r="A14" s="81">
        <v>6</v>
      </c>
      <c r="B14" s="84" t="s">
        <v>1203</v>
      </c>
      <c r="C14" s="59" t="s">
        <v>59</v>
      </c>
      <c r="D14" s="60" t="s">
        <v>1204</v>
      </c>
      <c r="E14" s="68">
        <v>397782.49</v>
      </c>
      <c r="F14" s="69">
        <v>39887</v>
      </c>
    </row>
    <row r="15" spans="1:6" s="10" customFormat="1" ht="15.75">
      <c r="A15" s="80">
        <v>7</v>
      </c>
      <c r="B15" s="83" t="s">
        <v>1145</v>
      </c>
      <c r="C15" s="41" t="s">
        <v>12</v>
      </c>
      <c r="D15" s="41" t="s">
        <v>1146</v>
      </c>
      <c r="E15" s="66">
        <v>346814</v>
      </c>
      <c r="F15" s="67">
        <v>39942</v>
      </c>
    </row>
    <row r="16" spans="1:6" s="46" customFormat="1" ht="15.75">
      <c r="A16" s="81">
        <v>8</v>
      </c>
      <c r="B16" s="84" t="s">
        <v>1166</v>
      </c>
      <c r="C16" s="59" t="s">
        <v>59</v>
      </c>
      <c r="D16" s="60" t="s">
        <v>1167</v>
      </c>
      <c r="E16" s="72">
        <v>291047.81</v>
      </c>
      <c r="F16" s="73">
        <v>29458</v>
      </c>
    </row>
    <row r="17" spans="1:6" s="10" customFormat="1" ht="15.75">
      <c r="A17" s="80">
        <v>9</v>
      </c>
      <c r="B17" s="86" t="s">
        <v>1183</v>
      </c>
      <c r="C17" s="40" t="s">
        <v>10</v>
      </c>
      <c r="D17" s="40" t="s">
        <v>1184</v>
      </c>
      <c r="E17" s="70">
        <v>267723</v>
      </c>
      <c r="F17" s="71">
        <v>21989</v>
      </c>
    </row>
    <row r="18" spans="1:6" s="46" customFormat="1" ht="15.75">
      <c r="A18" s="81">
        <v>10</v>
      </c>
      <c r="B18" s="87" t="s">
        <v>1174</v>
      </c>
      <c r="C18" s="61" t="s">
        <v>151</v>
      </c>
      <c r="D18" s="61" t="s">
        <v>1174</v>
      </c>
      <c r="E18" s="74">
        <v>149975</v>
      </c>
      <c r="F18" s="75">
        <v>11475</v>
      </c>
    </row>
    <row r="19" spans="1:6" s="10" customFormat="1" ht="15.75">
      <c r="A19" s="80">
        <v>11</v>
      </c>
      <c r="B19" s="86" t="s">
        <v>1208</v>
      </c>
      <c r="C19" s="40" t="s">
        <v>12</v>
      </c>
      <c r="D19" s="40" t="s">
        <v>1209</v>
      </c>
      <c r="E19" s="70">
        <v>122934</v>
      </c>
      <c r="F19" s="71">
        <v>10332</v>
      </c>
    </row>
    <row r="20" spans="1:6" s="46" customFormat="1" ht="15.75">
      <c r="A20" s="81">
        <v>12</v>
      </c>
      <c r="B20" s="87" t="s">
        <v>1194</v>
      </c>
      <c r="C20" s="59" t="s">
        <v>8</v>
      </c>
      <c r="D20" s="61" t="s">
        <v>1193</v>
      </c>
      <c r="E20" s="72">
        <v>87262</v>
      </c>
      <c r="F20" s="73">
        <v>7753</v>
      </c>
    </row>
    <row r="21" spans="1:6" s="10" customFormat="1" ht="15.75">
      <c r="A21" s="80">
        <v>13</v>
      </c>
      <c r="B21" s="86" t="s">
        <v>1213</v>
      </c>
      <c r="C21" s="40" t="s">
        <v>8</v>
      </c>
      <c r="D21" s="40" t="s">
        <v>1214</v>
      </c>
      <c r="E21" s="66">
        <v>67279</v>
      </c>
      <c r="F21" s="67">
        <v>6177</v>
      </c>
    </row>
    <row r="22" spans="1:6" s="46" customFormat="1" ht="15.75">
      <c r="A22" s="81">
        <v>14</v>
      </c>
      <c r="B22" s="88" t="s">
        <v>1129</v>
      </c>
      <c r="C22" s="59" t="s">
        <v>59</v>
      </c>
      <c r="D22" s="61" t="s">
        <v>1130</v>
      </c>
      <c r="E22" s="74">
        <v>66107.93</v>
      </c>
      <c r="F22" s="75">
        <v>7071</v>
      </c>
    </row>
    <row r="23" spans="1:6" s="10" customFormat="1" ht="15.75">
      <c r="A23" s="80">
        <v>15</v>
      </c>
      <c r="B23" s="83" t="s">
        <v>1188</v>
      </c>
      <c r="C23" s="42" t="s">
        <v>139</v>
      </c>
      <c r="D23" s="40" t="s">
        <v>1189</v>
      </c>
      <c r="E23" s="76">
        <v>58242.630000000005</v>
      </c>
      <c r="F23" s="77">
        <v>4780</v>
      </c>
    </row>
    <row r="24" spans="1:6" s="46" customFormat="1" ht="15.75">
      <c r="A24" s="81">
        <v>16</v>
      </c>
      <c r="B24" s="87" t="s">
        <v>1179</v>
      </c>
      <c r="C24" s="62" t="s">
        <v>47</v>
      </c>
      <c r="D24" s="63" t="s">
        <v>1179</v>
      </c>
      <c r="E24" s="72">
        <v>54773.58</v>
      </c>
      <c r="F24" s="73">
        <v>6963</v>
      </c>
    </row>
    <row r="25" spans="1:6" s="10" customFormat="1" ht="15.75">
      <c r="A25" s="80">
        <v>17</v>
      </c>
      <c r="B25" s="89" t="s">
        <v>1147</v>
      </c>
      <c r="C25" s="37" t="s">
        <v>59</v>
      </c>
      <c r="D25" s="43" t="s">
        <v>1147</v>
      </c>
      <c r="E25" s="66">
        <v>52022.7</v>
      </c>
      <c r="F25" s="67">
        <v>5430</v>
      </c>
    </row>
    <row r="26" spans="1:6" s="46" customFormat="1" ht="15.75">
      <c r="A26" s="81">
        <v>18</v>
      </c>
      <c r="B26" s="84" t="s">
        <v>1191</v>
      </c>
      <c r="C26" s="59" t="s">
        <v>8</v>
      </c>
      <c r="D26" s="60" t="s">
        <v>1192</v>
      </c>
      <c r="E26" s="68">
        <v>44306</v>
      </c>
      <c r="F26" s="69">
        <v>3292</v>
      </c>
    </row>
    <row r="27" spans="1:6" s="10" customFormat="1" ht="15.75">
      <c r="A27" s="80">
        <v>19</v>
      </c>
      <c r="B27" s="83" t="s">
        <v>1127</v>
      </c>
      <c r="C27" s="42" t="s">
        <v>59</v>
      </c>
      <c r="D27" s="40" t="s">
        <v>1126</v>
      </c>
      <c r="E27" s="76">
        <v>28681</v>
      </c>
      <c r="F27" s="77">
        <v>3525</v>
      </c>
    </row>
    <row r="28" spans="1:6" s="46" customFormat="1" ht="16.5" thickBot="1">
      <c r="A28" s="82">
        <v>20</v>
      </c>
      <c r="B28" s="90" t="s">
        <v>1071</v>
      </c>
      <c r="C28" s="64" t="s">
        <v>12</v>
      </c>
      <c r="D28" s="65" t="s">
        <v>1070</v>
      </c>
      <c r="E28" s="78">
        <v>28143</v>
      </c>
      <c r="F28" s="79">
        <v>4385</v>
      </c>
    </row>
    <row r="29" spans="1:6" s="46" customFormat="1" ht="16.5" thickBot="1">
      <c r="A29" s="53"/>
      <c r="B29" s="54"/>
      <c r="C29" s="55"/>
      <c r="D29" s="56"/>
      <c r="E29" s="57"/>
      <c r="F29" s="58"/>
    </row>
    <row r="30" spans="1:6" ht="11.25">
      <c r="A30" s="839" t="s">
        <v>375</v>
      </c>
      <c r="B30" s="840"/>
      <c r="C30" s="840"/>
      <c r="D30" s="840"/>
      <c r="E30" s="840"/>
      <c r="F30" s="841"/>
    </row>
    <row r="31" spans="1:6" ht="11.25">
      <c r="A31" s="842"/>
      <c r="B31" s="843"/>
      <c r="C31" s="843"/>
      <c r="D31" s="843"/>
      <c r="E31" s="843"/>
      <c r="F31" s="844"/>
    </row>
    <row r="32" spans="1:6" ht="11.25">
      <c r="A32" s="842"/>
      <c r="B32" s="843"/>
      <c r="C32" s="843"/>
      <c r="D32" s="843"/>
      <c r="E32" s="843"/>
      <c r="F32" s="844"/>
    </row>
    <row r="33" spans="1:6" ht="11.25">
      <c r="A33" s="842"/>
      <c r="B33" s="843"/>
      <c r="C33" s="843"/>
      <c r="D33" s="843"/>
      <c r="E33" s="843"/>
      <c r="F33" s="844"/>
    </row>
    <row r="34" spans="1:6" ht="11.25">
      <c r="A34" s="842"/>
      <c r="B34" s="843"/>
      <c r="C34" s="843"/>
      <c r="D34" s="843"/>
      <c r="E34" s="843"/>
      <c r="F34" s="844"/>
    </row>
    <row r="35" spans="1:6" ht="12" thickBot="1">
      <c r="A35" s="845"/>
      <c r="B35" s="846"/>
      <c r="C35" s="846"/>
      <c r="D35" s="846"/>
      <c r="E35" s="846"/>
      <c r="F35" s="847"/>
    </row>
  </sheetData>
  <sheetProtection/>
  <mergeCells count="7">
    <mergeCell ref="A5:F5"/>
    <mergeCell ref="A4:F4"/>
    <mergeCell ref="A3:F3"/>
    <mergeCell ref="E6:F6"/>
    <mergeCell ref="E7:F7"/>
    <mergeCell ref="A30:F35"/>
    <mergeCell ref="B6:D6"/>
  </mergeCells>
  <hyperlinks>
    <hyperlink ref="A5" r:id="rId1" display="http://www.antraktsinema.com"/>
  </hyperlinks>
  <printOptions/>
  <pageMargins left="1.18" right="0.7086614173228347" top="0.7480314960629921" bottom="0.7480314960629921" header="0.31496062992125984" footer="0.31496062992125984"/>
  <pageSetup horizontalDpi="600" verticalDpi="600" orientation="landscape" paperSize="9" scale="80" r:id="rId3"/>
  <drawing r:id="rId2"/>
</worksheet>
</file>

<file path=xl/worksheets/sheet4.xml><?xml version="1.0" encoding="utf-8"?>
<worksheet xmlns="http://schemas.openxmlformats.org/spreadsheetml/2006/main" xmlns:r="http://schemas.openxmlformats.org/officeDocument/2006/relationships">
  <sheetPr>
    <tabColor rgb="FFFFFF00"/>
  </sheetPr>
  <dimension ref="A1:Q801"/>
  <sheetViews>
    <sheetView zoomScalePageLayoutView="0" workbookViewId="0" topLeftCell="A1">
      <selection activeCell="A1" sqref="A1"/>
    </sheetView>
  </sheetViews>
  <sheetFormatPr defaultColWidth="3.7109375" defaultRowHeight="12.75"/>
  <cols>
    <col min="1" max="1" width="3.140625" style="453" bestFit="1" customWidth="1"/>
    <col min="2" max="2" width="1.57421875" style="479" bestFit="1" customWidth="1"/>
    <col min="3" max="3" width="40.28125" style="20" bestFit="1" customWidth="1"/>
    <col min="4" max="4" width="18.140625" style="456" bestFit="1" customWidth="1"/>
    <col min="5" max="5" width="16.28125" style="456" bestFit="1" customWidth="1"/>
    <col min="6" max="6" width="29.00390625" style="456" bestFit="1" customWidth="1"/>
    <col min="7" max="7" width="5.8515625" style="453" bestFit="1" customWidth="1"/>
    <col min="8" max="8" width="13.8515625" style="453" bestFit="1" customWidth="1"/>
    <col min="9" max="10" width="3.140625" style="453" bestFit="1" customWidth="1"/>
    <col min="11" max="11" width="2.421875" style="453" bestFit="1" customWidth="1"/>
    <col min="12" max="12" width="8.28125" style="453" bestFit="1" customWidth="1"/>
    <col min="13" max="13" width="4.8515625" style="453" bestFit="1" customWidth="1"/>
    <col min="14" max="14" width="10.8515625" style="20" bestFit="1" customWidth="1"/>
    <col min="15" max="15" width="7.8515625" style="20" bestFit="1" customWidth="1"/>
    <col min="16" max="16" width="4.28125" style="453" bestFit="1" customWidth="1"/>
    <col min="17" max="17" width="7.57421875" style="453" bestFit="1" customWidth="1"/>
    <col min="18" max="16384" width="3.7109375" style="453" customWidth="1"/>
  </cols>
  <sheetData>
    <row r="1" spans="1:17" ht="10.5" thickBot="1">
      <c r="A1" s="452" t="s">
        <v>806</v>
      </c>
      <c r="B1" s="848" t="s">
        <v>1217</v>
      </c>
      <c r="C1" s="849"/>
      <c r="D1" s="849"/>
      <c r="E1" s="849"/>
      <c r="F1" s="849"/>
      <c r="G1" s="849"/>
      <c r="H1" s="849"/>
      <c r="I1" s="850"/>
      <c r="J1" s="850"/>
      <c r="K1" s="850"/>
      <c r="L1" s="850"/>
      <c r="M1" s="850"/>
      <c r="N1" s="850"/>
      <c r="O1" s="850"/>
      <c r="P1" s="850"/>
      <c r="Q1" s="850"/>
    </row>
    <row r="2" spans="1:17" ht="11.25">
      <c r="A2" s="453">
        <v>1</v>
      </c>
      <c r="B2" s="449" t="s">
        <v>48</v>
      </c>
      <c r="C2" s="457">
        <v>120</v>
      </c>
      <c r="D2" s="110" t="s">
        <v>1096</v>
      </c>
      <c r="E2" s="110"/>
      <c r="F2" s="110">
        <v>120</v>
      </c>
      <c r="G2" s="388">
        <v>39488</v>
      </c>
      <c r="H2" s="110" t="s">
        <v>47</v>
      </c>
      <c r="I2" s="432">
        <v>179</v>
      </c>
      <c r="J2" s="598">
        <v>1</v>
      </c>
      <c r="K2" s="598">
        <v>53</v>
      </c>
      <c r="L2" s="433">
        <v>1201</v>
      </c>
      <c r="M2" s="434">
        <v>240</v>
      </c>
      <c r="N2" s="638">
        <f>5039812.5+1919+2402+2402+1201+3603+400+1201</f>
        <v>5052940.5</v>
      </c>
      <c r="O2" s="639">
        <f>1038442+320+480+480+240+720+80+240</f>
        <v>1041002</v>
      </c>
      <c r="P2" s="431">
        <f aca="true" t="shared" si="0" ref="P2:P47">N2/O2</f>
        <v>4.85392006931783</v>
      </c>
      <c r="Q2" s="571">
        <v>41467</v>
      </c>
    </row>
    <row r="3" spans="1:17" ht="11.25">
      <c r="A3" s="453">
        <v>2</v>
      </c>
      <c r="B3" s="497" t="s">
        <v>48</v>
      </c>
      <c r="C3" s="442">
        <v>120</v>
      </c>
      <c r="D3" s="496" t="s">
        <v>1096</v>
      </c>
      <c r="E3" s="492"/>
      <c r="F3" s="496">
        <v>120</v>
      </c>
      <c r="G3" s="493">
        <v>39488</v>
      </c>
      <c r="H3" s="499" t="s">
        <v>47</v>
      </c>
      <c r="I3" s="506">
        <v>179</v>
      </c>
      <c r="J3" s="556">
        <v>1</v>
      </c>
      <c r="K3" s="556">
        <v>52</v>
      </c>
      <c r="L3" s="554">
        <v>400</v>
      </c>
      <c r="M3" s="555">
        <v>80</v>
      </c>
      <c r="N3" s="438">
        <f>5039812.5+1919+2402+2402+1201+3603+400</f>
        <v>5051739.5</v>
      </c>
      <c r="O3" s="439">
        <f>1038442+320+480+480+240+720+80</f>
        <v>1040762</v>
      </c>
      <c r="P3" s="512">
        <f t="shared" si="0"/>
        <v>4.853885422411656</v>
      </c>
      <c r="Q3" s="513">
        <v>41292</v>
      </c>
    </row>
    <row r="4" spans="1:17" ht="11.25">
      <c r="A4" s="453">
        <v>3</v>
      </c>
      <c r="B4" s="497"/>
      <c r="C4" s="548" t="s">
        <v>451</v>
      </c>
      <c r="D4" s="492" t="s">
        <v>283</v>
      </c>
      <c r="E4" s="491" t="s">
        <v>452</v>
      </c>
      <c r="F4" s="491" t="s">
        <v>450</v>
      </c>
      <c r="G4" s="495">
        <v>41180</v>
      </c>
      <c r="H4" s="499" t="s">
        <v>139</v>
      </c>
      <c r="I4" s="506">
        <v>40</v>
      </c>
      <c r="J4" s="640">
        <v>1</v>
      </c>
      <c r="K4" s="640">
        <v>14</v>
      </c>
      <c r="L4" s="554">
        <v>858</v>
      </c>
      <c r="M4" s="555">
        <v>140</v>
      </c>
      <c r="N4" s="438">
        <v>207193.56000000003</v>
      </c>
      <c r="O4" s="439">
        <v>24490</v>
      </c>
      <c r="P4" s="512">
        <f t="shared" si="0"/>
        <v>8.460333197223358</v>
      </c>
      <c r="Q4" s="513">
        <v>41285</v>
      </c>
    </row>
    <row r="5" spans="1:17" ht="11.25">
      <c r="A5" s="453">
        <v>4</v>
      </c>
      <c r="B5" s="497"/>
      <c r="C5" s="520" t="s">
        <v>341</v>
      </c>
      <c r="D5" s="492" t="s">
        <v>342</v>
      </c>
      <c r="E5" s="490" t="s">
        <v>65</v>
      </c>
      <c r="F5" s="491" t="s">
        <v>343</v>
      </c>
      <c r="G5" s="495">
        <v>41110</v>
      </c>
      <c r="H5" s="499" t="s">
        <v>139</v>
      </c>
      <c r="I5" s="507">
        <v>40</v>
      </c>
      <c r="J5" s="640">
        <v>1</v>
      </c>
      <c r="K5" s="640">
        <v>17</v>
      </c>
      <c r="L5" s="554">
        <v>232</v>
      </c>
      <c r="M5" s="555">
        <v>36</v>
      </c>
      <c r="N5" s="438">
        <v>344622.31</v>
      </c>
      <c r="O5" s="439">
        <v>39715</v>
      </c>
      <c r="P5" s="512">
        <f t="shared" si="0"/>
        <v>8.67738411179655</v>
      </c>
      <c r="Q5" s="513">
        <v>41285</v>
      </c>
    </row>
    <row r="6" spans="1:17" ht="11.25">
      <c r="A6" s="453">
        <v>5</v>
      </c>
      <c r="B6" s="497"/>
      <c r="C6" s="548" t="s">
        <v>529</v>
      </c>
      <c r="D6" s="492" t="s">
        <v>530</v>
      </c>
      <c r="E6" s="491" t="s">
        <v>81</v>
      </c>
      <c r="F6" s="491" t="s">
        <v>531</v>
      </c>
      <c r="G6" s="495">
        <v>41243</v>
      </c>
      <c r="H6" s="499" t="s">
        <v>139</v>
      </c>
      <c r="I6" s="509">
        <v>3</v>
      </c>
      <c r="J6" s="641">
        <v>2</v>
      </c>
      <c r="K6" s="641">
        <v>7</v>
      </c>
      <c r="L6" s="642">
        <v>2000.8</v>
      </c>
      <c r="M6" s="643">
        <v>400</v>
      </c>
      <c r="N6" s="644">
        <v>26298.609999999997</v>
      </c>
      <c r="O6" s="645">
        <v>2483</v>
      </c>
      <c r="P6" s="515">
        <f t="shared" si="0"/>
        <v>10.591465968586386</v>
      </c>
      <c r="Q6" s="516">
        <v>41306</v>
      </c>
    </row>
    <row r="7" spans="1:17" ht="11.25">
      <c r="A7" s="453">
        <v>6</v>
      </c>
      <c r="B7" s="497"/>
      <c r="C7" s="548" t="s">
        <v>529</v>
      </c>
      <c r="D7" s="506" t="s">
        <v>530</v>
      </c>
      <c r="E7" s="499" t="s">
        <v>81</v>
      </c>
      <c r="F7" s="499" t="s">
        <v>531</v>
      </c>
      <c r="G7" s="508">
        <v>41243</v>
      </c>
      <c r="H7" s="499" t="s">
        <v>139</v>
      </c>
      <c r="I7" s="509">
        <v>3</v>
      </c>
      <c r="J7" s="509">
        <v>1</v>
      </c>
      <c r="K7" s="509">
        <v>8</v>
      </c>
      <c r="L7" s="531">
        <v>1425.6</v>
      </c>
      <c r="M7" s="534">
        <v>285</v>
      </c>
      <c r="N7" s="646">
        <v>27724.209999999995</v>
      </c>
      <c r="O7" s="645">
        <v>2768</v>
      </c>
      <c r="P7" s="512">
        <f t="shared" si="0"/>
        <v>10.015971820809247</v>
      </c>
      <c r="Q7" s="513">
        <v>41341</v>
      </c>
    </row>
    <row r="8" spans="1:17" ht="11.25">
      <c r="A8" s="453">
        <v>7</v>
      </c>
      <c r="B8" s="497"/>
      <c r="C8" s="548" t="s">
        <v>529</v>
      </c>
      <c r="D8" s="492" t="s">
        <v>530</v>
      </c>
      <c r="E8" s="491" t="s">
        <v>81</v>
      </c>
      <c r="F8" s="491" t="s">
        <v>531</v>
      </c>
      <c r="G8" s="495">
        <v>41243</v>
      </c>
      <c r="H8" s="499" t="s">
        <v>139</v>
      </c>
      <c r="I8" s="509">
        <v>3</v>
      </c>
      <c r="J8" s="647">
        <v>1</v>
      </c>
      <c r="K8" s="647">
        <v>6</v>
      </c>
      <c r="L8" s="554">
        <v>412</v>
      </c>
      <c r="M8" s="555">
        <v>39</v>
      </c>
      <c r="N8" s="646">
        <v>24297.809999999998</v>
      </c>
      <c r="O8" s="645">
        <v>2083</v>
      </c>
      <c r="P8" s="512">
        <f t="shared" si="0"/>
        <v>11.664815170427268</v>
      </c>
      <c r="Q8" s="513">
        <v>41278</v>
      </c>
    </row>
    <row r="9" spans="1:17" ht="11.25">
      <c r="A9" s="453">
        <v>8</v>
      </c>
      <c r="B9" s="498"/>
      <c r="C9" s="520" t="s">
        <v>247</v>
      </c>
      <c r="D9" s="490" t="s">
        <v>246</v>
      </c>
      <c r="E9" s="492" t="s">
        <v>69</v>
      </c>
      <c r="F9" s="496" t="s">
        <v>245</v>
      </c>
      <c r="G9" s="495">
        <v>41033</v>
      </c>
      <c r="H9" s="499" t="s">
        <v>59</v>
      </c>
      <c r="I9" s="509">
        <v>53</v>
      </c>
      <c r="J9" s="509">
        <v>3</v>
      </c>
      <c r="K9" s="509">
        <v>27</v>
      </c>
      <c r="L9" s="529">
        <v>9639</v>
      </c>
      <c r="M9" s="514">
        <v>1883</v>
      </c>
      <c r="N9" s="541">
        <f>99591.36+88112.29+39751.25+11026.5+13501.21+6592.03+2871.21+8695.38+965.73+1535.86+399+758+233+1197+1188+168+3564+7597+6094+7128+1782+1414+902+546+1782+3227+9636</f>
        <v>320257.81999999995</v>
      </c>
      <c r="O9" s="547">
        <f>10045+9161+4185+1417+2188+1015+477+1485+164+279+77+132+50+129+238+29+713+1495+1210+1428+356+202+344+113+356+629+1883</f>
        <v>39800</v>
      </c>
      <c r="P9" s="512">
        <f t="shared" si="0"/>
        <v>8.046678894472361</v>
      </c>
      <c r="Q9" s="513">
        <v>41299</v>
      </c>
    </row>
    <row r="10" spans="1:17" ht="11.25">
      <c r="A10" s="453">
        <v>9</v>
      </c>
      <c r="B10" s="498"/>
      <c r="C10" s="520" t="s">
        <v>247</v>
      </c>
      <c r="D10" s="490" t="s">
        <v>246</v>
      </c>
      <c r="E10" s="492" t="s">
        <v>69</v>
      </c>
      <c r="F10" s="496" t="s">
        <v>245</v>
      </c>
      <c r="G10" s="508">
        <v>41033</v>
      </c>
      <c r="H10" s="499" t="s">
        <v>59</v>
      </c>
      <c r="I10" s="509">
        <v>53</v>
      </c>
      <c r="J10" s="509">
        <v>3</v>
      </c>
      <c r="K10" s="509">
        <v>28</v>
      </c>
      <c r="L10" s="510">
        <v>4989.6</v>
      </c>
      <c r="M10" s="514">
        <v>997</v>
      </c>
      <c r="N10" s="535">
        <f>99591.36+88112.29+39751.25+11026.5+13501.21+6592.03+2871.21+8695.38+965.73+1535.86+399+758+233+1197+1188+168+3564+7597+6094+7128+1782+1414+902+546+1782+3227+9636+4989.6</f>
        <v>325247.4199999999</v>
      </c>
      <c r="O10" s="547">
        <f>10045+9161+4185+1417+2188+1015+477+1485+164+279+77+132+50+129+238+29+713+1495+1210+1428+356+202+344+113+356+629+1883+997</f>
        <v>40797</v>
      </c>
      <c r="P10" s="515">
        <f t="shared" si="0"/>
        <v>7.972336691423387</v>
      </c>
      <c r="Q10" s="516">
        <v>41313</v>
      </c>
    </row>
    <row r="11" spans="1:17" ht="11.25">
      <c r="A11" s="453">
        <v>10</v>
      </c>
      <c r="B11" s="498"/>
      <c r="C11" s="520" t="s">
        <v>247</v>
      </c>
      <c r="D11" s="500" t="s">
        <v>246</v>
      </c>
      <c r="E11" s="506" t="s">
        <v>69</v>
      </c>
      <c r="F11" s="560" t="s">
        <v>245</v>
      </c>
      <c r="G11" s="508">
        <v>41033</v>
      </c>
      <c r="H11" s="499" t="s">
        <v>59</v>
      </c>
      <c r="I11" s="509">
        <v>53</v>
      </c>
      <c r="J11" s="517">
        <v>1</v>
      </c>
      <c r="K11" s="517">
        <v>33</v>
      </c>
      <c r="L11" s="529">
        <v>3326.41</v>
      </c>
      <c r="M11" s="514">
        <v>666</v>
      </c>
      <c r="N11" s="541">
        <f>99591.36+88112.29+39751.25+11026.5+13501.21+6592.03+2871.21+8695.38+965.73+1535.86+399+758+233+1197+1188+168+3564+7597+6094+7128+1782+1414+902+546+1782+3227+9636+4989.6+425+2376+1782+3326.4+3326.4</f>
        <v>336483.22</v>
      </c>
      <c r="O11" s="547">
        <f>10045+9161+4185+1417+2188+1015+477+1485+164+279+77+132+50+129+238+29+713+1495+1210+1428+356+202+344+113+356+629+1883+997+25+475+356+666+666</f>
        <v>42985</v>
      </c>
      <c r="P11" s="515">
        <f t="shared" si="0"/>
        <v>7.827921833197626</v>
      </c>
      <c r="Q11" s="516">
        <v>41376</v>
      </c>
    </row>
    <row r="12" spans="1:17" ht="11.25">
      <c r="A12" s="453">
        <v>11</v>
      </c>
      <c r="B12" s="498"/>
      <c r="C12" s="520" t="s">
        <v>247</v>
      </c>
      <c r="D12" s="500" t="s">
        <v>246</v>
      </c>
      <c r="E12" s="506" t="s">
        <v>69</v>
      </c>
      <c r="F12" s="560" t="s">
        <v>245</v>
      </c>
      <c r="G12" s="508">
        <v>41033</v>
      </c>
      <c r="H12" s="499" t="s">
        <v>59</v>
      </c>
      <c r="I12" s="509">
        <v>53</v>
      </c>
      <c r="J12" s="517">
        <v>1</v>
      </c>
      <c r="K12" s="517">
        <v>32</v>
      </c>
      <c r="L12" s="529">
        <v>3326.4</v>
      </c>
      <c r="M12" s="514">
        <v>666</v>
      </c>
      <c r="N12" s="541">
        <f>99591.36+88112.29+39751.25+11026.5+13501.21+6592.03+2871.21+8695.38+965.73+1535.86+399+758+233+1197+1188+168+3564+7597+6094+7128+1782+1414+902+546+1782+3227+9636+4989.6+425+2376+1782+3326.4</f>
        <v>333156.81999999995</v>
      </c>
      <c r="O12" s="547">
        <f>10045+9161+4185+1417+2188+1015+477+1485+164+279+77+132+50+129+238+29+713+1495+1210+1428+356+202+344+113+356+629+1883+997+25+475+356+666</f>
        <v>42319</v>
      </c>
      <c r="P12" s="515">
        <f t="shared" si="0"/>
        <v>7.872511637798624</v>
      </c>
      <c r="Q12" s="516">
        <v>41355</v>
      </c>
    </row>
    <row r="13" spans="1:17" ht="11.25">
      <c r="A13" s="453">
        <v>12</v>
      </c>
      <c r="B13" s="498"/>
      <c r="C13" s="520" t="s">
        <v>247</v>
      </c>
      <c r="D13" s="490" t="s">
        <v>246</v>
      </c>
      <c r="E13" s="492" t="s">
        <v>69</v>
      </c>
      <c r="F13" s="496" t="s">
        <v>245</v>
      </c>
      <c r="G13" s="495">
        <v>41033</v>
      </c>
      <c r="H13" s="499" t="s">
        <v>59</v>
      </c>
      <c r="I13" s="509">
        <v>53</v>
      </c>
      <c r="J13" s="509">
        <v>2</v>
      </c>
      <c r="K13" s="509">
        <v>26</v>
      </c>
      <c r="L13" s="529">
        <v>3227</v>
      </c>
      <c r="M13" s="514">
        <v>629</v>
      </c>
      <c r="N13" s="539">
        <f>99591.36+88112.29+39751.25+11026.5+13501.21+6592.03+2871.21+8695.38+965.73+1535.86+399+758+233+1197+1188+168+3564+7597+6094+7128+1782+1414+902+546+1782+3227</f>
        <v>310621.81999999995</v>
      </c>
      <c r="O13" s="545">
        <f>10045+9161+4185+1417+2188+1015+477+1485+164+279+77+132+50+129+238+29+713+1495+1210+1428+356+202+344+113+356+629</f>
        <v>37917</v>
      </c>
      <c r="P13" s="512">
        <f t="shared" si="0"/>
        <v>8.192151805258854</v>
      </c>
      <c r="Q13" s="513">
        <v>41292</v>
      </c>
    </row>
    <row r="14" spans="1:17" ht="11.25">
      <c r="A14" s="453">
        <v>13</v>
      </c>
      <c r="B14" s="498"/>
      <c r="C14" s="520" t="s">
        <v>247</v>
      </c>
      <c r="D14" s="500" t="s">
        <v>246</v>
      </c>
      <c r="E14" s="506" t="s">
        <v>69</v>
      </c>
      <c r="F14" s="560" t="s">
        <v>245</v>
      </c>
      <c r="G14" s="508">
        <v>41033</v>
      </c>
      <c r="H14" s="499" t="s">
        <v>59</v>
      </c>
      <c r="I14" s="509">
        <v>53</v>
      </c>
      <c r="J14" s="509">
        <v>1</v>
      </c>
      <c r="K14" s="509">
        <v>30</v>
      </c>
      <c r="L14" s="510">
        <v>2376</v>
      </c>
      <c r="M14" s="511">
        <v>475</v>
      </c>
      <c r="N14" s="535">
        <f>99591.36+88112.29+39751.25+11026.5+13501.21+6592.03+2871.21+8695.38+965.73+1535.86+399+758+233+1197+1188+168+3564+7597+6094+7128+1782+1414+902+546+1782+3227+9636+4989.6+425+2376</f>
        <v>328048.4199999999</v>
      </c>
      <c r="O14" s="542">
        <f>10045+9161+4185+1417+2188+1015+477+1485+164+279+77+132+50+129+238+29+713+1495+1210+1428+356+202+344+113+356+629+1883+997+25+475</f>
        <v>41297</v>
      </c>
      <c r="P14" s="512">
        <f t="shared" si="0"/>
        <v>7.943638036661257</v>
      </c>
      <c r="Q14" s="513">
        <v>41341</v>
      </c>
    </row>
    <row r="15" spans="1:17" ht="11.25">
      <c r="A15" s="453">
        <v>14</v>
      </c>
      <c r="B15" s="498"/>
      <c r="C15" s="520" t="s">
        <v>247</v>
      </c>
      <c r="D15" s="490" t="s">
        <v>246</v>
      </c>
      <c r="E15" s="492" t="s">
        <v>69</v>
      </c>
      <c r="F15" s="496" t="s">
        <v>245</v>
      </c>
      <c r="G15" s="495">
        <v>41033</v>
      </c>
      <c r="H15" s="499" t="s">
        <v>59</v>
      </c>
      <c r="I15" s="509">
        <v>53</v>
      </c>
      <c r="J15" s="509">
        <v>1</v>
      </c>
      <c r="K15" s="509">
        <v>25</v>
      </c>
      <c r="L15" s="529">
        <v>1782</v>
      </c>
      <c r="M15" s="514">
        <v>356</v>
      </c>
      <c r="N15" s="535">
        <f>99591.36+88112.29+39751.25+11026.5+13501.21+6592.03+2871.21+8695.38+965.73+1535.86+399+758+233+1197+1188+168+3564+7597+6094+7128+1782+1414+902+546+1782</f>
        <v>307394.81999999995</v>
      </c>
      <c r="O15" s="542">
        <f>10045+9161+4185+1417+2188+1015+477+1485+164+279+77+132+50+129+238+29+713+1495+1210+1428+356+202+344+113+356</f>
        <v>37288</v>
      </c>
      <c r="P15" s="512">
        <f t="shared" si="0"/>
        <v>8.243800150182363</v>
      </c>
      <c r="Q15" s="513">
        <v>41278</v>
      </c>
    </row>
    <row r="16" spans="1:17" ht="11.25">
      <c r="A16" s="453">
        <v>15</v>
      </c>
      <c r="B16" s="498"/>
      <c r="C16" s="520" t="s">
        <v>247</v>
      </c>
      <c r="D16" s="500" t="s">
        <v>246</v>
      </c>
      <c r="E16" s="506" t="s">
        <v>69</v>
      </c>
      <c r="F16" s="560" t="s">
        <v>245</v>
      </c>
      <c r="G16" s="508">
        <v>41033</v>
      </c>
      <c r="H16" s="499" t="s">
        <v>59</v>
      </c>
      <c r="I16" s="509">
        <v>53</v>
      </c>
      <c r="J16" s="509">
        <v>1</v>
      </c>
      <c r="K16" s="509">
        <v>31</v>
      </c>
      <c r="L16" s="648">
        <v>1782</v>
      </c>
      <c r="M16" s="649">
        <v>356</v>
      </c>
      <c r="N16" s="539">
        <f>99591.36+88112.29+39751.25+11026.5+13501.21+6592.03+2871.21+8695.38+965.73+1535.86+399+758+233+1197+1188+168+3564+7597+6094+7128+1782+1414+902+546+1782+3227+9636+4989.6+425+2376+1782</f>
        <v>329830.4199999999</v>
      </c>
      <c r="O16" s="545">
        <f>10045+9161+4185+1417+2188+1015+477+1485+164+279+77+132+50+129+238+29+713+1495+1210+1428+356+202+344+113+356+629+1883+997+25+475+356</f>
        <v>41653</v>
      </c>
      <c r="P16" s="512">
        <f t="shared" si="0"/>
        <v>7.918527356973085</v>
      </c>
      <c r="Q16" s="513">
        <v>41348</v>
      </c>
    </row>
    <row r="17" spans="1:17" ht="11.25">
      <c r="A17" s="453">
        <v>16</v>
      </c>
      <c r="B17" s="498"/>
      <c r="C17" s="520" t="s">
        <v>247</v>
      </c>
      <c r="D17" s="500" t="s">
        <v>246</v>
      </c>
      <c r="E17" s="506" t="s">
        <v>69</v>
      </c>
      <c r="F17" s="560" t="s">
        <v>245</v>
      </c>
      <c r="G17" s="508">
        <v>41033</v>
      </c>
      <c r="H17" s="499" t="s">
        <v>59</v>
      </c>
      <c r="I17" s="509">
        <v>53</v>
      </c>
      <c r="J17" s="509">
        <v>2</v>
      </c>
      <c r="K17" s="509">
        <v>35</v>
      </c>
      <c r="L17" s="510">
        <v>1442.6</v>
      </c>
      <c r="M17" s="511">
        <v>302</v>
      </c>
      <c r="N17" s="535">
        <f>99591.36+88112.29+39751.25+11026.5+13501.21+6592.03+2871.21+8695.38+965.73+1535.86+399+758+233+1197+1188+168+3564+7597+6094+7128+1782+1414+902+546+1782+3227+9636+4989.6+425+2376+1782+3326.4+3326.41+720+1442.6</f>
        <v>338645.8299999999</v>
      </c>
      <c r="O17" s="542">
        <f>10045+9161+4185+1417+2188+1015+477+1485+164+279+77+132+50+129+238+29+713+1495+1210+1428+356+202+344+113+356+629+1883+997+25+475+356+666+666+144+302</f>
        <v>43431</v>
      </c>
      <c r="P17" s="512">
        <f t="shared" si="0"/>
        <v>7.797329787478987</v>
      </c>
      <c r="Q17" s="513">
        <v>41390</v>
      </c>
    </row>
    <row r="18" spans="1:17" ht="11.25">
      <c r="A18" s="453">
        <v>17</v>
      </c>
      <c r="B18" s="497"/>
      <c r="C18" s="518" t="s">
        <v>247</v>
      </c>
      <c r="D18" s="506" t="s">
        <v>1042</v>
      </c>
      <c r="E18" s="500" t="s">
        <v>69</v>
      </c>
      <c r="F18" s="525" t="s">
        <v>245</v>
      </c>
      <c r="G18" s="526">
        <v>41033</v>
      </c>
      <c r="H18" s="499" t="s">
        <v>59</v>
      </c>
      <c r="I18" s="509">
        <v>53</v>
      </c>
      <c r="J18" s="650">
        <v>1</v>
      </c>
      <c r="K18" s="650">
        <v>36</v>
      </c>
      <c r="L18" s="503">
        <v>1188</v>
      </c>
      <c r="M18" s="504">
        <v>238</v>
      </c>
      <c r="N18" s="538">
        <f>99591.36+88112.29+39751.25+11026.5+13501.21+6592.03+2871.21+8695.38+965.73+1535.86+399+758+233+1197+1188+168+3564+7597+6094+7128+1782+1414+902+546+1782+3227+9636+4989.6+425+2376+1782+3326.4+3326.41+720+1442.6+1188</f>
        <v>339833.8299999999</v>
      </c>
      <c r="O18" s="544">
        <f>10045+9161+4185+1417+2188+1015+477+1485+164+279+77+132+50+129+238+29+713+1495+1210+1428+356+202+344+113+356+629+1883+997+25+475+356+666+666+144+302+238</f>
        <v>43669</v>
      </c>
      <c r="P18" s="371">
        <f t="shared" si="0"/>
        <v>7.782038288030408</v>
      </c>
      <c r="Q18" s="372">
        <v>41446</v>
      </c>
    </row>
    <row r="19" spans="1:17" ht="11.25">
      <c r="A19" s="453">
        <v>18</v>
      </c>
      <c r="B19" s="498"/>
      <c r="C19" s="520" t="s">
        <v>247</v>
      </c>
      <c r="D19" s="500" t="s">
        <v>246</v>
      </c>
      <c r="E19" s="506" t="s">
        <v>69</v>
      </c>
      <c r="F19" s="560" t="s">
        <v>245</v>
      </c>
      <c r="G19" s="508">
        <v>41033</v>
      </c>
      <c r="H19" s="499" t="s">
        <v>59</v>
      </c>
      <c r="I19" s="509">
        <v>53</v>
      </c>
      <c r="J19" s="517">
        <v>1</v>
      </c>
      <c r="K19" s="517">
        <v>34</v>
      </c>
      <c r="L19" s="529">
        <v>720</v>
      </c>
      <c r="M19" s="514">
        <v>144</v>
      </c>
      <c r="N19" s="541">
        <f>99591.36+88112.29+39751.25+11026.5+13501.21+6592.03+2871.21+8695.38+965.73+1535.86+399+758+233+1197+1188+168+3564+7597+6094+7128+1782+1414+902+546+1782+3227+9636+4989.6+425+2376+1782+3326.4+3326.4</f>
        <v>336483.22</v>
      </c>
      <c r="O19" s="547">
        <f>10045+9161+4185+1417+2188+1015+477+1485+164+279+77+132+50+129+238+29+713+1495+1210+1428+356+202+344+113+356+629+1883+997+25+475+356+666+666</f>
        <v>42985</v>
      </c>
      <c r="P19" s="515">
        <f t="shared" si="0"/>
        <v>7.827921833197626</v>
      </c>
      <c r="Q19" s="516">
        <v>41383</v>
      </c>
    </row>
    <row r="20" spans="1:17" ht="11.25">
      <c r="A20" s="453">
        <v>19</v>
      </c>
      <c r="B20" s="498"/>
      <c r="C20" s="520" t="s">
        <v>247</v>
      </c>
      <c r="D20" s="500" t="s">
        <v>246</v>
      </c>
      <c r="E20" s="506" t="s">
        <v>69</v>
      </c>
      <c r="F20" s="560" t="s">
        <v>245</v>
      </c>
      <c r="G20" s="508">
        <v>41033</v>
      </c>
      <c r="H20" s="499" t="s">
        <v>59</v>
      </c>
      <c r="I20" s="509">
        <v>53</v>
      </c>
      <c r="J20" s="509">
        <v>1</v>
      </c>
      <c r="K20" s="509">
        <v>29</v>
      </c>
      <c r="L20" s="510">
        <v>425</v>
      </c>
      <c r="M20" s="511">
        <v>25</v>
      </c>
      <c r="N20" s="535">
        <f>99591.36+88112.29+39751.25+11026.5+13501.21+6592.03+2871.21+8695.38+965.73+1535.86+399+758+233+1197+1188+168+3564+7597+6094+7128+1782+1414+902+546+1782+3227+9636+4989.6+425</f>
        <v>325672.4199999999</v>
      </c>
      <c r="O20" s="542">
        <f>10045+9161+4185+1417+2188+1015+477+1485+164+279+77+132+50+129+238+29+713+1495+1210+1428+356+202+344+113+356+629+1883+997+25</f>
        <v>40822</v>
      </c>
      <c r="P20" s="512">
        <f t="shared" si="0"/>
        <v>7.977865366714025</v>
      </c>
      <c r="Q20" s="513">
        <v>41327</v>
      </c>
    </row>
    <row r="21" spans="1:17" ht="11.25">
      <c r="A21" s="453">
        <v>20</v>
      </c>
      <c r="B21" s="497" t="s">
        <v>48</v>
      </c>
      <c r="C21" s="458" t="s">
        <v>545</v>
      </c>
      <c r="D21" s="524" t="s">
        <v>546</v>
      </c>
      <c r="E21" s="524"/>
      <c r="F21" s="392" t="s">
        <v>545</v>
      </c>
      <c r="G21" s="493">
        <v>41250</v>
      </c>
      <c r="H21" s="499" t="s">
        <v>59</v>
      </c>
      <c r="I21" s="509">
        <v>97</v>
      </c>
      <c r="J21" s="575">
        <v>4</v>
      </c>
      <c r="K21" s="575">
        <v>5</v>
      </c>
      <c r="L21" s="529">
        <v>568</v>
      </c>
      <c r="M21" s="514">
        <v>94</v>
      </c>
      <c r="N21" s="535">
        <f>193945.17+91970.88+22898.23+6642.5+568</f>
        <v>316024.78</v>
      </c>
      <c r="O21" s="542">
        <f>21584+10918+3102+928+94</f>
        <v>36626</v>
      </c>
      <c r="P21" s="512">
        <f t="shared" si="0"/>
        <v>8.628427346693606</v>
      </c>
      <c r="Q21" s="513">
        <v>41278</v>
      </c>
    </row>
    <row r="22" spans="1:17" ht="11.25">
      <c r="A22" s="453">
        <v>21</v>
      </c>
      <c r="B22" s="497" t="s">
        <v>48</v>
      </c>
      <c r="C22" s="458" t="s">
        <v>545</v>
      </c>
      <c r="D22" s="524" t="s">
        <v>546</v>
      </c>
      <c r="E22" s="524"/>
      <c r="F22" s="392" t="s">
        <v>545</v>
      </c>
      <c r="G22" s="493">
        <v>41250</v>
      </c>
      <c r="H22" s="499" t="s">
        <v>59</v>
      </c>
      <c r="I22" s="509">
        <v>97</v>
      </c>
      <c r="J22" s="509">
        <v>2</v>
      </c>
      <c r="K22" s="509">
        <v>6</v>
      </c>
      <c r="L22" s="529">
        <v>163</v>
      </c>
      <c r="M22" s="514">
        <v>39</v>
      </c>
      <c r="N22" s="541">
        <f>193945.17+91970.88+22898.23+6642.5+568+163</f>
        <v>316187.78</v>
      </c>
      <c r="O22" s="547">
        <f>21584+10918+3102+928+94+39</f>
        <v>36665</v>
      </c>
      <c r="P22" s="512">
        <f t="shared" si="0"/>
        <v>8.623695077048957</v>
      </c>
      <c r="Q22" s="513">
        <v>41285</v>
      </c>
    </row>
    <row r="23" spans="1:17" ht="11.25">
      <c r="A23" s="453">
        <v>22</v>
      </c>
      <c r="B23" s="497" t="s">
        <v>48</v>
      </c>
      <c r="C23" s="458" t="s">
        <v>545</v>
      </c>
      <c r="D23" s="524" t="s">
        <v>546</v>
      </c>
      <c r="E23" s="524"/>
      <c r="F23" s="392" t="s">
        <v>545</v>
      </c>
      <c r="G23" s="493">
        <v>41250</v>
      </c>
      <c r="H23" s="499" t="s">
        <v>59</v>
      </c>
      <c r="I23" s="509">
        <v>97</v>
      </c>
      <c r="J23" s="509">
        <v>1</v>
      </c>
      <c r="K23" s="509">
        <v>7</v>
      </c>
      <c r="L23" s="529">
        <v>65</v>
      </c>
      <c r="M23" s="514">
        <v>9</v>
      </c>
      <c r="N23" s="541">
        <f>193945.17+91970.88+22898.23+6642.5+568+163+65</f>
        <v>316252.78</v>
      </c>
      <c r="O23" s="547">
        <f>21584+10918+3102+928+94+39+9</f>
        <v>36674</v>
      </c>
      <c r="P23" s="512">
        <f t="shared" si="0"/>
        <v>8.623351147952228</v>
      </c>
      <c r="Q23" s="513">
        <v>41299</v>
      </c>
    </row>
    <row r="24" spans="1:17" ht="11.25">
      <c r="A24" s="453">
        <v>23</v>
      </c>
      <c r="B24" s="497" t="s">
        <v>48</v>
      </c>
      <c r="C24" s="548" t="s">
        <v>61</v>
      </c>
      <c r="D24" s="499" t="s">
        <v>1095</v>
      </c>
      <c r="E24" s="499"/>
      <c r="F24" s="499" t="s">
        <v>61</v>
      </c>
      <c r="G24" s="526">
        <v>40851</v>
      </c>
      <c r="H24" s="499" t="s">
        <v>47</v>
      </c>
      <c r="I24" s="509">
        <v>247</v>
      </c>
      <c r="J24" s="575">
        <v>1</v>
      </c>
      <c r="K24" s="575">
        <v>26</v>
      </c>
      <c r="L24" s="531">
        <v>1201</v>
      </c>
      <c r="M24" s="534">
        <v>237</v>
      </c>
      <c r="N24" s="550">
        <f>2260223+2366876.75+3859638+3137342+1906742.5+252.25+1189485.5+474275+250512+184428+13126+754+5006+188+4804+3604+350+2402+2402+2402+282+53+1201+1527+137+1201</f>
        <v>15669214</v>
      </c>
      <c r="O24" s="552">
        <f>286038+329194+554088+452220+278080+42+178270+68355+40409+33224+1975+104+988+22+960+721+70+480+480+481+94+10+240+305+26+237</f>
        <v>2227113</v>
      </c>
      <c r="P24" s="512">
        <f t="shared" si="0"/>
        <v>7.035661863587523</v>
      </c>
      <c r="Q24" s="513">
        <v>41467</v>
      </c>
    </row>
    <row r="25" spans="1:17" ht="11.25">
      <c r="A25" s="453">
        <v>24</v>
      </c>
      <c r="B25" s="497"/>
      <c r="C25" s="518" t="s">
        <v>86</v>
      </c>
      <c r="D25" s="506" t="s">
        <v>376</v>
      </c>
      <c r="E25" s="507"/>
      <c r="F25" s="519" t="s">
        <v>87</v>
      </c>
      <c r="G25" s="508">
        <v>40893</v>
      </c>
      <c r="H25" s="499" t="s">
        <v>59</v>
      </c>
      <c r="I25" s="509">
        <v>131</v>
      </c>
      <c r="J25" s="517">
        <v>2</v>
      </c>
      <c r="K25" s="517">
        <v>33</v>
      </c>
      <c r="L25" s="529">
        <v>2383.2</v>
      </c>
      <c r="M25" s="514">
        <v>477</v>
      </c>
      <c r="N25" s="541">
        <f>1320389+1047397.5+530759.5+445722+254656.5+279760.5+107391.5+47477+25130+6341+19078.5+7416+6006+4427+9183+263+1814+713+392+474+126+4052+3564+108+902+1782+314+1903+679+950.5+1663.2+2376+2383.2</f>
        <v>4135593.9000000004</v>
      </c>
      <c r="O25" s="547">
        <f>139659+113627+60100+49146+32088+35564+15150+6705+3672+1942+4389+1420+1179+871+1748+38+361+142+28+79+21+668+714+18+171+356+62+379+133+190+333+476+477</f>
        <v>471906</v>
      </c>
      <c r="P25" s="515">
        <f t="shared" si="0"/>
        <v>8.763596775629045</v>
      </c>
      <c r="Q25" s="516">
        <v>41383</v>
      </c>
    </row>
    <row r="26" spans="1:17" ht="11.25">
      <c r="A26" s="453">
        <v>25</v>
      </c>
      <c r="B26" s="497"/>
      <c r="C26" s="518" t="s">
        <v>86</v>
      </c>
      <c r="D26" s="506" t="s">
        <v>376</v>
      </c>
      <c r="E26" s="507"/>
      <c r="F26" s="519" t="s">
        <v>87</v>
      </c>
      <c r="G26" s="508">
        <v>40893</v>
      </c>
      <c r="H26" s="499" t="s">
        <v>59</v>
      </c>
      <c r="I26" s="509">
        <v>131</v>
      </c>
      <c r="J26" s="517">
        <v>2</v>
      </c>
      <c r="K26" s="517">
        <v>32</v>
      </c>
      <c r="L26" s="529">
        <v>2376</v>
      </c>
      <c r="M26" s="514">
        <v>476</v>
      </c>
      <c r="N26" s="541">
        <f>1320389+1047397.5+530759.5+445722+254656.5+279760.5+107391.5+47477+25130+6341+19078.5+7416+6006+4427+9183+263+1814+713+392+474+126+4052+3564+108+902+1782+314+1903+679+950.5+1663.2+2376</f>
        <v>4133210.7</v>
      </c>
      <c r="O26" s="547">
        <f>139659+113627+60100+49146+32088+35564+15150+6705+3672+1942+4389+1420+1179+871+1748+38+361+142+28+79+21+668+714+18+171+356+62+379+133+190+333+476</f>
        <v>471429</v>
      </c>
      <c r="P26" s="515">
        <f t="shared" si="0"/>
        <v>8.767408665992122</v>
      </c>
      <c r="Q26" s="516">
        <v>41376</v>
      </c>
    </row>
    <row r="27" spans="1:17" ht="11.25">
      <c r="A27" s="453">
        <v>26</v>
      </c>
      <c r="B27" s="497"/>
      <c r="C27" s="518" t="s">
        <v>86</v>
      </c>
      <c r="D27" s="492" t="s">
        <v>376</v>
      </c>
      <c r="E27" s="339"/>
      <c r="F27" s="392" t="s">
        <v>87</v>
      </c>
      <c r="G27" s="495">
        <v>40893</v>
      </c>
      <c r="H27" s="499" t="s">
        <v>59</v>
      </c>
      <c r="I27" s="509">
        <v>131</v>
      </c>
      <c r="J27" s="509">
        <v>2</v>
      </c>
      <c r="K27" s="509">
        <v>28</v>
      </c>
      <c r="L27" s="529">
        <v>1903</v>
      </c>
      <c r="M27" s="514">
        <v>379</v>
      </c>
      <c r="N27" s="535">
        <f>1320389+1047397.5+530759.5+445722+254656.5+279760.5+107391.5+47477+25130+6341+19078.5+7416+6006+4427+9183+263+1814+713+392+474+126+4052+3564+108+902+1782+314+1903</f>
        <v>4127542</v>
      </c>
      <c r="O27" s="542">
        <f>139659+113627+60100+49146+32088+35564+15150+6705+3672+1942+4389+1420+1179+871+1748+38+361+142+28+79+21+668+714+18+171+356+62+379</f>
        <v>470297</v>
      </c>
      <c r="P27" s="512">
        <f t="shared" si="0"/>
        <v>8.776458280618417</v>
      </c>
      <c r="Q27" s="513">
        <v>41278</v>
      </c>
    </row>
    <row r="28" spans="1:17" ht="11.25">
      <c r="A28" s="453">
        <v>27</v>
      </c>
      <c r="B28" s="497"/>
      <c r="C28" s="518" t="s">
        <v>86</v>
      </c>
      <c r="D28" s="506" t="s">
        <v>376</v>
      </c>
      <c r="E28" s="507"/>
      <c r="F28" s="519" t="s">
        <v>87</v>
      </c>
      <c r="G28" s="508">
        <v>40893</v>
      </c>
      <c r="H28" s="499" t="s">
        <v>59</v>
      </c>
      <c r="I28" s="509">
        <v>131</v>
      </c>
      <c r="J28" s="517">
        <v>1</v>
      </c>
      <c r="K28" s="517">
        <v>31</v>
      </c>
      <c r="L28" s="510">
        <v>1663.2</v>
      </c>
      <c r="M28" s="511">
        <v>333</v>
      </c>
      <c r="N28" s="535">
        <f>1320389+1047397.5+530759.5+445722+254656.5+279760.5+107391.5+47477+25130+6341+19078.5+7416+6006+4427+9183+263+1814+713+392+474+126+4052+3564+108+902+1782+314+1903+679+950.5+1663.2</f>
        <v>4130834.7</v>
      </c>
      <c r="O28" s="542">
        <f>139659+113627+60100+49146+32088+35564+15150+6705+3672+1942+4389+1420+1179+871+1748+38+361+142+28+79+21+668+714+18+171+356+62+379+133+190+333</f>
        <v>470953</v>
      </c>
      <c r="P28" s="512">
        <f t="shared" si="0"/>
        <v>8.771224941767013</v>
      </c>
      <c r="Q28" s="513">
        <v>41369</v>
      </c>
    </row>
    <row r="29" spans="1:17" ht="11.25">
      <c r="A29" s="453">
        <v>28</v>
      </c>
      <c r="B29" s="497"/>
      <c r="C29" s="518" t="s">
        <v>86</v>
      </c>
      <c r="D29" s="492" t="s">
        <v>376</v>
      </c>
      <c r="E29" s="339"/>
      <c r="F29" s="392" t="s">
        <v>87</v>
      </c>
      <c r="G29" s="495">
        <v>40893</v>
      </c>
      <c r="H29" s="499" t="s">
        <v>59</v>
      </c>
      <c r="I29" s="509">
        <v>131</v>
      </c>
      <c r="J29" s="509">
        <v>1</v>
      </c>
      <c r="K29" s="509">
        <v>30</v>
      </c>
      <c r="L29" s="529">
        <v>950.5</v>
      </c>
      <c r="M29" s="514">
        <v>190</v>
      </c>
      <c r="N29" s="539">
        <f>1320389+1047397.5+530759.5+445722+254656.5+279760.5+107391.5+47477+25130+6341+19078.5+7416+6006+4427+9183+263+1814+713+392+474+126+4052+3564+108+902+1782+314+1903+679+950.5</f>
        <v>4129171.5</v>
      </c>
      <c r="O29" s="545">
        <f>139659+113627+60100+49146+32088+35564+15150+6705+3672+1942+4389+1420+1179+871+1748+38+361+142+28+79+21+668+714+18+171+356+62+379+133+190</f>
        <v>470620</v>
      </c>
      <c r="P29" s="512">
        <f t="shared" si="0"/>
        <v>8.773897199439038</v>
      </c>
      <c r="Q29" s="513">
        <v>41292</v>
      </c>
    </row>
    <row r="30" spans="1:17" ht="11.25">
      <c r="A30" s="453">
        <v>29</v>
      </c>
      <c r="B30" s="497"/>
      <c r="C30" s="518" t="s">
        <v>86</v>
      </c>
      <c r="D30" s="492" t="s">
        <v>376</v>
      </c>
      <c r="E30" s="339"/>
      <c r="F30" s="392" t="s">
        <v>87</v>
      </c>
      <c r="G30" s="495">
        <v>40893</v>
      </c>
      <c r="H30" s="499" t="s">
        <v>59</v>
      </c>
      <c r="I30" s="509">
        <v>131</v>
      </c>
      <c r="J30" s="509">
        <v>1</v>
      </c>
      <c r="K30" s="509">
        <v>29</v>
      </c>
      <c r="L30" s="529">
        <v>679</v>
      </c>
      <c r="M30" s="514">
        <v>133</v>
      </c>
      <c r="N30" s="541">
        <f>1320389+1047397.5+530759.5+445722+254656.5+279760.5+107391.5+47477+25130+6341+19078.5+7416+6006+4427+9183+263+1814+713+392+474+126+4052+3564+108+902+1782+314+1903+679</f>
        <v>4128221</v>
      </c>
      <c r="O30" s="547">
        <f>139659+113627+60100+49146+32088+35564+15150+6705+3672+1942+4389+1420+1179+871+1748+38+361+142+28+79+21+668+714+18+171+356+62+379+133</f>
        <v>470430</v>
      </c>
      <c r="P30" s="512">
        <f t="shared" si="0"/>
        <v>8.775420360096083</v>
      </c>
      <c r="Q30" s="513">
        <v>41285</v>
      </c>
    </row>
    <row r="31" spans="1:17" ht="11.25">
      <c r="A31" s="453">
        <v>30</v>
      </c>
      <c r="B31" s="497"/>
      <c r="C31" s="518" t="s">
        <v>86</v>
      </c>
      <c r="D31" s="506" t="s">
        <v>376</v>
      </c>
      <c r="E31" s="507"/>
      <c r="F31" s="519" t="s">
        <v>87</v>
      </c>
      <c r="G31" s="508">
        <v>40893</v>
      </c>
      <c r="H31" s="499" t="s">
        <v>59</v>
      </c>
      <c r="I31" s="509">
        <v>131</v>
      </c>
      <c r="J31" s="509">
        <v>1</v>
      </c>
      <c r="K31" s="509">
        <v>34</v>
      </c>
      <c r="L31" s="510">
        <v>18</v>
      </c>
      <c r="M31" s="511">
        <v>18</v>
      </c>
      <c r="N31" s="535">
        <f>1320389+1047397.5+530759.5+445722+254656.5+279760.5+107391.5+47477+25130+6341+19078.5+7416+6006+4427+9183+263+1814+713+392+474+126+4052+3564+108+902+1782+314+1903+679+950.5+1663.2+2376+2383.2+18</f>
        <v>4135611.9000000004</v>
      </c>
      <c r="O31" s="542">
        <f>139659+113627+60100+49146+32088+35564+15150+6705+3672+1942+4389+1420+1179+871+1748+38+361+142+28+79+21+668+714+18+171+356+62+379+133+190+333+476+477+18</f>
        <v>471924</v>
      </c>
      <c r="P31" s="512">
        <f t="shared" si="0"/>
        <v>8.76330065858062</v>
      </c>
      <c r="Q31" s="513">
        <v>41390</v>
      </c>
    </row>
    <row r="32" spans="1:17" ht="11.25">
      <c r="A32" s="453">
        <v>31</v>
      </c>
      <c r="B32" s="497"/>
      <c r="C32" s="518" t="s">
        <v>319</v>
      </c>
      <c r="D32" s="492" t="s">
        <v>266</v>
      </c>
      <c r="E32" s="490" t="s">
        <v>73</v>
      </c>
      <c r="F32" s="494" t="s">
        <v>318</v>
      </c>
      <c r="G32" s="493">
        <v>41096</v>
      </c>
      <c r="H32" s="499" t="s">
        <v>10</v>
      </c>
      <c r="I32" s="506">
        <v>281</v>
      </c>
      <c r="J32" s="382">
        <v>1</v>
      </c>
      <c r="K32" s="382">
        <v>19</v>
      </c>
      <c r="L32" s="529">
        <v>2976</v>
      </c>
      <c r="M32" s="511">
        <v>744</v>
      </c>
      <c r="N32" s="541">
        <v>5342761</v>
      </c>
      <c r="O32" s="542">
        <v>496894</v>
      </c>
      <c r="P32" s="515">
        <f t="shared" si="0"/>
        <v>10.752315383160191</v>
      </c>
      <c r="Q32" s="516">
        <v>41306</v>
      </c>
    </row>
    <row r="33" spans="1:17" ht="11.25">
      <c r="A33" s="453">
        <v>32</v>
      </c>
      <c r="B33" s="497"/>
      <c r="C33" s="548" t="s">
        <v>572</v>
      </c>
      <c r="D33" s="492" t="s">
        <v>574</v>
      </c>
      <c r="E33" s="496" t="s">
        <v>81</v>
      </c>
      <c r="F33" s="491" t="s">
        <v>573</v>
      </c>
      <c r="G33" s="495">
        <v>41271</v>
      </c>
      <c r="H33" s="499" t="s">
        <v>139</v>
      </c>
      <c r="I33" s="509">
        <v>3</v>
      </c>
      <c r="J33" s="640">
        <v>3</v>
      </c>
      <c r="K33" s="640">
        <v>2</v>
      </c>
      <c r="L33" s="554">
        <v>49986.5</v>
      </c>
      <c r="M33" s="555">
        <v>4158</v>
      </c>
      <c r="N33" s="646">
        <v>104648.5</v>
      </c>
      <c r="O33" s="645">
        <v>8640</v>
      </c>
      <c r="P33" s="512">
        <f t="shared" si="0"/>
        <v>12.112094907407407</v>
      </c>
      <c r="Q33" s="513">
        <v>41278</v>
      </c>
    </row>
    <row r="34" spans="1:17" ht="11.25">
      <c r="A34" s="453">
        <v>33</v>
      </c>
      <c r="B34" s="497"/>
      <c r="C34" s="548" t="s">
        <v>572</v>
      </c>
      <c r="D34" s="492" t="s">
        <v>574</v>
      </c>
      <c r="E34" s="496" t="s">
        <v>81</v>
      </c>
      <c r="F34" s="491" t="s">
        <v>573</v>
      </c>
      <c r="G34" s="495">
        <v>41271</v>
      </c>
      <c r="H34" s="499" t="s">
        <v>139</v>
      </c>
      <c r="I34" s="509">
        <v>3</v>
      </c>
      <c r="J34" s="640">
        <v>3</v>
      </c>
      <c r="K34" s="640">
        <v>3</v>
      </c>
      <c r="L34" s="554">
        <v>44447</v>
      </c>
      <c r="M34" s="555">
        <v>3731</v>
      </c>
      <c r="N34" s="438">
        <v>149095.5</v>
      </c>
      <c r="O34" s="439">
        <v>12371</v>
      </c>
      <c r="P34" s="512">
        <f t="shared" si="0"/>
        <v>12.052016813515479</v>
      </c>
      <c r="Q34" s="513">
        <v>41285</v>
      </c>
    </row>
    <row r="35" spans="1:17" ht="11.25">
      <c r="A35" s="453">
        <v>34</v>
      </c>
      <c r="B35" s="497"/>
      <c r="C35" s="548" t="s">
        <v>572</v>
      </c>
      <c r="D35" s="492" t="s">
        <v>574</v>
      </c>
      <c r="E35" s="496" t="s">
        <v>81</v>
      </c>
      <c r="F35" s="491" t="s">
        <v>573</v>
      </c>
      <c r="G35" s="495">
        <v>41271</v>
      </c>
      <c r="H35" s="499" t="s">
        <v>139</v>
      </c>
      <c r="I35" s="509">
        <v>3</v>
      </c>
      <c r="J35" s="640">
        <v>3</v>
      </c>
      <c r="K35" s="640">
        <v>4</v>
      </c>
      <c r="L35" s="642">
        <v>32487</v>
      </c>
      <c r="M35" s="651">
        <v>2778</v>
      </c>
      <c r="N35" s="644">
        <v>181582.5</v>
      </c>
      <c r="O35" s="652">
        <v>15149</v>
      </c>
      <c r="P35" s="512">
        <f t="shared" si="0"/>
        <v>11.986434748168197</v>
      </c>
      <c r="Q35" s="513">
        <v>41292</v>
      </c>
    </row>
    <row r="36" spans="1:17" ht="11.25">
      <c r="A36" s="453">
        <v>35</v>
      </c>
      <c r="B36" s="497"/>
      <c r="C36" s="548" t="s">
        <v>572</v>
      </c>
      <c r="D36" s="506" t="s">
        <v>574</v>
      </c>
      <c r="E36" s="560" t="s">
        <v>81</v>
      </c>
      <c r="F36" s="499" t="s">
        <v>573</v>
      </c>
      <c r="G36" s="508">
        <v>41271</v>
      </c>
      <c r="H36" s="499" t="s">
        <v>139</v>
      </c>
      <c r="I36" s="509">
        <v>3</v>
      </c>
      <c r="J36" s="509">
        <v>3</v>
      </c>
      <c r="K36" s="509">
        <v>9</v>
      </c>
      <c r="L36" s="530">
        <v>26942.5</v>
      </c>
      <c r="M36" s="533">
        <v>1855</v>
      </c>
      <c r="N36" s="551">
        <v>251951.5</v>
      </c>
      <c r="O36" s="553">
        <v>21379</v>
      </c>
      <c r="P36" s="512">
        <f t="shared" si="0"/>
        <v>11.784999298376912</v>
      </c>
      <c r="Q36" s="513">
        <v>41327</v>
      </c>
    </row>
    <row r="37" spans="1:17" ht="11.25">
      <c r="A37" s="453">
        <v>36</v>
      </c>
      <c r="B37" s="497"/>
      <c r="C37" s="548" t="s">
        <v>572</v>
      </c>
      <c r="D37" s="492" t="s">
        <v>574</v>
      </c>
      <c r="E37" s="496" t="s">
        <v>81</v>
      </c>
      <c r="F37" s="491" t="s">
        <v>573</v>
      </c>
      <c r="G37" s="495">
        <v>41271</v>
      </c>
      <c r="H37" s="499" t="s">
        <v>139</v>
      </c>
      <c r="I37" s="509">
        <v>3</v>
      </c>
      <c r="J37" s="653">
        <v>3</v>
      </c>
      <c r="K37" s="509">
        <v>5</v>
      </c>
      <c r="L37" s="531">
        <v>20122</v>
      </c>
      <c r="M37" s="534">
        <v>1679</v>
      </c>
      <c r="N37" s="550">
        <v>201704.5</v>
      </c>
      <c r="O37" s="552">
        <v>16828</v>
      </c>
      <c r="P37" s="512">
        <f t="shared" si="0"/>
        <v>11.986243166151652</v>
      </c>
      <c r="Q37" s="513">
        <v>41299</v>
      </c>
    </row>
    <row r="38" spans="1:17" ht="11.25">
      <c r="A38" s="453">
        <v>37</v>
      </c>
      <c r="B38" s="497"/>
      <c r="C38" s="548" t="s">
        <v>572</v>
      </c>
      <c r="D38" s="506" t="s">
        <v>574</v>
      </c>
      <c r="E38" s="560" t="s">
        <v>81</v>
      </c>
      <c r="F38" s="499" t="s">
        <v>573</v>
      </c>
      <c r="G38" s="508">
        <v>41271</v>
      </c>
      <c r="H38" s="499" t="s">
        <v>139</v>
      </c>
      <c r="I38" s="509">
        <v>3</v>
      </c>
      <c r="J38" s="509">
        <v>3</v>
      </c>
      <c r="K38" s="509">
        <v>10</v>
      </c>
      <c r="L38" s="642">
        <v>12248.5</v>
      </c>
      <c r="M38" s="651">
        <v>924</v>
      </c>
      <c r="N38" s="644">
        <v>264200</v>
      </c>
      <c r="O38" s="652">
        <v>22303</v>
      </c>
      <c r="P38" s="512">
        <f t="shared" si="0"/>
        <v>11.845940008070663</v>
      </c>
      <c r="Q38" s="513">
        <v>41334</v>
      </c>
    </row>
    <row r="39" spans="1:17" ht="11.25">
      <c r="A39" s="453">
        <v>38</v>
      </c>
      <c r="B39" s="497"/>
      <c r="C39" s="548" t="s">
        <v>572</v>
      </c>
      <c r="D39" s="492" t="s">
        <v>574</v>
      </c>
      <c r="E39" s="496" t="s">
        <v>81</v>
      </c>
      <c r="F39" s="491" t="s">
        <v>573</v>
      </c>
      <c r="G39" s="495">
        <v>41271</v>
      </c>
      <c r="H39" s="499" t="s">
        <v>139</v>
      </c>
      <c r="I39" s="509">
        <v>3</v>
      </c>
      <c r="J39" s="641">
        <v>3</v>
      </c>
      <c r="K39" s="641">
        <v>6</v>
      </c>
      <c r="L39" s="642">
        <v>11622.5</v>
      </c>
      <c r="M39" s="643">
        <v>1000</v>
      </c>
      <c r="N39" s="644">
        <v>213327</v>
      </c>
      <c r="O39" s="645">
        <v>17828</v>
      </c>
      <c r="P39" s="515">
        <f t="shared" si="0"/>
        <v>11.965840251290105</v>
      </c>
      <c r="Q39" s="516">
        <v>41306</v>
      </c>
    </row>
    <row r="40" spans="1:17" ht="11.25">
      <c r="A40" s="453">
        <v>39</v>
      </c>
      <c r="B40" s="497"/>
      <c r="C40" s="548" t="s">
        <v>572</v>
      </c>
      <c r="D40" s="492" t="s">
        <v>574</v>
      </c>
      <c r="E40" s="496" t="s">
        <v>81</v>
      </c>
      <c r="F40" s="491" t="s">
        <v>573</v>
      </c>
      <c r="G40" s="508">
        <v>41271</v>
      </c>
      <c r="H40" s="499" t="s">
        <v>139</v>
      </c>
      <c r="I40" s="509">
        <v>3</v>
      </c>
      <c r="J40" s="506">
        <v>1</v>
      </c>
      <c r="K40" s="506">
        <v>8</v>
      </c>
      <c r="L40" s="531">
        <v>7894</v>
      </c>
      <c r="M40" s="534">
        <v>1310</v>
      </c>
      <c r="N40" s="550">
        <v>225009</v>
      </c>
      <c r="O40" s="552">
        <v>19524</v>
      </c>
      <c r="P40" s="512">
        <f t="shared" si="0"/>
        <v>11.524738783036263</v>
      </c>
      <c r="Q40" s="513">
        <v>41320</v>
      </c>
    </row>
    <row r="41" spans="1:17" ht="11.25">
      <c r="A41" s="453">
        <v>40</v>
      </c>
      <c r="B41" s="497"/>
      <c r="C41" s="548" t="s">
        <v>572</v>
      </c>
      <c r="D41" s="506" t="s">
        <v>574</v>
      </c>
      <c r="E41" s="560" t="s">
        <v>81</v>
      </c>
      <c r="F41" s="499" t="s">
        <v>573</v>
      </c>
      <c r="G41" s="508">
        <v>41271</v>
      </c>
      <c r="H41" s="499" t="s">
        <v>139</v>
      </c>
      <c r="I41" s="509">
        <v>3</v>
      </c>
      <c r="J41" s="654">
        <v>1</v>
      </c>
      <c r="K41" s="654">
        <v>15</v>
      </c>
      <c r="L41" s="531">
        <v>5590</v>
      </c>
      <c r="M41" s="534">
        <v>1013</v>
      </c>
      <c r="N41" s="550">
        <v>283676.6</v>
      </c>
      <c r="O41" s="552">
        <v>25340</v>
      </c>
      <c r="P41" s="512">
        <f t="shared" si="0"/>
        <v>11.19481452249408</v>
      </c>
      <c r="Q41" s="513">
        <v>41369</v>
      </c>
    </row>
    <row r="42" spans="1:17" ht="11.25">
      <c r="A42" s="453">
        <v>41</v>
      </c>
      <c r="B42" s="497"/>
      <c r="C42" s="548" t="s">
        <v>572</v>
      </c>
      <c r="D42" s="506" t="s">
        <v>574</v>
      </c>
      <c r="E42" s="560" t="s">
        <v>81</v>
      </c>
      <c r="F42" s="499" t="s">
        <v>573</v>
      </c>
      <c r="G42" s="508">
        <v>41271</v>
      </c>
      <c r="H42" s="499" t="s">
        <v>139</v>
      </c>
      <c r="I42" s="509">
        <v>3</v>
      </c>
      <c r="J42" s="655">
        <v>2</v>
      </c>
      <c r="K42" s="655">
        <v>13</v>
      </c>
      <c r="L42" s="554">
        <v>4930</v>
      </c>
      <c r="M42" s="555">
        <v>900</v>
      </c>
      <c r="N42" s="438">
        <v>276521</v>
      </c>
      <c r="O42" s="439">
        <v>24014</v>
      </c>
      <c r="P42" s="515">
        <f t="shared" si="0"/>
        <v>11.51499125510119</v>
      </c>
      <c r="Q42" s="516">
        <v>41355</v>
      </c>
    </row>
    <row r="43" spans="1:17" ht="11.25">
      <c r="A43" s="453">
        <v>42</v>
      </c>
      <c r="B43" s="497"/>
      <c r="C43" s="548" t="s">
        <v>572</v>
      </c>
      <c r="D43" s="506" t="s">
        <v>574</v>
      </c>
      <c r="E43" s="560" t="s">
        <v>81</v>
      </c>
      <c r="F43" s="499" t="s">
        <v>573</v>
      </c>
      <c r="G43" s="508">
        <v>41271</v>
      </c>
      <c r="H43" s="499" t="s">
        <v>139</v>
      </c>
      <c r="I43" s="506">
        <v>3</v>
      </c>
      <c r="J43" s="506">
        <v>1</v>
      </c>
      <c r="K43" s="506">
        <v>19</v>
      </c>
      <c r="L43" s="531">
        <v>4752</v>
      </c>
      <c r="M43" s="555">
        <v>950</v>
      </c>
      <c r="N43" s="550">
        <v>296818.89999999997</v>
      </c>
      <c r="O43" s="439">
        <v>27737</v>
      </c>
      <c r="P43" s="515">
        <f t="shared" si="0"/>
        <v>10.70118974654793</v>
      </c>
      <c r="Q43" s="516">
        <v>41397</v>
      </c>
    </row>
    <row r="44" spans="1:17" ht="11.25">
      <c r="A44" s="453">
        <v>43</v>
      </c>
      <c r="B44" s="497"/>
      <c r="C44" s="548" t="s">
        <v>572</v>
      </c>
      <c r="D44" s="506" t="s">
        <v>574</v>
      </c>
      <c r="E44" s="560" t="s">
        <v>81</v>
      </c>
      <c r="F44" s="499" t="s">
        <v>573</v>
      </c>
      <c r="G44" s="508">
        <v>41271</v>
      </c>
      <c r="H44" s="499" t="s">
        <v>139</v>
      </c>
      <c r="I44" s="509">
        <v>3</v>
      </c>
      <c r="J44" s="656">
        <v>3</v>
      </c>
      <c r="K44" s="656">
        <v>11</v>
      </c>
      <c r="L44" s="531">
        <v>4635</v>
      </c>
      <c r="M44" s="534">
        <v>388</v>
      </c>
      <c r="N44" s="646">
        <v>268835</v>
      </c>
      <c r="O44" s="645">
        <v>22691</v>
      </c>
      <c r="P44" s="512">
        <f t="shared" si="0"/>
        <v>11.847648847560707</v>
      </c>
      <c r="Q44" s="513">
        <v>41341</v>
      </c>
    </row>
    <row r="45" spans="1:17" ht="11.25">
      <c r="A45" s="453">
        <v>44</v>
      </c>
      <c r="B45" s="497"/>
      <c r="C45" s="548" t="s">
        <v>572</v>
      </c>
      <c r="D45" s="506" t="s">
        <v>574</v>
      </c>
      <c r="E45" s="560" t="s">
        <v>81</v>
      </c>
      <c r="F45" s="499" t="s">
        <v>573</v>
      </c>
      <c r="G45" s="508">
        <v>41271</v>
      </c>
      <c r="H45" s="499" t="s">
        <v>139</v>
      </c>
      <c r="I45" s="509">
        <v>3</v>
      </c>
      <c r="J45" s="509">
        <v>1</v>
      </c>
      <c r="K45" s="509">
        <v>16</v>
      </c>
      <c r="L45" s="554">
        <v>4276.8</v>
      </c>
      <c r="M45" s="555">
        <v>855</v>
      </c>
      <c r="N45" s="438">
        <v>287953.39999999997</v>
      </c>
      <c r="O45" s="439">
        <v>26195</v>
      </c>
      <c r="P45" s="515">
        <f t="shared" si="0"/>
        <v>10.992685627028058</v>
      </c>
      <c r="Q45" s="516">
        <v>41376</v>
      </c>
    </row>
    <row r="46" spans="1:17" ht="11.25">
      <c r="A46" s="453">
        <v>45</v>
      </c>
      <c r="B46" s="497"/>
      <c r="C46" s="548" t="s">
        <v>572</v>
      </c>
      <c r="D46" s="492" t="s">
        <v>574</v>
      </c>
      <c r="E46" s="496" t="s">
        <v>81</v>
      </c>
      <c r="F46" s="491" t="s">
        <v>573</v>
      </c>
      <c r="G46" s="508">
        <v>41271</v>
      </c>
      <c r="H46" s="499" t="s">
        <v>139</v>
      </c>
      <c r="I46" s="509">
        <v>3</v>
      </c>
      <c r="J46" s="509">
        <v>2</v>
      </c>
      <c r="K46" s="509">
        <v>7</v>
      </c>
      <c r="L46" s="531">
        <v>3788</v>
      </c>
      <c r="M46" s="555">
        <v>386</v>
      </c>
      <c r="N46" s="550">
        <v>217115</v>
      </c>
      <c r="O46" s="439">
        <v>18214</v>
      </c>
      <c r="P46" s="515">
        <f t="shared" si="0"/>
        <v>11.920226199626661</v>
      </c>
      <c r="Q46" s="516">
        <v>41313</v>
      </c>
    </row>
    <row r="47" spans="1:17" ht="11.25">
      <c r="A47" s="453">
        <v>46</v>
      </c>
      <c r="B47" s="402"/>
      <c r="C47" s="521" t="s">
        <v>572</v>
      </c>
      <c r="D47" s="492" t="s">
        <v>574</v>
      </c>
      <c r="E47" s="496" t="s">
        <v>81</v>
      </c>
      <c r="F47" s="491" t="s">
        <v>573</v>
      </c>
      <c r="G47" s="495">
        <v>41271</v>
      </c>
      <c r="H47" s="491" t="s">
        <v>139</v>
      </c>
      <c r="I47" s="509">
        <v>3</v>
      </c>
      <c r="J47" s="509">
        <v>1</v>
      </c>
      <c r="K47" s="509">
        <v>25</v>
      </c>
      <c r="L47" s="531">
        <v>3682.8</v>
      </c>
      <c r="M47" s="534">
        <v>736</v>
      </c>
      <c r="N47" s="550">
        <v>306341.69999999995</v>
      </c>
      <c r="O47" s="552">
        <v>29384</v>
      </c>
      <c r="P47" s="512">
        <f t="shared" si="0"/>
        <v>10.425459433705417</v>
      </c>
      <c r="Q47" s="513">
        <v>41516</v>
      </c>
    </row>
    <row r="48" spans="1:17" ht="11.25">
      <c r="A48" s="453">
        <v>47</v>
      </c>
      <c r="B48" s="477"/>
      <c r="C48" s="459" t="s">
        <v>572</v>
      </c>
      <c r="D48" s="364" t="s">
        <v>574</v>
      </c>
      <c r="E48" s="366" t="s">
        <v>81</v>
      </c>
      <c r="F48" s="365" t="s">
        <v>573</v>
      </c>
      <c r="G48" s="367">
        <v>41271</v>
      </c>
      <c r="H48" s="365" t="s">
        <v>139</v>
      </c>
      <c r="I48" s="395">
        <v>3</v>
      </c>
      <c r="J48" s="364">
        <v>1</v>
      </c>
      <c r="K48" s="364">
        <v>21</v>
      </c>
      <c r="L48" s="426">
        <v>2970</v>
      </c>
      <c r="M48" s="427">
        <v>594</v>
      </c>
      <c r="N48" s="445">
        <v>299970.89999999997</v>
      </c>
      <c r="O48" s="446">
        <v>28355</v>
      </c>
      <c r="P48" s="396">
        <v>10.579118321283723</v>
      </c>
      <c r="Q48" s="397">
        <v>41425</v>
      </c>
    </row>
    <row r="49" spans="1:17" ht="11.25">
      <c r="A49" s="453">
        <v>48</v>
      </c>
      <c r="B49" s="497"/>
      <c r="C49" s="548" t="s">
        <v>572</v>
      </c>
      <c r="D49" s="506" t="s">
        <v>574</v>
      </c>
      <c r="E49" s="560" t="s">
        <v>81</v>
      </c>
      <c r="F49" s="499" t="s">
        <v>573</v>
      </c>
      <c r="G49" s="508">
        <v>41271</v>
      </c>
      <c r="H49" s="499" t="s">
        <v>139</v>
      </c>
      <c r="I49" s="509">
        <v>3</v>
      </c>
      <c r="J49" s="509">
        <v>3</v>
      </c>
      <c r="K49" s="509">
        <v>18</v>
      </c>
      <c r="L49" s="531">
        <v>2835.5</v>
      </c>
      <c r="M49" s="534">
        <v>472</v>
      </c>
      <c r="N49" s="550">
        <v>292066.89999999997</v>
      </c>
      <c r="O49" s="552">
        <v>26787</v>
      </c>
      <c r="P49" s="512">
        <f aca="true" t="shared" si="1" ref="P49:P80">N49/O49</f>
        <v>10.903307574569753</v>
      </c>
      <c r="Q49" s="513">
        <v>41390</v>
      </c>
    </row>
    <row r="50" spans="1:17" ht="11.25">
      <c r="A50" s="453">
        <v>49</v>
      </c>
      <c r="B50" s="497"/>
      <c r="C50" s="548" t="s">
        <v>572</v>
      </c>
      <c r="D50" s="506" t="s">
        <v>574</v>
      </c>
      <c r="E50" s="560" t="s">
        <v>81</v>
      </c>
      <c r="F50" s="499" t="s">
        <v>573</v>
      </c>
      <c r="G50" s="508">
        <v>41271</v>
      </c>
      <c r="H50" s="499" t="s">
        <v>139</v>
      </c>
      <c r="I50" s="509">
        <v>3</v>
      </c>
      <c r="J50" s="509">
        <v>3</v>
      </c>
      <c r="K50" s="509">
        <v>12</v>
      </c>
      <c r="L50" s="530">
        <v>2756</v>
      </c>
      <c r="M50" s="533">
        <v>423</v>
      </c>
      <c r="N50" s="551">
        <v>271591</v>
      </c>
      <c r="O50" s="553">
        <v>23114</v>
      </c>
      <c r="P50" s="512">
        <f t="shared" si="1"/>
        <v>11.750064895734187</v>
      </c>
      <c r="Q50" s="513">
        <v>41348</v>
      </c>
    </row>
    <row r="51" spans="1:17" ht="11.25">
      <c r="A51" s="453">
        <v>50</v>
      </c>
      <c r="B51" s="497"/>
      <c r="C51" s="521" t="s">
        <v>572</v>
      </c>
      <c r="D51" s="492" t="s">
        <v>574</v>
      </c>
      <c r="E51" s="496" t="s">
        <v>81</v>
      </c>
      <c r="F51" s="491" t="s">
        <v>573</v>
      </c>
      <c r="G51" s="495">
        <v>41271</v>
      </c>
      <c r="H51" s="491" t="s">
        <v>139</v>
      </c>
      <c r="I51" s="506">
        <v>3</v>
      </c>
      <c r="J51" s="509">
        <v>1</v>
      </c>
      <c r="K51" s="509">
        <v>24</v>
      </c>
      <c r="L51" s="531">
        <v>1850</v>
      </c>
      <c r="M51" s="534">
        <v>173</v>
      </c>
      <c r="N51" s="550">
        <v>302658.89999999997</v>
      </c>
      <c r="O51" s="552">
        <v>28648</v>
      </c>
      <c r="P51" s="512">
        <f t="shared" si="1"/>
        <v>10.564747975425858</v>
      </c>
      <c r="Q51" s="513">
        <v>41495</v>
      </c>
    </row>
    <row r="52" spans="1:17" ht="11.25">
      <c r="A52" s="453">
        <v>51</v>
      </c>
      <c r="B52" s="497"/>
      <c r="C52" s="548" t="s">
        <v>572</v>
      </c>
      <c r="D52" s="506" t="s">
        <v>574</v>
      </c>
      <c r="E52" s="560" t="s">
        <v>81</v>
      </c>
      <c r="F52" s="499" t="s">
        <v>573</v>
      </c>
      <c r="G52" s="508">
        <v>41271</v>
      </c>
      <c r="H52" s="499" t="s">
        <v>139</v>
      </c>
      <c r="I52" s="509">
        <v>3</v>
      </c>
      <c r="J52" s="509">
        <v>1</v>
      </c>
      <c r="K52" s="509">
        <v>14</v>
      </c>
      <c r="L52" s="531">
        <v>1565.6</v>
      </c>
      <c r="M52" s="534">
        <v>313</v>
      </c>
      <c r="N52" s="550">
        <v>278086.6</v>
      </c>
      <c r="O52" s="552">
        <v>24327</v>
      </c>
      <c r="P52" s="512">
        <f t="shared" si="1"/>
        <v>11.431191680026307</v>
      </c>
      <c r="Q52" s="513">
        <v>41362</v>
      </c>
    </row>
    <row r="53" spans="1:17" ht="11.25">
      <c r="A53" s="453">
        <v>52</v>
      </c>
      <c r="B53" s="497"/>
      <c r="C53" s="548" t="s">
        <v>572</v>
      </c>
      <c r="D53" s="506" t="s">
        <v>574</v>
      </c>
      <c r="E53" s="560" t="s">
        <v>81</v>
      </c>
      <c r="F53" s="499" t="s">
        <v>573</v>
      </c>
      <c r="G53" s="508">
        <v>41271</v>
      </c>
      <c r="H53" s="499" t="s">
        <v>139</v>
      </c>
      <c r="I53" s="509">
        <v>3</v>
      </c>
      <c r="J53" s="640">
        <v>2</v>
      </c>
      <c r="K53" s="640">
        <v>17</v>
      </c>
      <c r="L53" s="554">
        <v>1278</v>
      </c>
      <c r="M53" s="555">
        <v>120</v>
      </c>
      <c r="N53" s="438">
        <v>289231.39999999997</v>
      </c>
      <c r="O53" s="439">
        <v>26315</v>
      </c>
      <c r="P53" s="515">
        <f t="shared" si="1"/>
        <v>10.99112293368801</v>
      </c>
      <c r="Q53" s="516">
        <v>41383</v>
      </c>
    </row>
    <row r="54" spans="1:17" ht="11.25">
      <c r="A54" s="453">
        <v>53</v>
      </c>
      <c r="B54" s="497"/>
      <c r="C54" s="548" t="s">
        <v>572</v>
      </c>
      <c r="D54" s="506" t="s">
        <v>574</v>
      </c>
      <c r="E54" s="560" t="s">
        <v>81</v>
      </c>
      <c r="F54" s="499" t="s">
        <v>573</v>
      </c>
      <c r="G54" s="508">
        <v>41271</v>
      </c>
      <c r="H54" s="499" t="s">
        <v>139</v>
      </c>
      <c r="I54" s="509">
        <v>3</v>
      </c>
      <c r="J54" s="509">
        <v>1</v>
      </c>
      <c r="K54" s="509">
        <v>23</v>
      </c>
      <c r="L54" s="531">
        <v>568</v>
      </c>
      <c r="M54" s="534">
        <v>75</v>
      </c>
      <c r="N54" s="550">
        <v>300808.89999999997</v>
      </c>
      <c r="O54" s="552">
        <v>28475</v>
      </c>
      <c r="P54" s="512">
        <f t="shared" si="1"/>
        <v>10.563964881474977</v>
      </c>
      <c r="Q54" s="513">
        <v>41460</v>
      </c>
    </row>
    <row r="55" spans="1:17" ht="11.25">
      <c r="A55" s="453">
        <v>54</v>
      </c>
      <c r="B55" s="497"/>
      <c r="C55" s="548" t="s">
        <v>572</v>
      </c>
      <c r="D55" s="506" t="s">
        <v>574</v>
      </c>
      <c r="E55" s="560" t="s">
        <v>81</v>
      </c>
      <c r="F55" s="499" t="s">
        <v>573</v>
      </c>
      <c r="G55" s="508">
        <v>41271</v>
      </c>
      <c r="H55" s="499" t="s">
        <v>139</v>
      </c>
      <c r="I55" s="509">
        <v>3</v>
      </c>
      <c r="J55" s="509">
        <v>1</v>
      </c>
      <c r="K55" s="509">
        <v>22</v>
      </c>
      <c r="L55" s="531">
        <v>270</v>
      </c>
      <c r="M55" s="534">
        <v>45</v>
      </c>
      <c r="N55" s="550">
        <v>300240.89999999997</v>
      </c>
      <c r="O55" s="552">
        <v>28400</v>
      </c>
      <c r="P55" s="512">
        <f t="shared" si="1"/>
        <v>10.571862676056337</v>
      </c>
      <c r="Q55" s="513">
        <v>41453</v>
      </c>
    </row>
    <row r="56" spans="1:17" ht="11.25">
      <c r="A56" s="389">
        <v>55</v>
      </c>
      <c r="B56" s="497"/>
      <c r="C56" s="548" t="s">
        <v>572</v>
      </c>
      <c r="D56" s="506" t="s">
        <v>574</v>
      </c>
      <c r="E56" s="560" t="s">
        <v>81</v>
      </c>
      <c r="F56" s="499" t="s">
        <v>573</v>
      </c>
      <c r="G56" s="508">
        <v>41271</v>
      </c>
      <c r="H56" s="499" t="s">
        <v>139</v>
      </c>
      <c r="I56" s="509">
        <v>3</v>
      </c>
      <c r="J56" s="509">
        <v>1</v>
      </c>
      <c r="K56" s="509">
        <v>20</v>
      </c>
      <c r="L56" s="657">
        <v>182</v>
      </c>
      <c r="M56" s="643">
        <v>24</v>
      </c>
      <c r="N56" s="646">
        <v>297000.89999999997</v>
      </c>
      <c r="O56" s="645">
        <v>27761</v>
      </c>
      <c r="P56" s="512">
        <f t="shared" si="1"/>
        <v>10.698494290551492</v>
      </c>
      <c r="Q56" s="513">
        <v>41411</v>
      </c>
    </row>
    <row r="57" spans="1:17" ht="11.25">
      <c r="A57" s="389">
        <v>56</v>
      </c>
      <c r="B57" s="497" t="s">
        <v>48</v>
      </c>
      <c r="C57" s="518" t="s">
        <v>58</v>
      </c>
      <c r="D57" s="499" t="s">
        <v>335</v>
      </c>
      <c r="E57" s="499"/>
      <c r="F57" s="519" t="s">
        <v>58</v>
      </c>
      <c r="G57" s="508">
        <v>40844</v>
      </c>
      <c r="H57" s="499" t="s">
        <v>59</v>
      </c>
      <c r="I57" s="509">
        <v>278</v>
      </c>
      <c r="J57" s="517">
        <v>3</v>
      </c>
      <c r="K57" s="517">
        <v>32</v>
      </c>
      <c r="L57" s="510">
        <v>7128</v>
      </c>
      <c r="M57" s="511">
        <v>713</v>
      </c>
      <c r="N57" s="535">
        <f>2021467.25+4147826.75+1641146.5+1086471.5+837723.5+353523.5+115157+12431.5+1554+13261.5+3397.5+17222.5+17226.5+5821+1188+2851+2851+2530+4832+1188+1425.5+1425.5+2376+2376+1188+5346+3207.6+2376+1188+3564+2376+7128</f>
        <v>10323647.1</v>
      </c>
      <c r="O57" s="542">
        <f>231121+459388+190384+130345+104513+46481+14878+1830+250+1860+737+1888+2090+661+238+570+284+543+673+238+285+238+475+476+238+733+432+476+238+356+475+713</f>
        <v>1194107</v>
      </c>
      <c r="P57" s="512">
        <f t="shared" si="1"/>
        <v>8.645495839150092</v>
      </c>
      <c r="Q57" s="513">
        <v>41362</v>
      </c>
    </row>
    <row r="58" spans="1:17" ht="11.25">
      <c r="A58" s="389">
        <v>57</v>
      </c>
      <c r="B58" s="497" t="s">
        <v>48</v>
      </c>
      <c r="C58" s="518" t="s">
        <v>58</v>
      </c>
      <c r="D58" s="499" t="s">
        <v>335</v>
      </c>
      <c r="E58" s="499"/>
      <c r="F58" s="519" t="s">
        <v>58</v>
      </c>
      <c r="G58" s="508">
        <v>40844</v>
      </c>
      <c r="H58" s="499" t="s">
        <v>59</v>
      </c>
      <c r="I58" s="509">
        <v>278</v>
      </c>
      <c r="J58" s="517">
        <v>1</v>
      </c>
      <c r="K58" s="517">
        <v>33</v>
      </c>
      <c r="L58" s="529">
        <v>1663.2</v>
      </c>
      <c r="M58" s="514">
        <v>333</v>
      </c>
      <c r="N58" s="541">
        <f>2021467.25+4147826.75+1641146.5+1086471.5+837723.5+353523.5+115157+12431.5+1554+13261.5+3397.5+17222.5+17226.5+5821+1188+2851+2851+2530+4832+1188+1425.5+1425.5+2376+2376+1188+5346+3207.6+2376+1188+3564+2376+7128+1663.2</f>
        <v>10325310.299999999</v>
      </c>
      <c r="O58" s="547">
        <f>231121+459388+190384+130345+104513+46481+14878+1830+250+1860+737+1888+2090+661+238+570+284+543+673+238+285+238+475+476+238+733+432+476+238+356+475+713+333</f>
        <v>1194440</v>
      </c>
      <c r="P58" s="515">
        <f t="shared" si="1"/>
        <v>8.644477998057667</v>
      </c>
      <c r="Q58" s="516">
        <v>41383</v>
      </c>
    </row>
    <row r="59" spans="1:17" ht="11.25">
      <c r="A59" s="389">
        <v>58</v>
      </c>
      <c r="B59" s="497" t="s">
        <v>48</v>
      </c>
      <c r="C59" s="518" t="s">
        <v>58</v>
      </c>
      <c r="D59" s="499" t="s">
        <v>335</v>
      </c>
      <c r="E59" s="499"/>
      <c r="F59" s="519" t="s">
        <v>58</v>
      </c>
      <c r="G59" s="508">
        <v>40844</v>
      </c>
      <c r="H59" s="499" t="s">
        <v>59</v>
      </c>
      <c r="I59" s="509">
        <v>278</v>
      </c>
      <c r="J59" s="509">
        <v>1</v>
      </c>
      <c r="K59" s="509">
        <v>34</v>
      </c>
      <c r="L59" s="510">
        <v>1663.2</v>
      </c>
      <c r="M59" s="511">
        <v>166</v>
      </c>
      <c r="N59" s="535">
        <f>2021467.25+4147826.75+1641146.5+1086471.5+837723.5+353523.5+115157+12431.5+1554+13261.5+3397.5+17222.5+17226.5+5821+1188+2851+2851+2530+4832+1188+1425.5+1425.5+2376+2376+1188+5346+3207.6+2376+1188+3564+2376+7128+1663.2+1663.2</f>
        <v>10326973.499999998</v>
      </c>
      <c r="O59" s="542">
        <f>231121+459388+190384+130345+104513+46481+14878+1830+250+1860+737+1888+2090+661+238+570+284+543+673+238+285+238+475+476+238+733+432+476+238+356+475+713+333+166</f>
        <v>1194606</v>
      </c>
      <c r="P59" s="512">
        <f t="shared" si="1"/>
        <v>8.644669037322764</v>
      </c>
      <c r="Q59" s="513">
        <v>41390</v>
      </c>
    </row>
    <row r="60" spans="1:17" ht="11.25">
      <c r="A60" s="389">
        <v>59</v>
      </c>
      <c r="B60" s="497" t="s">
        <v>48</v>
      </c>
      <c r="C60" s="518" t="s">
        <v>58</v>
      </c>
      <c r="D60" s="499" t="s">
        <v>335</v>
      </c>
      <c r="E60" s="499"/>
      <c r="F60" s="519" t="s">
        <v>58</v>
      </c>
      <c r="G60" s="508">
        <v>40844</v>
      </c>
      <c r="H60" s="499" t="s">
        <v>59</v>
      </c>
      <c r="I60" s="506">
        <v>278</v>
      </c>
      <c r="J60" s="506">
        <v>1</v>
      </c>
      <c r="K60" s="506">
        <v>35</v>
      </c>
      <c r="L60" s="510">
        <v>1663.2</v>
      </c>
      <c r="M60" s="514">
        <v>333</v>
      </c>
      <c r="N60" s="535">
        <f>2021467.25+4147826.75+1641146.5+1086471.5+837723.5+353523.5+115157+12431.5+1554+13261.5+3397.5+17222.5+17226.5+5821+1188+2851+2851+2530+4832+1188+1425.5+1425.5+2376+2376+1188+5346+3207.6+2376+1188+3564+2376+7128+1663.2+1663.2+1663.2</f>
        <v>10328636.699999997</v>
      </c>
      <c r="O60" s="547">
        <f>231121+459388+190384+130345+104513+46481+14878+1830+250+1860+737+1888+2090+661+238+570+284+543+673+238+285+238+475+476+238+733+432+476+238+356+475+713+333+166+333</f>
        <v>1194939</v>
      </c>
      <c r="P60" s="515">
        <f t="shared" si="1"/>
        <v>8.643651851684478</v>
      </c>
      <c r="Q60" s="516">
        <v>41397</v>
      </c>
    </row>
    <row r="61" spans="1:17" ht="11.25">
      <c r="A61" s="389">
        <v>60</v>
      </c>
      <c r="B61" s="497" t="s">
        <v>48</v>
      </c>
      <c r="C61" s="518" t="s">
        <v>58</v>
      </c>
      <c r="D61" s="499" t="s">
        <v>335</v>
      </c>
      <c r="E61" s="499"/>
      <c r="F61" s="519" t="s">
        <v>58</v>
      </c>
      <c r="G61" s="508">
        <v>40844</v>
      </c>
      <c r="H61" s="499" t="s">
        <v>59</v>
      </c>
      <c r="I61" s="509">
        <v>278</v>
      </c>
      <c r="J61" s="506">
        <v>1</v>
      </c>
      <c r="K61" s="506">
        <v>36</v>
      </c>
      <c r="L61" s="528">
        <v>950.4</v>
      </c>
      <c r="M61" s="532">
        <v>190</v>
      </c>
      <c r="N61" s="537">
        <f>2021467.25+4147826.75+1641146.5+1086471.5+837723.5+353523.5+115157+12431.5+1554+13261.5+3397.5+17222.5+17226.5+5821+1188+2851+2851+2530+4832+1188+1425.5+1425.5+2376+2376+1188+5346+3207.6+2376+1188+3564+2376+7128+1663.2+1663.2+1663.2+950.4</f>
        <v>10329587.099999998</v>
      </c>
      <c r="O61" s="543">
        <f>231121+459388+190384+130345+104513+46481+14878+1830+250+1860+737+1888+2090+661+238+570+284+543+673+238+285+238+475+476+238+733+432+476+238+356+475+713+333+166+333+190</f>
        <v>1195129</v>
      </c>
      <c r="P61" s="515">
        <f t="shared" si="1"/>
        <v>8.643072923508674</v>
      </c>
      <c r="Q61" s="516">
        <v>41439</v>
      </c>
    </row>
    <row r="62" spans="1:17" ht="11.25">
      <c r="A62" s="389">
        <v>61</v>
      </c>
      <c r="B62" s="497" t="s">
        <v>48</v>
      </c>
      <c r="C62" s="518" t="s">
        <v>58</v>
      </c>
      <c r="D62" s="499" t="s">
        <v>335</v>
      </c>
      <c r="E62" s="499"/>
      <c r="F62" s="519" t="s">
        <v>58</v>
      </c>
      <c r="G62" s="508">
        <v>40844</v>
      </c>
      <c r="H62" s="499" t="s">
        <v>59</v>
      </c>
      <c r="I62" s="509">
        <v>278</v>
      </c>
      <c r="J62" s="509">
        <v>1</v>
      </c>
      <c r="K62" s="509">
        <v>36</v>
      </c>
      <c r="L62" s="503">
        <v>950.4</v>
      </c>
      <c r="M62" s="504">
        <v>190</v>
      </c>
      <c r="N62" s="538">
        <f>2021467.25+4147826.75+1641146.5+1086471.5+837723.5+353523.5+115157+12431.5+1554+13261.5+3397.5+17222.5+17226.5+5821+1188+2851+2851+2530+4832+1188+1425.5+1425.5+2376+2376+1188+5346+3207.6+2376+1188+3564+2376+7128+1663.2+1663.2+1663.2+950.4</f>
        <v>10329587.099999998</v>
      </c>
      <c r="O62" s="544">
        <f>231121+459388+190384+130345+104513+46481+14878+1830+250+1860+737+1888+2090+661+238+570+284+543+673+238+285+238+475+476+238+733+432+476+238+356+475+713+333+166+333+190</f>
        <v>1195129</v>
      </c>
      <c r="P62" s="512">
        <f t="shared" si="1"/>
        <v>8.643072923508674</v>
      </c>
      <c r="Q62" s="513">
        <v>41460</v>
      </c>
    </row>
    <row r="63" spans="1:17" ht="11.25">
      <c r="A63" s="389">
        <v>62</v>
      </c>
      <c r="B63" s="497"/>
      <c r="C63" s="518" t="s">
        <v>589</v>
      </c>
      <c r="D63" s="392" t="s">
        <v>66</v>
      </c>
      <c r="E63" s="490" t="s">
        <v>72</v>
      </c>
      <c r="F63" s="392" t="s">
        <v>589</v>
      </c>
      <c r="G63" s="495">
        <v>41271</v>
      </c>
      <c r="H63" s="499" t="s">
        <v>12</v>
      </c>
      <c r="I63" s="509">
        <v>49</v>
      </c>
      <c r="J63" s="509">
        <v>49</v>
      </c>
      <c r="K63" s="509">
        <v>2</v>
      </c>
      <c r="L63" s="554">
        <v>428161</v>
      </c>
      <c r="M63" s="555">
        <v>33713</v>
      </c>
      <c r="N63" s="550">
        <v>1055226</v>
      </c>
      <c r="O63" s="552">
        <v>82977</v>
      </c>
      <c r="P63" s="512">
        <f t="shared" si="1"/>
        <v>12.717090278028852</v>
      </c>
      <c r="Q63" s="513">
        <v>41278</v>
      </c>
    </row>
    <row r="64" spans="1:17" ht="11.25">
      <c r="A64" s="389">
        <v>63</v>
      </c>
      <c r="B64" s="497"/>
      <c r="C64" s="518" t="s">
        <v>589</v>
      </c>
      <c r="D64" s="392" t="s">
        <v>66</v>
      </c>
      <c r="E64" s="490" t="s">
        <v>72</v>
      </c>
      <c r="F64" s="392" t="s">
        <v>589</v>
      </c>
      <c r="G64" s="495">
        <v>41271</v>
      </c>
      <c r="H64" s="499" t="s">
        <v>12</v>
      </c>
      <c r="I64" s="509">
        <v>49</v>
      </c>
      <c r="J64" s="509">
        <v>48</v>
      </c>
      <c r="K64" s="509">
        <v>3</v>
      </c>
      <c r="L64" s="530">
        <v>339591</v>
      </c>
      <c r="M64" s="533">
        <v>26642</v>
      </c>
      <c r="N64" s="551">
        <v>1394817</v>
      </c>
      <c r="O64" s="553">
        <v>109619</v>
      </c>
      <c r="P64" s="512">
        <f t="shared" si="1"/>
        <v>12.724226639542415</v>
      </c>
      <c r="Q64" s="513">
        <v>41285</v>
      </c>
    </row>
    <row r="65" spans="1:17" ht="11.25">
      <c r="A65" s="389">
        <v>64</v>
      </c>
      <c r="B65" s="497"/>
      <c r="C65" s="518" t="s">
        <v>589</v>
      </c>
      <c r="D65" s="392" t="s">
        <v>66</v>
      </c>
      <c r="E65" s="490" t="s">
        <v>72</v>
      </c>
      <c r="F65" s="392" t="s">
        <v>589</v>
      </c>
      <c r="G65" s="495">
        <v>41271</v>
      </c>
      <c r="H65" s="499" t="s">
        <v>12</v>
      </c>
      <c r="I65" s="509">
        <v>49</v>
      </c>
      <c r="J65" s="509">
        <v>38</v>
      </c>
      <c r="K65" s="509">
        <v>4</v>
      </c>
      <c r="L65" s="554">
        <v>138019</v>
      </c>
      <c r="M65" s="555">
        <v>10675</v>
      </c>
      <c r="N65" s="438">
        <v>1532836</v>
      </c>
      <c r="O65" s="439">
        <v>120294</v>
      </c>
      <c r="P65" s="512">
        <f t="shared" si="1"/>
        <v>12.742414418009211</v>
      </c>
      <c r="Q65" s="513">
        <v>41292</v>
      </c>
    </row>
    <row r="66" spans="1:17" ht="11.25">
      <c r="A66" s="389">
        <v>65</v>
      </c>
      <c r="B66" s="497"/>
      <c r="C66" s="518" t="s">
        <v>589</v>
      </c>
      <c r="D66" s="392" t="s">
        <v>66</v>
      </c>
      <c r="E66" s="490" t="s">
        <v>72</v>
      </c>
      <c r="F66" s="392" t="s">
        <v>589</v>
      </c>
      <c r="G66" s="495">
        <v>41271</v>
      </c>
      <c r="H66" s="499" t="s">
        <v>12</v>
      </c>
      <c r="I66" s="509">
        <v>49</v>
      </c>
      <c r="J66" s="509">
        <v>17</v>
      </c>
      <c r="K66" s="509">
        <v>5</v>
      </c>
      <c r="L66" s="531">
        <v>61504</v>
      </c>
      <c r="M66" s="534">
        <v>4345</v>
      </c>
      <c r="N66" s="550">
        <v>1594340</v>
      </c>
      <c r="O66" s="552">
        <v>124639</v>
      </c>
      <c r="P66" s="512">
        <f t="shared" si="1"/>
        <v>12.79166232078242</v>
      </c>
      <c r="Q66" s="513">
        <v>41299</v>
      </c>
    </row>
    <row r="67" spans="1:17" ht="11.25">
      <c r="A67" s="389">
        <v>66</v>
      </c>
      <c r="B67" s="497"/>
      <c r="C67" s="518" t="s">
        <v>589</v>
      </c>
      <c r="D67" s="392" t="s">
        <v>66</v>
      </c>
      <c r="E67" s="490" t="s">
        <v>72</v>
      </c>
      <c r="F67" s="392" t="s">
        <v>589</v>
      </c>
      <c r="G67" s="495">
        <v>41271</v>
      </c>
      <c r="H67" s="499" t="s">
        <v>12</v>
      </c>
      <c r="I67" s="509">
        <v>49</v>
      </c>
      <c r="J67" s="506">
        <v>9</v>
      </c>
      <c r="K67" s="506">
        <v>6</v>
      </c>
      <c r="L67" s="554">
        <v>11533</v>
      </c>
      <c r="M67" s="534">
        <v>937</v>
      </c>
      <c r="N67" s="438">
        <v>1606063</v>
      </c>
      <c r="O67" s="552">
        <v>125591</v>
      </c>
      <c r="P67" s="515">
        <f t="shared" si="1"/>
        <v>12.788042136777317</v>
      </c>
      <c r="Q67" s="516">
        <v>41306</v>
      </c>
    </row>
    <row r="68" spans="1:17" ht="11.25">
      <c r="A68" s="389">
        <v>67</v>
      </c>
      <c r="B68" s="497"/>
      <c r="C68" s="518" t="s">
        <v>589</v>
      </c>
      <c r="D68" s="392" t="s">
        <v>66</v>
      </c>
      <c r="E68" s="490" t="s">
        <v>72</v>
      </c>
      <c r="F68" s="392" t="s">
        <v>589</v>
      </c>
      <c r="G68" s="508">
        <v>41271</v>
      </c>
      <c r="H68" s="499" t="s">
        <v>12</v>
      </c>
      <c r="I68" s="509">
        <v>49</v>
      </c>
      <c r="J68" s="509">
        <v>5</v>
      </c>
      <c r="K68" s="509">
        <v>7</v>
      </c>
      <c r="L68" s="531">
        <v>5174</v>
      </c>
      <c r="M68" s="555">
        <v>651</v>
      </c>
      <c r="N68" s="550">
        <v>1611237</v>
      </c>
      <c r="O68" s="439">
        <v>126242</v>
      </c>
      <c r="P68" s="515">
        <f t="shared" si="1"/>
        <v>12.76308201707831</v>
      </c>
      <c r="Q68" s="516">
        <v>41313</v>
      </c>
    </row>
    <row r="69" spans="1:17" ht="11.25">
      <c r="A69" s="389">
        <v>68</v>
      </c>
      <c r="B69" s="497"/>
      <c r="C69" s="518" t="s">
        <v>589</v>
      </c>
      <c r="D69" s="392" t="s">
        <v>66</v>
      </c>
      <c r="E69" s="490" t="s">
        <v>72</v>
      </c>
      <c r="F69" s="392" t="s">
        <v>589</v>
      </c>
      <c r="G69" s="508">
        <v>41271</v>
      </c>
      <c r="H69" s="499" t="s">
        <v>12</v>
      </c>
      <c r="I69" s="509">
        <v>49</v>
      </c>
      <c r="J69" s="506">
        <v>2</v>
      </c>
      <c r="K69" s="506">
        <v>8</v>
      </c>
      <c r="L69" s="531">
        <v>1945</v>
      </c>
      <c r="M69" s="534">
        <v>265</v>
      </c>
      <c r="N69" s="550">
        <v>1613182</v>
      </c>
      <c r="O69" s="552">
        <v>126507</v>
      </c>
      <c r="P69" s="512">
        <f t="shared" si="1"/>
        <v>12.751721248626557</v>
      </c>
      <c r="Q69" s="513">
        <v>41320</v>
      </c>
    </row>
    <row r="70" spans="1:17" ht="11.25">
      <c r="A70" s="389">
        <v>69</v>
      </c>
      <c r="B70" s="497"/>
      <c r="C70" s="518" t="s">
        <v>589</v>
      </c>
      <c r="D70" s="519" t="s">
        <v>66</v>
      </c>
      <c r="E70" s="500" t="s">
        <v>72</v>
      </c>
      <c r="F70" s="519" t="s">
        <v>589</v>
      </c>
      <c r="G70" s="508">
        <v>41271</v>
      </c>
      <c r="H70" s="499" t="s">
        <v>12</v>
      </c>
      <c r="I70" s="509">
        <v>49</v>
      </c>
      <c r="J70" s="517">
        <v>1</v>
      </c>
      <c r="K70" s="517">
        <v>13</v>
      </c>
      <c r="L70" s="554">
        <v>1722</v>
      </c>
      <c r="M70" s="555">
        <v>287</v>
      </c>
      <c r="N70" s="438">
        <v>1615880</v>
      </c>
      <c r="O70" s="439">
        <v>127049</v>
      </c>
      <c r="P70" s="515">
        <f t="shared" si="1"/>
        <v>12.718557406984706</v>
      </c>
      <c r="Q70" s="516">
        <v>41355</v>
      </c>
    </row>
    <row r="71" spans="1:17" ht="11.25">
      <c r="A71" s="389">
        <v>70</v>
      </c>
      <c r="B71" s="497"/>
      <c r="C71" s="501" t="s">
        <v>589</v>
      </c>
      <c r="D71" s="392" t="s">
        <v>66</v>
      </c>
      <c r="E71" s="490" t="s">
        <v>72</v>
      </c>
      <c r="F71" s="392" t="s">
        <v>589</v>
      </c>
      <c r="G71" s="495">
        <v>41271</v>
      </c>
      <c r="H71" s="491" t="s">
        <v>12</v>
      </c>
      <c r="I71" s="506">
        <v>49</v>
      </c>
      <c r="J71" s="517">
        <v>1</v>
      </c>
      <c r="K71" s="517">
        <v>33</v>
      </c>
      <c r="L71" s="531">
        <v>1197</v>
      </c>
      <c r="M71" s="534">
        <v>189</v>
      </c>
      <c r="N71" s="550">
        <v>1617723</v>
      </c>
      <c r="O71" s="552">
        <v>127315</v>
      </c>
      <c r="P71" s="512">
        <f t="shared" si="1"/>
        <v>12.706460354239486</v>
      </c>
      <c r="Q71" s="513">
        <v>41495</v>
      </c>
    </row>
    <row r="72" spans="1:17" ht="11.25">
      <c r="A72" s="389">
        <v>71</v>
      </c>
      <c r="B72" s="497"/>
      <c r="C72" s="518" t="s">
        <v>589</v>
      </c>
      <c r="D72" s="519" t="s">
        <v>66</v>
      </c>
      <c r="E72" s="500" t="s">
        <v>72</v>
      </c>
      <c r="F72" s="519" t="s">
        <v>589</v>
      </c>
      <c r="G72" s="508">
        <v>41271</v>
      </c>
      <c r="H72" s="499" t="s">
        <v>12</v>
      </c>
      <c r="I72" s="509">
        <v>49</v>
      </c>
      <c r="J72" s="509">
        <v>1</v>
      </c>
      <c r="K72" s="509">
        <v>9</v>
      </c>
      <c r="L72" s="530">
        <v>976</v>
      </c>
      <c r="M72" s="533">
        <v>255</v>
      </c>
      <c r="N72" s="551">
        <v>1614158</v>
      </c>
      <c r="O72" s="553">
        <v>126762</v>
      </c>
      <c r="P72" s="512">
        <f t="shared" si="1"/>
        <v>12.733768795064767</v>
      </c>
      <c r="Q72" s="513">
        <v>41327</v>
      </c>
    </row>
    <row r="73" spans="1:17" ht="11.25">
      <c r="A73" s="389">
        <v>72</v>
      </c>
      <c r="B73" s="497" t="s">
        <v>48</v>
      </c>
      <c r="C73" s="520" t="s">
        <v>436</v>
      </c>
      <c r="D73" s="490" t="s">
        <v>264</v>
      </c>
      <c r="E73" s="492"/>
      <c r="F73" s="496" t="s">
        <v>436</v>
      </c>
      <c r="G73" s="495">
        <v>41173</v>
      </c>
      <c r="H73" s="499" t="s">
        <v>59</v>
      </c>
      <c r="I73" s="527">
        <v>77</v>
      </c>
      <c r="J73" s="506">
        <v>1</v>
      </c>
      <c r="K73" s="506">
        <v>13</v>
      </c>
      <c r="L73" s="529">
        <v>564</v>
      </c>
      <c r="M73" s="511">
        <v>103</v>
      </c>
      <c r="N73" s="541">
        <f>182037.13+97092.35+58613.15+16778.89+5346+4218+2965.4+2059.5+95+391+1878+440+564</f>
        <v>372478.42000000004</v>
      </c>
      <c r="O73" s="542">
        <f>18400+9819+6974+2111+779+801+596+368+11+106+397+142+103</f>
        <v>40607</v>
      </c>
      <c r="P73" s="515">
        <f t="shared" si="1"/>
        <v>9.17276380919546</v>
      </c>
      <c r="Q73" s="516">
        <v>41306</v>
      </c>
    </row>
    <row r="74" spans="1:17" ht="11.25">
      <c r="A74" s="389">
        <v>73</v>
      </c>
      <c r="B74" s="497" t="s">
        <v>48</v>
      </c>
      <c r="C74" s="520" t="s">
        <v>436</v>
      </c>
      <c r="D74" s="490" t="s">
        <v>264</v>
      </c>
      <c r="E74" s="492"/>
      <c r="F74" s="496" t="s">
        <v>436</v>
      </c>
      <c r="G74" s="508">
        <v>41173</v>
      </c>
      <c r="H74" s="499" t="s">
        <v>59</v>
      </c>
      <c r="I74" s="556">
        <v>77</v>
      </c>
      <c r="J74" s="509">
        <v>1</v>
      </c>
      <c r="K74" s="509">
        <v>14</v>
      </c>
      <c r="L74" s="510">
        <v>344</v>
      </c>
      <c r="M74" s="514">
        <v>70</v>
      </c>
      <c r="N74" s="535">
        <f>182037.13+97092.35+58613.15+16778.89+5346+4218+2965.4+2059.5+95+391+1878+440+564+344</f>
        <v>372822.42000000004</v>
      </c>
      <c r="O74" s="547">
        <f>18400+9819+6974+2111+779+801+596+368+11+106+397+142+103+70</f>
        <v>40677</v>
      </c>
      <c r="P74" s="515">
        <f t="shared" si="1"/>
        <v>9.165435504093223</v>
      </c>
      <c r="Q74" s="516">
        <v>41313</v>
      </c>
    </row>
    <row r="75" spans="1:17" ht="11.25">
      <c r="A75" s="389">
        <v>74</v>
      </c>
      <c r="B75" s="497"/>
      <c r="C75" s="518" t="s">
        <v>525</v>
      </c>
      <c r="D75" s="506" t="s">
        <v>267</v>
      </c>
      <c r="E75" s="500" t="s">
        <v>73</v>
      </c>
      <c r="F75" s="519" t="s">
        <v>526</v>
      </c>
      <c r="G75" s="526">
        <v>41243</v>
      </c>
      <c r="H75" s="499" t="s">
        <v>10</v>
      </c>
      <c r="I75" s="509">
        <v>46</v>
      </c>
      <c r="J75" s="391">
        <v>18</v>
      </c>
      <c r="K75" s="391">
        <v>10</v>
      </c>
      <c r="L75" s="529">
        <v>77832</v>
      </c>
      <c r="M75" s="514">
        <v>5700</v>
      </c>
      <c r="N75" s="541">
        <v>928497</v>
      </c>
      <c r="O75" s="547">
        <v>72315</v>
      </c>
      <c r="P75" s="512">
        <f t="shared" si="1"/>
        <v>12.83961833644472</v>
      </c>
      <c r="Q75" s="513">
        <v>41334</v>
      </c>
    </row>
    <row r="76" spans="1:17" ht="11.25">
      <c r="A76" s="389">
        <v>75</v>
      </c>
      <c r="B76" s="497"/>
      <c r="C76" s="518" t="s">
        <v>525</v>
      </c>
      <c r="D76" s="506" t="s">
        <v>267</v>
      </c>
      <c r="E76" s="500" t="s">
        <v>73</v>
      </c>
      <c r="F76" s="519" t="s">
        <v>526</v>
      </c>
      <c r="G76" s="526">
        <v>41243</v>
      </c>
      <c r="H76" s="499" t="s">
        <v>10</v>
      </c>
      <c r="I76" s="509">
        <v>46</v>
      </c>
      <c r="J76" s="391">
        <v>8</v>
      </c>
      <c r="K76" s="391">
        <v>11</v>
      </c>
      <c r="L76" s="510">
        <v>23933</v>
      </c>
      <c r="M76" s="511">
        <v>1615</v>
      </c>
      <c r="N76" s="535">
        <v>952430</v>
      </c>
      <c r="O76" s="542">
        <v>73930</v>
      </c>
      <c r="P76" s="512">
        <f t="shared" si="1"/>
        <v>12.882862166914649</v>
      </c>
      <c r="Q76" s="513">
        <v>41341</v>
      </c>
    </row>
    <row r="77" spans="1:17" ht="11.25">
      <c r="A77" s="389">
        <v>76</v>
      </c>
      <c r="B77" s="497"/>
      <c r="C77" s="518" t="s">
        <v>525</v>
      </c>
      <c r="D77" s="506" t="s">
        <v>267</v>
      </c>
      <c r="E77" s="500" t="s">
        <v>73</v>
      </c>
      <c r="F77" s="519" t="s">
        <v>526</v>
      </c>
      <c r="G77" s="526">
        <v>41243</v>
      </c>
      <c r="H77" s="499" t="s">
        <v>10</v>
      </c>
      <c r="I77" s="509">
        <v>46</v>
      </c>
      <c r="J77" s="391">
        <v>2</v>
      </c>
      <c r="K77" s="391">
        <v>12</v>
      </c>
      <c r="L77" s="658">
        <v>6890</v>
      </c>
      <c r="M77" s="659">
        <v>478</v>
      </c>
      <c r="N77" s="660">
        <v>959320</v>
      </c>
      <c r="O77" s="661">
        <v>74408</v>
      </c>
      <c r="P77" s="512">
        <f t="shared" si="1"/>
        <v>12.892699709708634</v>
      </c>
      <c r="Q77" s="513">
        <v>41348</v>
      </c>
    </row>
    <row r="78" spans="1:17" ht="11.25">
      <c r="A78" s="389">
        <v>77</v>
      </c>
      <c r="B78" s="497"/>
      <c r="C78" s="518" t="s">
        <v>525</v>
      </c>
      <c r="D78" s="492" t="s">
        <v>267</v>
      </c>
      <c r="E78" s="490" t="s">
        <v>73</v>
      </c>
      <c r="F78" s="392" t="s">
        <v>526</v>
      </c>
      <c r="G78" s="493">
        <v>41243</v>
      </c>
      <c r="H78" s="499" t="s">
        <v>10</v>
      </c>
      <c r="I78" s="509">
        <v>46</v>
      </c>
      <c r="J78" s="391">
        <v>11</v>
      </c>
      <c r="K78" s="391">
        <v>6</v>
      </c>
      <c r="L78" s="529">
        <v>6246</v>
      </c>
      <c r="M78" s="514">
        <v>771</v>
      </c>
      <c r="N78" s="535">
        <v>845452</v>
      </c>
      <c r="O78" s="542">
        <v>66134</v>
      </c>
      <c r="P78" s="512">
        <f t="shared" si="1"/>
        <v>12.783923549157771</v>
      </c>
      <c r="Q78" s="513">
        <v>41278</v>
      </c>
    </row>
    <row r="79" spans="1:17" ht="11.25">
      <c r="A79" s="389">
        <v>78</v>
      </c>
      <c r="B79" s="497"/>
      <c r="C79" s="518" t="s">
        <v>525</v>
      </c>
      <c r="D79" s="506" t="s">
        <v>267</v>
      </c>
      <c r="E79" s="500" t="s">
        <v>73</v>
      </c>
      <c r="F79" s="519" t="s">
        <v>526</v>
      </c>
      <c r="G79" s="526">
        <v>41243</v>
      </c>
      <c r="H79" s="499" t="s">
        <v>10</v>
      </c>
      <c r="I79" s="509">
        <v>46</v>
      </c>
      <c r="J79" s="391">
        <v>1</v>
      </c>
      <c r="K79" s="391">
        <v>9</v>
      </c>
      <c r="L79" s="510">
        <v>2975</v>
      </c>
      <c r="M79" s="511">
        <v>595</v>
      </c>
      <c r="N79" s="535">
        <v>12459258</v>
      </c>
      <c r="O79" s="542">
        <v>1060706</v>
      </c>
      <c r="P79" s="512">
        <f t="shared" si="1"/>
        <v>11.746193572959896</v>
      </c>
      <c r="Q79" s="513">
        <v>41327</v>
      </c>
    </row>
    <row r="80" spans="1:17" ht="11.25">
      <c r="A80" s="389">
        <v>79</v>
      </c>
      <c r="B80" s="497"/>
      <c r="C80" s="518" t="s">
        <v>525</v>
      </c>
      <c r="D80" s="506" t="s">
        <v>267</v>
      </c>
      <c r="E80" s="500" t="s">
        <v>73</v>
      </c>
      <c r="F80" s="519" t="s">
        <v>526</v>
      </c>
      <c r="G80" s="526">
        <v>41243</v>
      </c>
      <c r="H80" s="499" t="s">
        <v>10</v>
      </c>
      <c r="I80" s="509">
        <v>46</v>
      </c>
      <c r="J80" s="423">
        <v>1</v>
      </c>
      <c r="K80" s="423">
        <v>13</v>
      </c>
      <c r="L80" s="558">
        <v>2380</v>
      </c>
      <c r="M80" s="559">
        <v>476</v>
      </c>
      <c r="N80" s="440">
        <v>961700</v>
      </c>
      <c r="O80" s="441">
        <v>74884</v>
      </c>
      <c r="P80" s="515">
        <f t="shared" si="1"/>
        <v>12.842529779392127</v>
      </c>
      <c r="Q80" s="516">
        <v>41355</v>
      </c>
    </row>
    <row r="81" spans="1:17" ht="11.25">
      <c r="A81" s="389">
        <v>80</v>
      </c>
      <c r="B81" s="402"/>
      <c r="C81" s="501" t="s">
        <v>525</v>
      </c>
      <c r="D81" s="492" t="s">
        <v>267</v>
      </c>
      <c r="E81" s="490" t="s">
        <v>73</v>
      </c>
      <c r="F81" s="392" t="s">
        <v>526</v>
      </c>
      <c r="G81" s="493">
        <v>41243</v>
      </c>
      <c r="H81" s="491" t="s">
        <v>10</v>
      </c>
      <c r="I81" s="509">
        <v>46</v>
      </c>
      <c r="J81" s="423">
        <v>1</v>
      </c>
      <c r="K81" s="423">
        <v>14</v>
      </c>
      <c r="L81" s="503">
        <v>2380</v>
      </c>
      <c r="M81" s="504">
        <v>476</v>
      </c>
      <c r="N81" s="538">
        <v>964080</v>
      </c>
      <c r="O81" s="544">
        <v>75360</v>
      </c>
      <c r="P81" s="512">
        <f aca="true" t="shared" si="2" ref="P81:P103">N81/O81</f>
        <v>12.792993630573248</v>
      </c>
      <c r="Q81" s="513">
        <v>41516</v>
      </c>
    </row>
    <row r="82" spans="1:17" ht="11.25">
      <c r="A82" s="389">
        <v>81</v>
      </c>
      <c r="B82" s="497"/>
      <c r="C82" s="518" t="s">
        <v>525</v>
      </c>
      <c r="D82" s="492" t="s">
        <v>267</v>
      </c>
      <c r="E82" s="490" t="s">
        <v>73</v>
      </c>
      <c r="F82" s="392" t="s">
        <v>526</v>
      </c>
      <c r="G82" s="493">
        <v>41243</v>
      </c>
      <c r="H82" s="499" t="s">
        <v>10</v>
      </c>
      <c r="I82" s="509">
        <v>46</v>
      </c>
      <c r="J82" s="391">
        <v>2</v>
      </c>
      <c r="K82" s="391">
        <v>7</v>
      </c>
      <c r="L82" s="529">
        <v>1707</v>
      </c>
      <c r="M82" s="514">
        <v>196</v>
      </c>
      <c r="N82" s="541">
        <v>847159</v>
      </c>
      <c r="O82" s="547">
        <v>66330</v>
      </c>
      <c r="P82" s="512">
        <f t="shared" si="2"/>
        <v>12.771883009196442</v>
      </c>
      <c r="Q82" s="513">
        <v>41285</v>
      </c>
    </row>
    <row r="83" spans="1:17" ht="11.25">
      <c r="A83" s="389">
        <v>82</v>
      </c>
      <c r="B83" s="497"/>
      <c r="C83" s="518" t="s">
        <v>525</v>
      </c>
      <c r="D83" s="492" t="s">
        <v>267</v>
      </c>
      <c r="E83" s="490" t="s">
        <v>73</v>
      </c>
      <c r="F83" s="392" t="s">
        <v>526</v>
      </c>
      <c r="G83" s="493">
        <v>41243</v>
      </c>
      <c r="H83" s="499" t="s">
        <v>10</v>
      </c>
      <c r="I83" s="509">
        <v>46</v>
      </c>
      <c r="J83" s="391">
        <v>1</v>
      </c>
      <c r="K83" s="391">
        <v>8</v>
      </c>
      <c r="L83" s="529">
        <v>700</v>
      </c>
      <c r="M83" s="514">
        <v>100</v>
      </c>
      <c r="N83" s="541">
        <v>847859</v>
      </c>
      <c r="O83" s="547">
        <v>66430</v>
      </c>
      <c r="P83" s="512">
        <f t="shared" si="2"/>
        <v>12.763194339906669</v>
      </c>
      <c r="Q83" s="513">
        <v>41292</v>
      </c>
    </row>
    <row r="84" spans="1:17" ht="11.25">
      <c r="A84" s="389">
        <v>83</v>
      </c>
      <c r="B84" s="498"/>
      <c r="C84" s="549" t="s">
        <v>106</v>
      </c>
      <c r="D84" s="560"/>
      <c r="E84" s="506" t="s">
        <v>377</v>
      </c>
      <c r="F84" s="560" t="s">
        <v>107</v>
      </c>
      <c r="G84" s="526">
        <v>39073</v>
      </c>
      <c r="H84" s="499" t="s">
        <v>47</v>
      </c>
      <c r="I84" s="556">
        <v>51</v>
      </c>
      <c r="J84" s="423">
        <v>1</v>
      </c>
      <c r="K84" s="423">
        <v>28</v>
      </c>
      <c r="L84" s="558">
        <v>3602</v>
      </c>
      <c r="M84" s="559">
        <v>707</v>
      </c>
      <c r="N84" s="440">
        <v>444265.5</v>
      </c>
      <c r="O84" s="441">
        <v>60613</v>
      </c>
      <c r="P84" s="515">
        <f t="shared" si="2"/>
        <v>7.329541517496247</v>
      </c>
      <c r="Q84" s="516">
        <v>41355</v>
      </c>
    </row>
    <row r="85" spans="1:17" ht="11.25">
      <c r="A85" s="389">
        <v>84</v>
      </c>
      <c r="B85" s="498"/>
      <c r="C85" s="549" t="s">
        <v>106</v>
      </c>
      <c r="D85" s="496"/>
      <c r="E85" s="492" t="s">
        <v>377</v>
      </c>
      <c r="F85" s="496" t="s">
        <v>107</v>
      </c>
      <c r="G85" s="493">
        <v>39073</v>
      </c>
      <c r="H85" s="499" t="s">
        <v>47</v>
      </c>
      <c r="I85" s="527">
        <v>51</v>
      </c>
      <c r="J85" s="556">
        <v>1</v>
      </c>
      <c r="K85" s="556">
        <v>29</v>
      </c>
      <c r="L85" s="554">
        <v>1801.5</v>
      </c>
      <c r="M85" s="555">
        <v>360</v>
      </c>
      <c r="N85" s="438">
        <f>145565+155630+55982+15271+7453.5+9440+11300.5+7141.5+2772.5+2945+30+431+4621+226+400+118+79+0+1201+1802+1801.5+4562+1681.5+1682+1681.5+1681.5+3363+1801.5</f>
        <v>440663.5</v>
      </c>
      <c r="O85" s="439">
        <f>17748+18932+7628+2641+1317+1724+2010+1184+553+655+5+131+1001+24+110+22+13+0+240+360+360+872+336+336+336+336+672+360</f>
        <v>59906</v>
      </c>
      <c r="P85" s="512">
        <f t="shared" si="2"/>
        <v>7.355915934964778</v>
      </c>
      <c r="Q85" s="513">
        <v>41285</v>
      </c>
    </row>
    <row r="86" spans="1:17" ht="11.25">
      <c r="A86" s="389">
        <v>85</v>
      </c>
      <c r="B86" s="498"/>
      <c r="C86" s="442" t="s">
        <v>106</v>
      </c>
      <c r="D86" s="560"/>
      <c r="E86" s="506" t="s">
        <v>377</v>
      </c>
      <c r="F86" s="560" t="s">
        <v>107</v>
      </c>
      <c r="G86" s="526">
        <v>39073</v>
      </c>
      <c r="H86" s="499" t="s">
        <v>47</v>
      </c>
      <c r="I86" s="556">
        <v>51</v>
      </c>
      <c r="J86" s="560">
        <v>1</v>
      </c>
      <c r="K86" s="560">
        <v>28</v>
      </c>
      <c r="L86" s="662">
        <v>1800</v>
      </c>
      <c r="M86" s="663">
        <v>338</v>
      </c>
      <c r="N86" s="664">
        <v>446065.5</v>
      </c>
      <c r="O86" s="665">
        <v>60951</v>
      </c>
      <c r="P86" s="515">
        <f t="shared" si="2"/>
        <v>7.318427917507506</v>
      </c>
      <c r="Q86" s="516">
        <v>41418</v>
      </c>
    </row>
    <row r="87" spans="1:17" ht="11.25">
      <c r="A87" s="389">
        <v>86</v>
      </c>
      <c r="B87" s="498"/>
      <c r="C87" s="549" t="s">
        <v>176</v>
      </c>
      <c r="D87" s="560"/>
      <c r="E87" s="506" t="s">
        <v>377</v>
      </c>
      <c r="F87" s="560" t="s">
        <v>177</v>
      </c>
      <c r="G87" s="526">
        <v>39192</v>
      </c>
      <c r="H87" s="499" t="s">
        <v>47</v>
      </c>
      <c r="I87" s="509">
        <v>82</v>
      </c>
      <c r="J87" s="423">
        <v>1</v>
      </c>
      <c r="K87" s="423">
        <v>28</v>
      </c>
      <c r="L87" s="558">
        <v>3603</v>
      </c>
      <c r="M87" s="559">
        <v>713</v>
      </c>
      <c r="N87" s="440">
        <v>786777</v>
      </c>
      <c r="O87" s="441">
        <v>103139</v>
      </c>
      <c r="P87" s="515">
        <f t="shared" si="2"/>
        <v>7.628317125432669</v>
      </c>
      <c r="Q87" s="516">
        <v>41355</v>
      </c>
    </row>
    <row r="88" spans="1:17" ht="11.25">
      <c r="A88" s="389">
        <v>87</v>
      </c>
      <c r="B88" s="498"/>
      <c r="C88" s="549" t="s">
        <v>176</v>
      </c>
      <c r="D88" s="496"/>
      <c r="E88" s="492" t="s">
        <v>377</v>
      </c>
      <c r="F88" s="496" t="s">
        <v>177</v>
      </c>
      <c r="G88" s="493">
        <v>39192</v>
      </c>
      <c r="H88" s="499" t="s">
        <v>47</v>
      </c>
      <c r="I88" s="506">
        <v>82</v>
      </c>
      <c r="J88" s="556">
        <v>1</v>
      </c>
      <c r="K88" s="556">
        <v>27</v>
      </c>
      <c r="L88" s="554">
        <v>1801.5</v>
      </c>
      <c r="M88" s="555">
        <v>360</v>
      </c>
      <c r="N88" s="438">
        <f>407730+156171.5+87089+48964+29084+13173.5+8330+7579.5+805.5+1100+1464+3021+264+123+23+430+70+2408+0.5+234+42+54+3003+1801.5+3363+1681.5+3363+1801.5</f>
        <v>783174</v>
      </c>
      <c r="O88" s="439">
        <f>48903+19527+11239+7709+5693+3389+1770+1751+250+248+325+755+88+19+3+86+14+602+39+7+9+600+360+672+336+672+360</f>
        <v>105426</v>
      </c>
      <c r="P88" s="512">
        <f t="shared" si="2"/>
        <v>7.428660861647032</v>
      </c>
      <c r="Q88" s="513">
        <v>41285</v>
      </c>
    </row>
    <row r="89" spans="1:17" ht="11.25">
      <c r="A89" s="389">
        <v>88</v>
      </c>
      <c r="B89" s="498"/>
      <c r="C89" s="442" t="s">
        <v>176</v>
      </c>
      <c r="D89" s="560"/>
      <c r="E89" s="506" t="s">
        <v>377</v>
      </c>
      <c r="F89" s="560" t="s">
        <v>177</v>
      </c>
      <c r="G89" s="526">
        <v>39192</v>
      </c>
      <c r="H89" s="499" t="s">
        <v>47</v>
      </c>
      <c r="I89" s="509">
        <v>82</v>
      </c>
      <c r="J89" s="560">
        <v>1</v>
      </c>
      <c r="K89" s="560">
        <v>28</v>
      </c>
      <c r="L89" s="662">
        <v>1800</v>
      </c>
      <c r="M89" s="663">
        <v>338</v>
      </c>
      <c r="N89" s="664">
        <v>788577</v>
      </c>
      <c r="O89" s="665">
        <v>106477</v>
      </c>
      <c r="P89" s="515">
        <f t="shared" si="2"/>
        <v>7.406078307991397</v>
      </c>
      <c r="Q89" s="516">
        <v>41418</v>
      </c>
    </row>
    <row r="90" spans="1:17" ht="11.25">
      <c r="A90" s="389">
        <v>89</v>
      </c>
      <c r="B90" s="497" t="s">
        <v>48</v>
      </c>
      <c r="C90" s="520" t="s">
        <v>494</v>
      </c>
      <c r="D90" s="500" t="s">
        <v>497</v>
      </c>
      <c r="E90" s="506"/>
      <c r="F90" s="560" t="s">
        <v>494</v>
      </c>
      <c r="G90" s="508">
        <v>41215</v>
      </c>
      <c r="H90" s="499" t="s">
        <v>59</v>
      </c>
      <c r="I90" s="556">
        <v>13</v>
      </c>
      <c r="J90" s="509">
        <v>1</v>
      </c>
      <c r="K90" s="509">
        <v>13</v>
      </c>
      <c r="L90" s="510">
        <v>9504</v>
      </c>
      <c r="M90" s="511">
        <v>1900</v>
      </c>
      <c r="N90" s="535">
        <f>50279+37132.9+17488.37+10011+7888+4770.5+1401+2773+654+553+4387+270+9504</f>
        <v>147111.77</v>
      </c>
      <c r="O90" s="542">
        <f>4985+3984+2111+1265+1531+745+193+369+109+89+817+45+1900</f>
        <v>18143</v>
      </c>
      <c r="P90" s="512">
        <f t="shared" si="2"/>
        <v>8.108458909772363</v>
      </c>
      <c r="Q90" s="513">
        <v>41341</v>
      </c>
    </row>
    <row r="91" spans="1:17" ht="11.25">
      <c r="A91" s="389">
        <v>90</v>
      </c>
      <c r="B91" s="497" t="s">
        <v>48</v>
      </c>
      <c r="C91" s="460" t="s">
        <v>494</v>
      </c>
      <c r="D91" s="340" t="s">
        <v>497</v>
      </c>
      <c r="E91" s="492"/>
      <c r="F91" s="496" t="s">
        <v>494</v>
      </c>
      <c r="G91" s="495">
        <v>41215</v>
      </c>
      <c r="H91" s="499" t="s">
        <v>59</v>
      </c>
      <c r="I91" s="556">
        <v>13</v>
      </c>
      <c r="J91" s="666">
        <v>3</v>
      </c>
      <c r="K91" s="666">
        <v>11</v>
      </c>
      <c r="L91" s="529">
        <v>4387</v>
      </c>
      <c r="M91" s="514">
        <v>817</v>
      </c>
      <c r="N91" s="539">
        <f>50279+37132.9+17488.37+10011+7888+4770.5+1401+2773+654+553+4387</f>
        <v>137337.77</v>
      </c>
      <c r="O91" s="545">
        <f>4985+3984+2111+1265+1531+745+193+369+109+89+817</f>
        <v>16198</v>
      </c>
      <c r="P91" s="512">
        <f t="shared" si="2"/>
        <v>8.478686874922829</v>
      </c>
      <c r="Q91" s="513">
        <v>41292</v>
      </c>
    </row>
    <row r="92" spans="1:17" ht="11.25">
      <c r="A92" s="389">
        <v>91</v>
      </c>
      <c r="B92" s="497" t="s">
        <v>48</v>
      </c>
      <c r="C92" s="460" t="s">
        <v>494</v>
      </c>
      <c r="D92" s="340" t="s">
        <v>497</v>
      </c>
      <c r="E92" s="492"/>
      <c r="F92" s="496" t="s">
        <v>494</v>
      </c>
      <c r="G92" s="495">
        <v>41215</v>
      </c>
      <c r="H92" s="499" t="s">
        <v>59</v>
      </c>
      <c r="I92" s="556">
        <v>13</v>
      </c>
      <c r="J92" s="575">
        <v>1</v>
      </c>
      <c r="K92" s="575">
        <v>8</v>
      </c>
      <c r="L92" s="529">
        <v>654</v>
      </c>
      <c r="M92" s="514">
        <v>109</v>
      </c>
      <c r="N92" s="535">
        <f>50279+37132.9+17488.37+10011+7888+4770.5+1401+2773+654</f>
        <v>132397.77</v>
      </c>
      <c r="O92" s="542">
        <f>4985+3984+2111+1265+1531+745+193+369+109</f>
        <v>15292</v>
      </c>
      <c r="P92" s="512">
        <f t="shared" si="2"/>
        <v>8.657976065916818</v>
      </c>
      <c r="Q92" s="513">
        <v>41278</v>
      </c>
    </row>
    <row r="93" spans="1:17" ht="11.25">
      <c r="A93" s="389">
        <v>92</v>
      </c>
      <c r="B93" s="497" t="s">
        <v>48</v>
      </c>
      <c r="C93" s="460" t="s">
        <v>494</v>
      </c>
      <c r="D93" s="340" t="s">
        <v>497</v>
      </c>
      <c r="E93" s="492"/>
      <c r="F93" s="496" t="s">
        <v>494</v>
      </c>
      <c r="G93" s="495">
        <v>41215</v>
      </c>
      <c r="H93" s="499" t="s">
        <v>59</v>
      </c>
      <c r="I93" s="556">
        <v>13</v>
      </c>
      <c r="J93" s="509">
        <v>2</v>
      </c>
      <c r="K93" s="509">
        <v>9</v>
      </c>
      <c r="L93" s="529">
        <v>553</v>
      </c>
      <c r="M93" s="514">
        <v>89</v>
      </c>
      <c r="N93" s="541">
        <f>50279+37132.9+17488.37+10011+7888+4770.5+1401+2773+654+553</f>
        <v>132950.77</v>
      </c>
      <c r="O93" s="547">
        <f>4985+3984+2111+1265+1531+745+193+369+109+89</f>
        <v>15381</v>
      </c>
      <c r="P93" s="512">
        <f t="shared" si="2"/>
        <v>8.643831350367336</v>
      </c>
      <c r="Q93" s="513">
        <v>41285</v>
      </c>
    </row>
    <row r="94" spans="1:17" ht="11.25">
      <c r="A94" s="389">
        <v>93</v>
      </c>
      <c r="B94" s="497" t="s">
        <v>48</v>
      </c>
      <c r="C94" s="460" t="s">
        <v>494</v>
      </c>
      <c r="D94" s="340" t="s">
        <v>497</v>
      </c>
      <c r="E94" s="492"/>
      <c r="F94" s="496" t="s">
        <v>494</v>
      </c>
      <c r="G94" s="495">
        <v>41215</v>
      </c>
      <c r="H94" s="499" t="s">
        <v>59</v>
      </c>
      <c r="I94" s="556">
        <v>13</v>
      </c>
      <c r="J94" s="506">
        <v>1</v>
      </c>
      <c r="K94" s="506">
        <v>12</v>
      </c>
      <c r="L94" s="529">
        <v>270</v>
      </c>
      <c r="M94" s="511">
        <v>45</v>
      </c>
      <c r="N94" s="541">
        <f>50279+37132.9+17488.37+10011+7888+4770.5+1401+2773+654+553+4387+270</f>
        <v>137607.77</v>
      </c>
      <c r="O94" s="542">
        <f>4985+3984+2111+1265+1531+745+193+369+109+89+817+45</f>
        <v>16243</v>
      </c>
      <c r="P94" s="515">
        <f t="shared" si="2"/>
        <v>8.47181986086314</v>
      </c>
      <c r="Q94" s="516">
        <v>41306</v>
      </c>
    </row>
    <row r="95" spans="1:17" ht="11.25">
      <c r="A95" s="389">
        <v>94</v>
      </c>
      <c r="B95" s="497" t="s">
        <v>48</v>
      </c>
      <c r="C95" s="520" t="s">
        <v>494</v>
      </c>
      <c r="D95" s="500" t="s">
        <v>497</v>
      </c>
      <c r="E95" s="506"/>
      <c r="F95" s="560" t="s">
        <v>494</v>
      </c>
      <c r="G95" s="508">
        <v>41215</v>
      </c>
      <c r="H95" s="499" t="s">
        <v>59</v>
      </c>
      <c r="I95" s="556">
        <v>13</v>
      </c>
      <c r="J95" s="509">
        <v>1</v>
      </c>
      <c r="K95" s="509">
        <v>11</v>
      </c>
      <c r="L95" s="648">
        <v>216</v>
      </c>
      <c r="M95" s="649">
        <v>33</v>
      </c>
      <c r="N95" s="539">
        <f>50279+37132.9+17488.37+10011+7888+4770.5+1401+2773+654+553+4387+270+9504+216</f>
        <v>147327.77</v>
      </c>
      <c r="O95" s="545">
        <f>4985+3984+2111+1265+1531+745+193+369+109+89+817+45+1900+33</f>
        <v>18176</v>
      </c>
      <c r="P95" s="512">
        <f t="shared" si="2"/>
        <v>8.105621148767606</v>
      </c>
      <c r="Q95" s="513">
        <v>41348</v>
      </c>
    </row>
    <row r="96" spans="1:17" ht="11.25">
      <c r="A96" s="389">
        <v>95</v>
      </c>
      <c r="B96" s="497" t="s">
        <v>48</v>
      </c>
      <c r="C96" s="520" t="s">
        <v>494</v>
      </c>
      <c r="D96" s="500" t="s">
        <v>497</v>
      </c>
      <c r="E96" s="506"/>
      <c r="F96" s="560" t="s">
        <v>494</v>
      </c>
      <c r="G96" s="508">
        <v>41215</v>
      </c>
      <c r="H96" s="499" t="s">
        <v>59</v>
      </c>
      <c r="I96" s="556">
        <v>13</v>
      </c>
      <c r="J96" s="517">
        <v>1</v>
      </c>
      <c r="K96" s="517">
        <v>15</v>
      </c>
      <c r="L96" s="529">
        <v>163.5</v>
      </c>
      <c r="M96" s="514">
        <v>32</v>
      </c>
      <c r="N96" s="541">
        <f>50279+37132.9+17488.37+10011+7888+4770.5+1401+2773+654+553+4387+270+9504+216+163.5</f>
        <v>147491.27</v>
      </c>
      <c r="O96" s="547">
        <f>4985+3984+2111+1265+1531+745+193+369+109+89+817+45+1900+33+32</f>
        <v>18208</v>
      </c>
      <c r="P96" s="515">
        <f t="shared" si="2"/>
        <v>8.100355338312829</v>
      </c>
      <c r="Q96" s="516">
        <v>41355</v>
      </c>
    </row>
    <row r="97" spans="1:17" ht="11.25">
      <c r="A97" s="389">
        <v>96</v>
      </c>
      <c r="B97" s="497" t="s">
        <v>48</v>
      </c>
      <c r="C97" s="520" t="s">
        <v>494</v>
      </c>
      <c r="D97" s="500" t="s">
        <v>497</v>
      </c>
      <c r="E97" s="506"/>
      <c r="F97" s="560" t="s">
        <v>494</v>
      </c>
      <c r="G97" s="508">
        <v>41215</v>
      </c>
      <c r="H97" s="499" t="s">
        <v>59</v>
      </c>
      <c r="I97" s="556">
        <v>13</v>
      </c>
      <c r="J97" s="517">
        <v>1</v>
      </c>
      <c r="K97" s="517">
        <v>16</v>
      </c>
      <c r="L97" s="510">
        <v>45</v>
      </c>
      <c r="M97" s="511">
        <v>6</v>
      </c>
      <c r="N97" s="535">
        <f>50279+37132.9+17488.37+10011+7888+4770.5+1401+2773+654+553+4387+270+9504+216+163.5+45</f>
        <v>147536.27</v>
      </c>
      <c r="O97" s="542">
        <f>4985+3984+2111+1265+1531+745+193+369+109+89+817+45+1900+33+32+6</f>
        <v>18214</v>
      </c>
      <c r="P97" s="512">
        <f t="shared" si="2"/>
        <v>8.100157571099153</v>
      </c>
      <c r="Q97" s="513">
        <v>41362</v>
      </c>
    </row>
    <row r="98" spans="1:17" ht="11.25">
      <c r="A98" s="389">
        <v>97</v>
      </c>
      <c r="B98" s="497"/>
      <c r="C98" s="520" t="s">
        <v>558</v>
      </c>
      <c r="D98" s="491" t="s">
        <v>560</v>
      </c>
      <c r="E98" s="491" t="s">
        <v>75</v>
      </c>
      <c r="F98" s="491" t="s">
        <v>559</v>
      </c>
      <c r="G98" s="495">
        <v>41264</v>
      </c>
      <c r="H98" s="499" t="s">
        <v>46</v>
      </c>
      <c r="I98" s="509">
        <v>17</v>
      </c>
      <c r="J98" s="640">
        <v>9</v>
      </c>
      <c r="K98" s="640">
        <v>4</v>
      </c>
      <c r="L98" s="554">
        <v>12075</v>
      </c>
      <c r="M98" s="555">
        <v>1571</v>
      </c>
      <c r="N98" s="438">
        <v>164749.51</v>
      </c>
      <c r="O98" s="439">
        <v>13335</v>
      </c>
      <c r="P98" s="512">
        <f t="shared" si="2"/>
        <v>12.354668916385453</v>
      </c>
      <c r="Q98" s="513">
        <v>41285</v>
      </c>
    </row>
    <row r="99" spans="1:17" ht="11.25">
      <c r="A99" s="389">
        <v>98</v>
      </c>
      <c r="B99" s="497"/>
      <c r="C99" s="520" t="s">
        <v>558</v>
      </c>
      <c r="D99" s="491" t="s">
        <v>560</v>
      </c>
      <c r="E99" s="491" t="s">
        <v>75</v>
      </c>
      <c r="F99" s="491" t="s">
        <v>559</v>
      </c>
      <c r="G99" s="495">
        <v>41264</v>
      </c>
      <c r="H99" s="499" t="s">
        <v>46</v>
      </c>
      <c r="I99" s="509">
        <v>17</v>
      </c>
      <c r="J99" s="640">
        <v>10</v>
      </c>
      <c r="K99" s="640">
        <v>3</v>
      </c>
      <c r="L99" s="554">
        <v>6306.17</v>
      </c>
      <c r="M99" s="555">
        <v>549</v>
      </c>
      <c r="N99" s="646">
        <v>152674.51</v>
      </c>
      <c r="O99" s="645">
        <v>11764</v>
      </c>
      <c r="P99" s="512">
        <f t="shared" si="2"/>
        <v>12.978112036722203</v>
      </c>
      <c r="Q99" s="513">
        <v>41278</v>
      </c>
    </row>
    <row r="100" spans="1:17" ht="11.25">
      <c r="A100" s="389">
        <v>99</v>
      </c>
      <c r="B100" s="497"/>
      <c r="C100" s="520" t="s">
        <v>558</v>
      </c>
      <c r="D100" s="491" t="s">
        <v>560</v>
      </c>
      <c r="E100" s="491" t="s">
        <v>75</v>
      </c>
      <c r="F100" s="491" t="s">
        <v>559</v>
      </c>
      <c r="G100" s="495">
        <v>41264</v>
      </c>
      <c r="H100" s="499" t="s">
        <v>46</v>
      </c>
      <c r="I100" s="509">
        <v>17</v>
      </c>
      <c r="J100" s="509">
        <v>1</v>
      </c>
      <c r="K100" s="509">
        <v>6</v>
      </c>
      <c r="L100" s="531">
        <v>720</v>
      </c>
      <c r="M100" s="534">
        <v>77</v>
      </c>
      <c r="N100" s="550">
        <v>166153.51</v>
      </c>
      <c r="O100" s="552">
        <v>13523</v>
      </c>
      <c r="P100" s="512">
        <f t="shared" si="2"/>
        <v>12.286734452414406</v>
      </c>
      <c r="Q100" s="513">
        <v>41299</v>
      </c>
    </row>
    <row r="101" spans="1:17" ht="11.25">
      <c r="A101" s="389">
        <v>100</v>
      </c>
      <c r="B101" s="497"/>
      <c r="C101" s="520" t="s">
        <v>558</v>
      </c>
      <c r="D101" s="491" t="s">
        <v>560</v>
      </c>
      <c r="E101" s="491" t="s">
        <v>75</v>
      </c>
      <c r="F101" s="491" t="s">
        <v>559</v>
      </c>
      <c r="G101" s="495">
        <v>41264</v>
      </c>
      <c r="H101" s="499" t="s">
        <v>46</v>
      </c>
      <c r="I101" s="509">
        <v>17</v>
      </c>
      <c r="J101" s="667">
        <v>3</v>
      </c>
      <c r="K101" s="667">
        <v>5</v>
      </c>
      <c r="L101" s="642">
        <v>684</v>
      </c>
      <c r="M101" s="651">
        <v>111</v>
      </c>
      <c r="N101" s="644">
        <v>165433.51</v>
      </c>
      <c r="O101" s="652">
        <v>13446</v>
      </c>
      <c r="P101" s="512">
        <f t="shared" si="2"/>
        <v>12.303548267142645</v>
      </c>
      <c r="Q101" s="513">
        <v>41292</v>
      </c>
    </row>
    <row r="102" spans="1:17" ht="11.25">
      <c r="A102" s="389">
        <v>101</v>
      </c>
      <c r="B102" s="497"/>
      <c r="C102" s="520" t="s">
        <v>558</v>
      </c>
      <c r="D102" s="491" t="s">
        <v>560</v>
      </c>
      <c r="E102" s="491" t="s">
        <v>75</v>
      </c>
      <c r="F102" s="491" t="s">
        <v>559</v>
      </c>
      <c r="G102" s="495">
        <v>41264</v>
      </c>
      <c r="H102" s="499" t="s">
        <v>46</v>
      </c>
      <c r="I102" s="509">
        <v>17</v>
      </c>
      <c r="J102" s="641">
        <v>1</v>
      </c>
      <c r="K102" s="641">
        <v>7</v>
      </c>
      <c r="L102" s="642">
        <v>164</v>
      </c>
      <c r="M102" s="643">
        <v>20</v>
      </c>
      <c r="N102" s="644">
        <v>166317.51</v>
      </c>
      <c r="O102" s="645">
        <v>13543</v>
      </c>
      <c r="P102" s="515">
        <f t="shared" si="2"/>
        <v>12.280699254227276</v>
      </c>
      <c r="Q102" s="516">
        <v>41306</v>
      </c>
    </row>
    <row r="103" spans="1:17" ht="11.25">
      <c r="A103" s="389">
        <v>102</v>
      </c>
      <c r="B103" s="497"/>
      <c r="C103" s="520" t="s">
        <v>558</v>
      </c>
      <c r="D103" s="491" t="s">
        <v>560</v>
      </c>
      <c r="E103" s="491" t="s">
        <v>75</v>
      </c>
      <c r="F103" s="491" t="s">
        <v>559</v>
      </c>
      <c r="G103" s="508">
        <v>41264</v>
      </c>
      <c r="H103" s="499" t="s">
        <v>46</v>
      </c>
      <c r="I103" s="509">
        <v>17</v>
      </c>
      <c r="J103" s="509">
        <v>1</v>
      </c>
      <c r="K103" s="509">
        <v>8</v>
      </c>
      <c r="L103" s="531">
        <v>118</v>
      </c>
      <c r="M103" s="555">
        <v>14</v>
      </c>
      <c r="N103" s="550">
        <v>166435.51</v>
      </c>
      <c r="O103" s="439">
        <v>13557</v>
      </c>
      <c r="P103" s="515">
        <f t="shared" si="2"/>
        <v>12.276721251014237</v>
      </c>
      <c r="Q103" s="516">
        <v>41313</v>
      </c>
    </row>
    <row r="104" spans="1:17" ht="11.25">
      <c r="A104" s="389">
        <v>103</v>
      </c>
      <c r="B104" s="477"/>
      <c r="C104" s="461" t="s">
        <v>558</v>
      </c>
      <c r="D104" s="365" t="s">
        <v>560</v>
      </c>
      <c r="E104" s="365" t="s">
        <v>75</v>
      </c>
      <c r="F104" s="365" t="s">
        <v>559</v>
      </c>
      <c r="G104" s="367">
        <v>41264</v>
      </c>
      <c r="H104" s="365" t="s">
        <v>46</v>
      </c>
      <c r="I104" s="395">
        <v>17</v>
      </c>
      <c r="J104" s="363">
        <v>1</v>
      </c>
      <c r="K104" s="363">
        <v>9</v>
      </c>
      <c r="L104" s="426">
        <v>101</v>
      </c>
      <c r="M104" s="427">
        <v>20</v>
      </c>
      <c r="N104" s="445">
        <v>166536.51</v>
      </c>
      <c r="O104" s="446">
        <v>13577</v>
      </c>
      <c r="P104" s="396">
        <v>12.266075716284893</v>
      </c>
      <c r="Q104" s="397">
        <v>41425</v>
      </c>
    </row>
    <row r="105" spans="1:17" ht="11.25">
      <c r="A105" s="389">
        <v>104</v>
      </c>
      <c r="B105" s="498" t="s">
        <v>48</v>
      </c>
      <c r="C105" s="549" t="s">
        <v>555</v>
      </c>
      <c r="D105" s="496" t="s">
        <v>556</v>
      </c>
      <c r="E105" s="492"/>
      <c r="F105" s="496" t="s">
        <v>555</v>
      </c>
      <c r="G105" s="495">
        <v>41257</v>
      </c>
      <c r="H105" s="499" t="s">
        <v>8</v>
      </c>
      <c r="I105" s="556">
        <v>155</v>
      </c>
      <c r="J105" s="423">
        <v>37</v>
      </c>
      <c r="K105" s="423">
        <v>4</v>
      </c>
      <c r="L105" s="529">
        <v>13266</v>
      </c>
      <c r="M105" s="514">
        <v>1737</v>
      </c>
      <c r="N105" s="535">
        <v>870459</v>
      </c>
      <c r="O105" s="542">
        <v>96019</v>
      </c>
      <c r="P105" s="512">
        <f aca="true" t="shared" si="3" ref="P105:P136">N105/O105</f>
        <v>9.065487039023527</v>
      </c>
      <c r="Q105" s="513">
        <v>41278</v>
      </c>
    </row>
    <row r="106" spans="1:17" ht="11.25">
      <c r="A106" s="389">
        <v>105</v>
      </c>
      <c r="B106" s="498" t="s">
        <v>48</v>
      </c>
      <c r="C106" s="549" t="s">
        <v>555</v>
      </c>
      <c r="D106" s="496" t="s">
        <v>556</v>
      </c>
      <c r="E106" s="492"/>
      <c r="F106" s="496" t="s">
        <v>555</v>
      </c>
      <c r="G106" s="495">
        <v>41257</v>
      </c>
      <c r="H106" s="499" t="s">
        <v>8</v>
      </c>
      <c r="I106" s="556">
        <v>155</v>
      </c>
      <c r="J106" s="423">
        <v>8</v>
      </c>
      <c r="K106" s="423">
        <v>5</v>
      </c>
      <c r="L106" s="529">
        <v>3350</v>
      </c>
      <c r="M106" s="514">
        <v>504</v>
      </c>
      <c r="N106" s="541">
        <v>873809</v>
      </c>
      <c r="O106" s="547">
        <v>96523</v>
      </c>
      <c r="P106" s="512">
        <f t="shared" si="3"/>
        <v>9.052857868072895</v>
      </c>
      <c r="Q106" s="513">
        <v>41285</v>
      </c>
    </row>
    <row r="107" spans="1:17" ht="11.25">
      <c r="A107" s="389">
        <v>106</v>
      </c>
      <c r="B107" s="498" t="s">
        <v>48</v>
      </c>
      <c r="C107" s="549" t="s">
        <v>555</v>
      </c>
      <c r="D107" s="560" t="s">
        <v>556</v>
      </c>
      <c r="E107" s="506"/>
      <c r="F107" s="560" t="s">
        <v>555</v>
      </c>
      <c r="G107" s="508">
        <v>41257</v>
      </c>
      <c r="H107" s="499" t="s">
        <v>8</v>
      </c>
      <c r="I107" s="556">
        <v>155</v>
      </c>
      <c r="J107" s="423">
        <v>1</v>
      </c>
      <c r="K107" s="423">
        <v>8</v>
      </c>
      <c r="L107" s="529">
        <v>1222</v>
      </c>
      <c r="M107" s="514">
        <v>241</v>
      </c>
      <c r="N107" s="541">
        <v>876697</v>
      </c>
      <c r="O107" s="547">
        <v>97149</v>
      </c>
      <c r="P107" s="512">
        <f t="shared" si="3"/>
        <v>9.024251407631576</v>
      </c>
      <c r="Q107" s="513">
        <v>41334</v>
      </c>
    </row>
    <row r="108" spans="1:17" ht="11.25">
      <c r="A108" s="389">
        <v>107</v>
      </c>
      <c r="B108" s="498" t="s">
        <v>48</v>
      </c>
      <c r="C108" s="549" t="s">
        <v>555</v>
      </c>
      <c r="D108" s="560" t="s">
        <v>556</v>
      </c>
      <c r="E108" s="506"/>
      <c r="F108" s="560" t="s">
        <v>555</v>
      </c>
      <c r="G108" s="508">
        <v>41257</v>
      </c>
      <c r="H108" s="499" t="s">
        <v>8</v>
      </c>
      <c r="I108" s="556">
        <v>155</v>
      </c>
      <c r="J108" s="560">
        <v>1</v>
      </c>
      <c r="K108" s="560">
        <v>9</v>
      </c>
      <c r="L108" s="510">
        <v>1140</v>
      </c>
      <c r="M108" s="511">
        <v>231</v>
      </c>
      <c r="N108" s="535">
        <v>877837</v>
      </c>
      <c r="O108" s="542">
        <v>97380</v>
      </c>
      <c r="P108" s="512">
        <f t="shared" si="3"/>
        <v>9.014551242554939</v>
      </c>
      <c r="Q108" s="513">
        <v>41341</v>
      </c>
    </row>
    <row r="109" spans="1:17" ht="11.25">
      <c r="A109" s="389">
        <v>108</v>
      </c>
      <c r="B109" s="498" t="s">
        <v>48</v>
      </c>
      <c r="C109" s="549" t="s">
        <v>555</v>
      </c>
      <c r="D109" s="496" t="s">
        <v>556</v>
      </c>
      <c r="E109" s="492"/>
      <c r="F109" s="496" t="s">
        <v>555</v>
      </c>
      <c r="G109" s="495">
        <v>41257</v>
      </c>
      <c r="H109" s="499" t="s">
        <v>8</v>
      </c>
      <c r="I109" s="556">
        <v>155</v>
      </c>
      <c r="J109" s="423">
        <v>3</v>
      </c>
      <c r="K109" s="423">
        <v>6</v>
      </c>
      <c r="L109" s="529">
        <v>952</v>
      </c>
      <c r="M109" s="514">
        <v>128</v>
      </c>
      <c r="N109" s="541">
        <v>874761</v>
      </c>
      <c r="O109" s="547">
        <v>96651</v>
      </c>
      <c r="P109" s="512">
        <f t="shared" si="3"/>
        <v>9.050718564732906</v>
      </c>
      <c r="Q109" s="513">
        <v>41292</v>
      </c>
    </row>
    <row r="110" spans="1:17" ht="11.25">
      <c r="A110" s="389">
        <v>109</v>
      </c>
      <c r="B110" s="498" t="s">
        <v>48</v>
      </c>
      <c r="C110" s="549" t="s">
        <v>555</v>
      </c>
      <c r="D110" s="496" t="s">
        <v>556</v>
      </c>
      <c r="E110" s="492"/>
      <c r="F110" s="496" t="s">
        <v>555</v>
      </c>
      <c r="G110" s="495">
        <v>41257</v>
      </c>
      <c r="H110" s="499" t="s">
        <v>8</v>
      </c>
      <c r="I110" s="556">
        <v>155</v>
      </c>
      <c r="J110" s="423">
        <v>1</v>
      </c>
      <c r="K110" s="423">
        <v>7</v>
      </c>
      <c r="L110" s="510">
        <v>714</v>
      </c>
      <c r="M110" s="511">
        <v>257</v>
      </c>
      <c r="N110" s="535">
        <v>875475</v>
      </c>
      <c r="O110" s="542">
        <v>96908</v>
      </c>
      <c r="P110" s="512">
        <f t="shared" si="3"/>
        <v>9.034083873364429</v>
      </c>
      <c r="Q110" s="513">
        <v>41299</v>
      </c>
    </row>
    <row r="111" spans="1:17" ht="11.25">
      <c r="A111" s="389">
        <v>110</v>
      </c>
      <c r="B111" s="498"/>
      <c r="C111" s="520" t="s">
        <v>350</v>
      </c>
      <c r="D111" s="500" t="s">
        <v>351</v>
      </c>
      <c r="E111" s="506" t="s">
        <v>265</v>
      </c>
      <c r="F111" s="560" t="s">
        <v>350</v>
      </c>
      <c r="G111" s="508">
        <v>41110</v>
      </c>
      <c r="H111" s="499" t="s">
        <v>59</v>
      </c>
      <c r="I111" s="509">
        <v>3</v>
      </c>
      <c r="J111" s="517">
        <v>1</v>
      </c>
      <c r="K111" s="517">
        <v>14</v>
      </c>
      <c r="L111" s="503">
        <v>1544.4</v>
      </c>
      <c r="M111" s="504">
        <v>309</v>
      </c>
      <c r="N111" s="538">
        <f>9664+5303+2688+1874+1352+1151.6+2940+586+2426+4158+1782+419+1188+1544.4</f>
        <v>37076</v>
      </c>
      <c r="O111" s="544">
        <f>787+459+235+251+204+146+357+61+224+832+356+127+238+309</f>
        <v>4586</v>
      </c>
      <c r="P111" s="512">
        <f t="shared" si="3"/>
        <v>8.084605320540776</v>
      </c>
      <c r="Q111" s="513">
        <v>41460</v>
      </c>
    </row>
    <row r="112" spans="1:17" ht="11.25">
      <c r="A112" s="389">
        <v>111</v>
      </c>
      <c r="B112" s="498"/>
      <c r="C112" s="520" t="s">
        <v>350</v>
      </c>
      <c r="D112" s="490" t="s">
        <v>351</v>
      </c>
      <c r="E112" s="492" t="s">
        <v>265</v>
      </c>
      <c r="F112" s="496" t="s">
        <v>350</v>
      </c>
      <c r="G112" s="495">
        <v>41110</v>
      </c>
      <c r="H112" s="499" t="s">
        <v>59</v>
      </c>
      <c r="I112" s="506">
        <v>3</v>
      </c>
      <c r="J112" s="509">
        <v>1</v>
      </c>
      <c r="K112" s="509">
        <v>13</v>
      </c>
      <c r="L112" s="529">
        <v>1188</v>
      </c>
      <c r="M112" s="514">
        <v>238</v>
      </c>
      <c r="N112" s="541">
        <f>9664+5303+2688+1874+1352+1151.6+2940+586+2426+4158+1782+419+1188</f>
        <v>35531.6</v>
      </c>
      <c r="O112" s="547">
        <f>787+459+235+251+204+146+357+61+224+832+356+127+238</f>
        <v>4277</v>
      </c>
      <c r="P112" s="512">
        <f t="shared" si="3"/>
        <v>8.307598784194528</v>
      </c>
      <c r="Q112" s="513">
        <v>41285</v>
      </c>
    </row>
    <row r="113" spans="1:17" ht="11.25">
      <c r="A113" s="389">
        <v>112</v>
      </c>
      <c r="B113" s="498"/>
      <c r="C113" s="502" t="s">
        <v>350</v>
      </c>
      <c r="D113" s="490" t="s">
        <v>351</v>
      </c>
      <c r="E113" s="492" t="s">
        <v>265</v>
      </c>
      <c r="F113" s="496" t="s">
        <v>350</v>
      </c>
      <c r="G113" s="495">
        <v>41110</v>
      </c>
      <c r="H113" s="491" t="s">
        <v>59</v>
      </c>
      <c r="I113" s="506">
        <v>3</v>
      </c>
      <c r="J113" s="507">
        <v>1</v>
      </c>
      <c r="K113" s="507">
        <v>14</v>
      </c>
      <c r="L113" s="528">
        <v>362</v>
      </c>
      <c r="M113" s="532">
        <v>34</v>
      </c>
      <c r="N113" s="537">
        <f>9664+5303+2688+1874+1352+1151.6+2940+586+2426+4158+1782+419+1188+1544.4+362</f>
        <v>37438</v>
      </c>
      <c r="O113" s="543">
        <f>787+459+235+251+204+146+357+61+224+832+356+127+238+309+34</f>
        <v>4620</v>
      </c>
      <c r="P113" s="515">
        <f t="shared" si="3"/>
        <v>8.103463203463203</v>
      </c>
      <c r="Q113" s="516">
        <v>41488</v>
      </c>
    </row>
    <row r="114" spans="1:17" ht="11.25">
      <c r="A114" s="389">
        <v>113</v>
      </c>
      <c r="B114" s="497" t="s">
        <v>48</v>
      </c>
      <c r="C114" s="549" t="s">
        <v>193</v>
      </c>
      <c r="D114" s="492" t="s">
        <v>143</v>
      </c>
      <c r="E114" s="492"/>
      <c r="F114" s="341" t="s">
        <v>193</v>
      </c>
      <c r="G114" s="493">
        <v>40935</v>
      </c>
      <c r="H114" s="499" t="s">
        <v>12</v>
      </c>
      <c r="I114" s="509">
        <v>352</v>
      </c>
      <c r="J114" s="575">
        <v>1</v>
      </c>
      <c r="K114" s="575">
        <v>50</v>
      </c>
      <c r="L114" s="554">
        <v>595</v>
      </c>
      <c r="M114" s="555">
        <v>105</v>
      </c>
      <c r="N114" s="550">
        <v>18247173</v>
      </c>
      <c r="O114" s="552">
        <v>1982867</v>
      </c>
      <c r="P114" s="512">
        <f t="shared" si="3"/>
        <v>9.202419022556732</v>
      </c>
      <c r="Q114" s="513">
        <v>41278</v>
      </c>
    </row>
    <row r="115" spans="1:17" ht="11.25">
      <c r="A115" s="389">
        <v>114</v>
      </c>
      <c r="B115" s="497" t="s">
        <v>48</v>
      </c>
      <c r="C115" s="549" t="s">
        <v>193</v>
      </c>
      <c r="D115" s="492" t="s">
        <v>143</v>
      </c>
      <c r="E115" s="492"/>
      <c r="F115" s="341" t="s">
        <v>193</v>
      </c>
      <c r="G115" s="493">
        <v>40935</v>
      </c>
      <c r="H115" s="499" t="s">
        <v>12</v>
      </c>
      <c r="I115" s="509">
        <v>352</v>
      </c>
      <c r="J115" s="575">
        <v>1</v>
      </c>
      <c r="K115" s="575">
        <v>51</v>
      </c>
      <c r="L115" s="530">
        <v>595</v>
      </c>
      <c r="M115" s="533">
        <v>105</v>
      </c>
      <c r="N115" s="551">
        <v>18247768</v>
      </c>
      <c r="O115" s="553">
        <v>1982972</v>
      </c>
      <c r="P115" s="512">
        <f t="shared" si="3"/>
        <v>9.202231801558469</v>
      </c>
      <c r="Q115" s="513">
        <v>41285</v>
      </c>
    </row>
    <row r="116" spans="1:17" ht="11.25">
      <c r="A116" s="389">
        <v>115</v>
      </c>
      <c r="B116" s="497" t="s">
        <v>48</v>
      </c>
      <c r="C116" s="549" t="s">
        <v>193</v>
      </c>
      <c r="D116" s="492" t="s">
        <v>143</v>
      </c>
      <c r="E116" s="492"/>
      <c r="F116" s="341" t="s">
        <v>193</v>
      </c>
      <c r="G116" s="493">
        <v>40935</v>
      </c>
      <c r="H116" s="499" t="s">
        <v>12</v>
      </c>
      <c r="I116" s="509">
        <v>352</v>
      </c>
      <c r="J116" s="509">
        <v>1</v>
      </c>
      <c r="K116" s="509">
        <v>52</v>
      </c>
      <c r="L116" s="554">
        <v>595</v>
      </c>
      <c r="M116" s="555">
        <v>105</v>
      </c>
      <c r="N116" s="438">
        <v>18248363</v>
      </c>
      <c r="O116" s="439">
        <v>1983077</v>
      </c>
      <c r="P116" s="512">
        <f t="shared" si="3"/>
        <v>9.202044600386168</v>
      </c>
      <c r="Q116" s="513">
        <v>41292</v>
      </c>
    </row>
    <row r="117" spans="1:17" ht="11.25">
      <c r="A117" s="389">
        <v>116</v>
      </c>
      <c r="B117" s="497" t="s">
        <v>48</v>
      </c>
      <c r="C117" s="518" t="s">
        <v>191</v>
      </c>
      <c r="D117" s="392" t="s">
        <v>192</v>
      </c>
      <c r="E117" s="392"/>
      <c r="F117" s="392" t="s">
        <v>191</v>
      </c>
      <c r="G117" s="495">
        <v>40648</v>
      </c>
      <c r="H117" s="499" t="s">
        <v>59</v>
      </c>
      <c r="I117" s="506">
        <v>28</v>
      </c>
      <c r="J117" s="509">
        <v>1</v>
      </c>
      <c r="K117" s="509">
        <v>33</v>
      </c>
      <c r="L117" s="529">
        <v>4158</v>
      </c>
      <c r="M117" s="514">
        <v>832</v>
      </c>
      <c r="N117" s="541">
        <v>183893.8</v>
      </c>
      <c r="O117" s="547">
        <v>24255</v>
      </c>
      <c r="P117" s="512">
        <f t="shared" si="3"/>
        <v>7.581686250257678</v>
      </c>
      <c r="Q117" s="513">
        <v>41285</v>
      </c>
    </row>
    <row r="118" spans="1:17" ht="11.25">
      <c r="A118" s="389">
        <v>117</v>
      </c>
      <c r="B118" s="497" t="s">
        <v>48</v>
      </c>
      <c r="C118" s="518" t="s">
        <v>191</v>
      </c>
      <c r="D118" s="519" t="s">
        <v>192</v>
      </c>
      <c r="E118" s="519"/>
      <c r="F118" s="519" t="s">
        <v>191</v>
      </c>
      <c r="G118" s="508">
        <v>40648</v>
      </c>
      <c r="H118" s="499" t="s">
        <v>59</v>
      </c>
      <c r="I118" s="509">
        <v>28</v>
      </c>
      <c r="J118" s="517">
        <v>1</v>
      </c>
      <c r="K118" s="517">
        <v>33</v>
      </c>
      <c r="L118" s="510">
        <v>950.4</v>
      </c>
      <c r="M118" s="511">
        <v>190</v>
      </c>
      <c r="N118" s="535">
        <f>67573+47761.5+14206.5+4949+3617+1080.5+492+714+1413.5+3743.5+735+1502.5+825+1147+1818+154+295+2263+179+160+3326.5+950.5+1782+1425.5+594+40+3801.5+1188+1188+4870.8+2376+3564+4158+950.4</f>
        <v>184844.19999999998</v>
      </c>
      <c r="O118" s="542">
        <f>6695+4901+2068+559+504+215+178+122+205+836+119+235+131+174+400+22+45+527+35+28+831+237+446+356+149+8+760+238+237+974+475+713+832+190</f>
        <v>24445</v>
      </c>
      <c r="P118" s="512">
        <f t="shared" si="3"/>
        <v>7.561636326447125</v>
      </c>
      <c r="Q118" s="513">
        <v>41369</v>
      </c>
    </row>
    <row r="119" spans="1:17" ht="11.25">
      <c r="A119" s="389">
        <v>118</v>
      </c>
      <c r="B119" s="497"/>
      <c r="C119" s="518" t="s">
        <v>658</v>
      </c>
      <c r="D119" s="492" t="s">
        <v>659</v>
      </c>
      <c r="E119" s="490"/>
      <c r="F119" s="494" t="s">
        <v>658</v>
      </c>
      <c r="G119" s="526">
        <v>40130</v>
      </c>
      <c r="H119" s="499" t="s">
        <v>59</v>
      </c>
      <c r="I119" s="509">
        <v>13</v>
      </c>
      <c r="J119" s="575">
        <v>1</v>
      </c>
      <c r="K119" s="575">
        <v>21</v>
      </c>
      <c r="L119" s="510">
        <v>950</v>
      </c>
      <c r="M119" s="514">
        <v>190</v>
      </c>
      <c r="N119" s="535">
        <f>61012+24426+6122+10040+4081+228+2698+1216+1678.5+1457+452+472+1209.4+1001.04+947+262+901+178+4160+2376+950</f>
        <v>125866.93999999999</v>
      </c>
      <c r="O119" s="547">
        <f>5982+2401+678+1620+879+42+433+305+334+339+195+86+256+229+130+31+125+25+1040+594+190</f>
        <v>15914</v>
      </c>
      <c r="P119" s="515">
        <f t="shared" si="3"/>
        <v>7.909195676762598</v>
      </c>
      <c r="Q119" s="516">
        <v>41313</v>
      </c>
    </row>
    <row r="120" spans="1:17" ht="11.25">
      <c r="A120" s="389">
        <v>119</v>
      </c>
      <c r="B120" s="497"/>
      <c r="C120" s="518" t="s">
        <v>423</v>
      </c>
      <c r="D120" s="492" t="s">
        <v>71</v>
      </c>
      <c r="E120" s="490" t="s">
        <v>72</v>
      </c>
      <c r="F120" s="392" t="s">
        <v>424</v>
      </c>
      <c r="G120" s="493">
        <v>41159</v>
      </c>
      <c r="H120" s="499" t="s">
        <v>12</v>
      </c>
      <c r="I120" s="509">
        <v>177</v>
      </c>
      <c r="J120" s="509">
        <v>2</v>
      </c>
      <c r="K120" s="509">
        <v>22</v>
      </c>
      <c r="L120" s="531">
        <v>6175</v>
      </c>
      <c r="M120" s="534">
        <v>872</v>
      </c>
      <c r="N120" s="550">
        <v>3698951</v>
      </c>
      <c r="O120" s="552">
        <v>339250</v>
      </c>
      <c r="P120" s="512">
        <f t="shared" si="3"/>
        <v>10.903319086219602</v>
      </c>
      <c r="Q120" s="513">
        <v>41299</v>
      </c>
    </row>
    <row r="121" spans="1:17" ht="11.25">
      <c r="A121" s="389">
        <v>120</v>
      </c>
      <c r="B121" s="497"/>
      <c r="C121" s="518" t="s">
        <v>423</v>
      </c>
      <c r="D121" s="492" t="s">
        <v>71</v>
      </c>
      <c r="E121" s="490" t="s">
        <v>72</v>
      </c>
      <c r="F121" s="392" t="s">
        <v>424</v>
      </c>
      <c r="G121" s="493">
        <v>41159</v>
      </c>
      <c r="H121" s="499" t="s">
        <v>12</v>
      </c>
      <c r="I121" s="509">
        <v>177</v>
      </c>
      <c r="J121" s="509">
        <v>3</v>
      </c>
      <c r="K121" s="509">
        <v>20</v>
      </c>
      <c r="L121" s="530">
        <v>5508</v>
      </c>
      <c r="M121" s="533">
        <v>761</v>
      </c>
      <c r="N121" s="551">
        <v>3690648</v>
      </c>
      <c r="O121" s="553">
        <v>338093</v>
      </c>
      <c r="P121" s="512">
        <f t="shared" si="3"/>
        <v>10.916073388091442</v>
      </c>
      <c r="Q121" s="513">
        <v>41285</v>
      </c>
    </row>
    <row r="122" spans="1:17" ht="11.25">
      <c r="A122" s="389">
        <v>121</v>
      </c>
      <c r="B122" s="497"/>
      <c r="C122" s="518" t="s">
        <v>423</v>
      </c>
      <c r="D122" s="492" t="s">
        <v>71</v>
      </c>
      <c r="E122" s="490" t="s">
        <v>72</v>
      </c>
      <c r="F122" s="392" t="s">
        <v>424</v>
      </c>
      <c r="G122" s="493">
        <v>41159</v>
      </c>
      <c r="H122" s="499" t="s">
        <v>12</v>
      </c>
      <c r="I122" s="509">
        <v>177</v>
      </c>
      <c r="J122" s="506">
        <v>4</v>
      </c>
      <c r="K122" s="506">
        <v>23</v>
      </c>
      <c r="L122" s="554">
        <v>4584</v>
      </c>
      <c r="M122" s="534">
        <v>837</v>
      </c>
      <c r="N122" s="438">
        <v>3703805</v>
      </c>
      <c r="O122" s="552">
        <v>340087</v>
      </c>
      <c r="P122" s="515">
        <f t="shared" si="3"/>
        <v>10.890757365027184</v>
      </c>
      <c r="Q122" s="516">
        <v>41306</v>
      </c>
    </row>
    <row r="123" spans="1:17" ht="11.25">
      <c r="A123" s="389">
        <v>122</v>
      </c>
      <c r="B123" s="497"/>
      <c r="C123" s="518" t="s">
        <v>423</v>
      </c>
      <c r="D123" s="492" t="s">
        <v>71</v>
      </c>
      <c r="E123" s="490" t="s">
        <v>72</v>
      </c>
      <c r="F123" s="392" t="s">
        <v>424</v>
      </c>
      <c r="G123" s="526">
        <v>41159</v>
      </c>
      <c r="H123" s="499" t="s">
        <v>12</v>
      </c>
      <c r="I123" s="509">
        <v>177</v>
      </c>
      <c r="J123" s="509">
        <v>2</v>
      </c>
      <c r="K123" s="509">
        <v>24</v>
      </c>
      <c r="L123" s="531">
        <v>2982</v>
      </c>
      <c r="M123" s="555">
        <v>504</v>
      </c>
      <c r="N123" s="550">
        <v>3707984</v>
      </c>
      <c r="O123" s="439">
        <v>340780</v>
      </c>
      <c r="P123" s="515">
        <f t="shared" si="3"/>
        <v>10.880873290686074</v>
      </c>
      <c r="Q123" s="516">
        <v>41313</v>
      </c>
    </row>
    <row r="124" spans="1:17" ht="11.25">
      <c r="A124" s="389">
        <v>123</v>
      </c>
      <c r="B124" s="497"/>
      <c r="C124" s="518" t="s">
        <v>423</v>
      </c>
      <c r="D124" s="506" t="s">
        <v>71</v>
      </c>
      <c r="E124" s="500" t="s">
        <v>72</v>
      </c>
      <c r="F124" s="519" t="s">
        <v>424</v>
      </c>
      <c r="G124" s="526">
        <v>41159</v>
      </c>
      <c r="H124" s="499" t="s">
        <v>12</v>
      </c>
      <c r="I124" s="509">
        <v>177</v>
      </c>
      <c r="J124" s="507">
        <v>2</v>
      </c>
      <c r="K124" s="507">
        <v>41</v>
      </c>
      <c r="L124" s="554">
        <v>2394</v>
      </c>
      <c r="M124" s="555">
        <v>376</v>
      </c>
      <c r="N124" s="438">
        <v>3712247</v>
      </c>
      <c r="O124" s="439">
        <v>341398</v>
      </c>
      <c r="P124" s="515">
        <f t="shared" si="3"/>
        <v>10.87366358326645</v>
      </c>
      <c r="Q124" s="516">
        <v>41439</v>
      </c>
    </row>
    <row r="125" spans="1:17" ht="11.25">
      <c r="A125" s="389">
        <v>124</v>
      </c>
      <c r="B125" s="497"/>
      <c r="C125" s="518" t="s">
        <v>423</v>
      </c>
      <c r="D125" s="506" t="s">
        <v>71</v>
      </c>
      <c r="E125" s="500" t="s">
        <v>72</v>
      </c>
      <c r="F125" s="519" t="s">
        <v>424</v>
      </c>
      <c r="G125" s="526">
        <v>41159</v>
      </c>
      <c r="H125" s="499" t="s">
        <v>12</v>
      </c>
      <c r="I125" s="509">
        <v>177</v>
      </c>
      <c r="J125" s="517">
        <v>1</v>
      </c>
      <c r="K125" s="517">
        <v>44</v>
      </c>
      <c r="L125" s="531">
        <v>2387</v>
      </c>
      <c r="M125" s="534">
        <v>399</v>
      </c>
      <c r="N125" s="550">
        <v>3715831</v>
      </c>
      <c r="O125" s="552">
        <v>341986</v>
      </c>
      <c r="P125" s="512">
        <f t="shared" si="3"/>
        <v>10.865447708385723</v>
      </c>
      <c r="Q125" s="513">
        <v>41460</v>
      </c>
    </row>
    <row r="126" spans="1:17" ht="11.25">
      <c r="A126" s="389">
        <v>125</v>
      </c>
      <c r="B126" s="497"/>
      <c r="C126" s="518" t="s">
        <v>423</v>
      </c>
      <c r="D126" s="492" t="s">
        <v>71</v>
      </c>
      <c r="E126" s="490" t="s">
        <v>72</v>
      </c>
      <c r="F126" s="392" t="s">
        <v>424</v>
      </c>
      <c r="G126" s="493">
        <v>41159</v>
      </c>
      <c r="H126" s="499" t="s">
        <v>12</v>
      </c>
      <c r="I126" s="509">
        <v>177</v>
      </c>
      <c r="J126" s="509">
        <v>2</v>
      </c>
      <c r="K126" s="509">
        <v>21</v>
      </c>
      <c r="L126" s="554">
        <v>2128</v>
      </c>
      <c r="M126" s="555">
        <v>285</v>
      </c>
      <c r="N126" s="438">
        <v>3692776</v>
      </c>
      <c r="O126" s="439">
        <v>338378</v>
      </c>
      <c r="P126" s="512">
        <f t="shared" si="3"/>
        <v>10.913168113766261</v>
      </c>
      <c r="Q126" s="513">
        <v>41292</v>
      </c>
    </row>
    <row r="127" spans="1:17" ht="11.25">
      <c r="A127" s="389">
        <v>126</v>
      </c>
      <c r="B127" s="497"/>
      <c r="C127" s="518" t="s">
        <v>423</v>
      </c>
      <c r="D127" s="492" t="s">
        <v>71</v>
      </c>
      <c r="E127" s="490" t="s">
        <v>72</v>
      </c>
      <c r="F127" s="392" t="s">
        <v>424</v>
      </c>
      <c r="G127" s="526">
        <v>41159</v>
      </c>
      <c r="H127" s="499" t="s">
        <v>12</v>
      </c>
      <c r="I127" s="509">
        <v>177</v>
      </c>
      <c r="J127" s="506">
        <v>1</v>
      </c>
      <c r="K127" s="506">
        <v>25</v>
      </c>
      <c r="L127" s="531">
        <v>1275</v>
      </c>
      <c r="M127" s="534">
        <v>137</v>
      </c>
      <c r="N127" s="550">
        <v>3709259</v>
      </c>
      <c r="O127" s="552">
        <v>340917</v>
      </c>
      <c r="P127" s="512">
        <f t="shared" si="3"/>
        <v>10.8802406450837</v>
      </c>
      <c r="Q127" s="513">
        <v>41320</v>
      </c>
    </row>
    <row r="128" spans="1:17" ht="11.25">
      <c r="A128" s="389">
        <v>127</v>
      </c>
      <c r="B128" s="497"/>
      <c r="C128" s="518" t="s">
        <v>423</v>
      </c>
      <c r="D128" s="506" t="s">
        <v>71</v>
      </c>
      <c r="E128" s="500" t="s">
        <v>72</v>
      </c>
      <c r="F128" s="519" t="s">
        <v>424</v>
      </c>
      <c r="G128" s="526">
        <v>41159</v>
      </c>
      <c r="H128" s="499" t="s">
        <v>12</v>
      </c>
      <c r="I128" s="509">
        <v>177</v>
      </c>
      <c r="J128" s="668">
        <v>1</v>
      </c>
      <c r="K128" s="668">
        <v>42</v>
      </c>
      <c r="L128" s="531">
        <v>1197</v>
      </c>
      <c r="M128" s="534">
        <v>189</v>
      </c>
      <c r="N128" s="550">
        <v>3713444</v>
      </c>
      <c r="O128" s="552">
        <v>341587</v>
      </c>
      <c r="P128" s="371">
        <f t="shared" si="3"/>
        <v>10.871151419696885</v>
      </c>
      <c r="Q128" s="372">
        <v>41446</v>
      </c>
    </row>
    <row r="129" spans="1:17" ht="11.25">
      <c r="A129" s="389">
        <v>128</v>
      </c>
      <c r="B129" s="497"/>
      <c r="C129" s="518" t="s">
        <v>423</v>
      </c>
      <c r="D129" s="492" t="s">
        <v>71</v>
      </c>
      <c r="E129" s="490" t="s">
        <v>72</v>
      </c>
      <c r="F129" s="392" t="s">
        <v>424</v>
      </c>
      <c r="G129" s="493">
        <v>41159</v>
      </c>
      <c r="H129" s="499" t="s">
        <v>12</v>
      </c>
      <c r="I129" s="509">
        <v>177</v>
      </c>
      <c r="J129" s="575">
        <v>1</v>
      </c>
      <c r="K129" s="578">
        <v>19</v>
      </c>
      <c r="L129" s="554">
        <v>322</v>
      </c>
      <c r="M129" s="555">
        <v>46</v>
      </c>
      <c r="N129" s="550">
        <v>3685140</v>
      </c>
      <c r="O129" s="552">
        <v>337332</v>
      </c>
      <c r="P129" s="512">
        <f t="shared" si="3"/>
        <v>10.92437124257408</v>
      </c>
      <c r="Q129" s="513">
        <v>41278</v>
      </c>
    </row>
    <row r="130" spans="1:17" ht="11.25">
      <c r="A130" s="389">
        <v>129</v>
      </c>
      <c r="B130" s="497"/>
      <c r="C130" s="518" t="s">
        <v>423</v>
      </c>
      <c r="D130" s="506" t="s">
        <v>71</v>
      </c>
      <c r="E130" s="500" t="s">
        <v>72</v>
      </c>
      <c r="F130" s="519" t="s">
        <v>424</v>
      </c>
      <c r="G130" s="526">
        <v>41159</v>
      </c>
      <c r="H130" s="499" t="s">
        <v>12</v>
      </c>
      <c r="I130" s="509">
        <v>177</v>
      </c>
      <c r="J130" s="509">
        <v>1</v>
      </c>
      <c r="K130" s="509">
        <v>26</v>
      </c>
      <c r="L130" s="531">
        <v>105</v>
      </c>
      <c r="M130" s="534">
        <v>137</v>
      </c>
      <c r="N130" s="550">
        <v>3709583</v>
      </c>
      <c r="O130" s="552">
        <v>341022</v>
      </c>
      <c r="P130" s="512">
        <f t="shared" si="3"/>
        <v>10.877840725818276</v>
      </c>
      <c r="Q130" s="513">
        <v>41341</v>
      </c>
    </row>
    <row r="131" spans="1:17" ht="11.25">
      <c r="A131" s="389">
        <v>130</v>
      </c>
      <c r="B131" s="497"/>
      <c r="C131" s="501" t="s">
        <v>944</v>
      </c>
      <c r="D131" s="492" t="s">
        <v>943</v>
      </c>
      <c r="E131" s="490" t="s">
        <v>69</v>
      </c>
      <c r="F131" s="392" t="s">
        <v>945</v>
      </c>
      <c r="G131" s="495">
        <v>39780</v>
      </c>
      <c r="H131" s="491" t="s">
        <v>59</v>
      </c>
      <c r="I131" s="506">
        <v>61</v>
      </c>
      <c r="J131" s="517">
        <v>1</v>
      </c>
      <c r="K131" s="517">
        <v>18</v>
      </c>
      <c r="L131" s="503">
        <v>1190</v>
      </c>
      <c r="M131" s="504">
        <v>238</v>
      </c>
      <c r="N131" s="503">
        <f>499000.5+313125.5+89561.5+27980+2002.5+4772+1387+1470+1387+1387+1119+396+89+1865+200+1188+1425+1190</f>
        <v>949545</v>
      </c>
      <c r="O131" s="504">
        <f>48458+27725+9315+4737+330+944+309+224+175+250+246+84+20+261+20+297+285+238</f>
        <v>93918</v>
      </c>
      <c r="P131" s="512">
        <f t="shared" si="3"/>
        <v>10.11036223088226</v>
      </c>
      <c r="Q131" s="513">
        <v>41509</v>
      </c>
    </row>
    <row r="132" spans="1:17" ht="11.25">
      <c r="A132" s="389">
        <v>131</v>
      </c>
      <c r="B132" s="402" t="s">
        <v>48</v>
      </c>
      <c r="C132" s="502" t="s">
        <v>258</v>
      </c>
      <c r="D132" s="490" t="s">
        <v>259</v>
      </c>
      <c r="E132" s="492"/>
      <c r="F132" s="496" t="s">
        <v>258</v>
      </c>
      <c r="G132" s="495">
        <v>41040</v>
      </c>
      <c r="H132" s="491" t="s">
        <v>59</v>
      </c>
      <c r="I132" s="509">
        <v>37</v>
      </c>
      <c r="J132" s="517">
        <v>1</v>
      </c>
      <c r="K132" s="517">
        <v>17</v>
      </c>
      <c r="L132" s="503">
        <v>2019.6</v>
      </c>
      <c r="M132" s="504">
        <v>404</v>
      </c>
      <c r="N132" s="538">
        <f>45605.82+18401.38+7117.19+3855.05+2668+7215+2121+486+1162+525+831.6+1425.6+7128+2376+3564+1782+2019.6</f>
        <v>108283.24000000002</v>
      </c>
      <c r="O132" s="544">
        <f>4934+2100+942+557+445+1177+297+54+161+105+166+285+1425+475+713+356+404</f>
        <v>14596</v>
      </c>
      <c r="P132" s="512">
        <f t="shared" si="3"/>
        <v>7.4186927925459045</v>
      </c>
      <c r="Q132" s="513">
        <v>41516</v>
      </c>
    </row>
    <row r="133" spans="1:17" ht="11.25">
      <c r="A133" s="389">
        <v>132</v>
      </c>
      <c r="B133" s="497" t="s">
        <v>48</v>
      </c>
      <c r="C133" s="520" t="s">
        <v>258</v>
      </c>
      <c r="D133" s="490" t="s">
        <v>259</v>
      </c>
      <c r="E133" s="492"/>
      <c r="F133" s="496" t="s">
        <v>258</v>
      </c>
      <c r="G133" s="495">
        <v>41040</v>
      </c>
      <c r="H133" s="499" t="s">
        <v>59</v>
      </c>
      <c r="I133" s="506">
        <v>37</v>
      </c>
      <c r="J133" s="509">
        <v>1</v>
      </c>
      <c r="K133" s="509">
        <v>16</v>
      </c>
      <c r="L133" s="529">
        <v>1782</v>
      </c>
      <c r="M133" s="514">
        <v>356</v>
      </c>
      <c r="N133" s="541">
        <f>45605.82+18401.38+7117.19+3855.05+2668+7215+2121+486+1162+525+831.6+1425.6+7128+2376+3564+1782</f>
        <v>106263.64000000001</v>
      </c>
      <c r="O133" s="547">
        <f>4934+2100+942+557+445+1177+297+54+161+105+166+285+1425+475+713+356</f>
        <v>14192</v>
      </c>
      <c r="P133" s="512">
        <f t="shared" si="3"/>
        <v>7.487573280721534</v>
      </c>
      <c r="Q133" s="513">
        <v>41292</v>
      </c>
    </row>
    <row r="134" spans="1:17" ht="11.25">
      <c r="A134" s="389">
        <v>133</v>
      </c>
      <c r="B134" s="498"/>
      <c r="C134" s="520" t="s">
        <v>288</v>
      </c>
      <c r="D134" s="490" t="s">
        <v>352</v>
      </c>
      <c r="E134" s="492" t="s">
        <v>81</v>
      </c>
      <c r="F134" s="496" t="s">
        <v>289</v>
      </c>
      <c r="G134" s="508">
        <v>41068</v>
      </c>
      <c r="H134" s="499" t="s">
        <v>59</v>
      </c>
      <c r="I134" s="509">
        <v>1</v>
      </c>
      <c r="J134" s="506">
        <v>1</v>
      </c>
      <c r="K134" s="506">
        <v>13</v>
      </c>
      <c r="L134" s="510">
        <v>1782</v>
      </c>
      <c r="M134" s="511">
        <v>356</v>
      </c>
      <c r="N134" s="535">
        <f>4472+2934+1618+1386+2714+1124+540+526+551+4158+2376+467+1188+1782</f>
        <v>25836</v>
      </c>
      <c r="O134" s="542">
        <f>427+279+155+132+240+97+49+53+76+832+475+147+238+356</f>
        <v>3556</v>
      </c>
      <c r="P134" s="512">
        <f t="shared" si="3"/>
        <v>7.265466816647919</v>
      </c>
      <c r="Q134" s="513">
        <v>41320</v>
      </c>
    </row>
    <row r="135" spans="1:17" ht="11.25">
      <c r="A135" s="389">
        <v>134</v>
      </c>
      <c r="B135" s="498"/>
      <c r="C135" s="520" t="s">
        <v>288</v>
      </c>
      <c r="D135" s="490" t="s">
        <v>352</v>
      </c>
      <c r="E135" s="492" t="s">
        <v>81</v>
      </c>
      <c r="F135" s="496" t="s">
        <v>289</v>
      </c>
      <c r="G135" s="495">
        <v>41068</v>
      </c>
      <c r="H135" s="499" t="s">
        <v>59</v>
      </c>
      <c r="I135" s="506">
        <v>1</v>
      </c>
      <c r="J135" s="509">
        <v>1</v>
      </c>
      <c r="K135" s="509">
        <v>13</v>
      </c>
      <c r="L135" s="529">
        <v>1188</v>
      </c>
      <c r="M135" s="514">
        <v>238</v>
      </c>
      <c r="N135" s="541">
        <f>4472+2934+1618+1386+2714+1124+540+526+551+4158+2376+467+1188</f>
        <v>24054</v>
      </c>
      <c r="O135" s="547">
        <f>427+279+155+132+240+97+49+53+76+832+475+147+238</f>
        <v>3200</v>
      </c>
      <c r="P135" s="512">
        <f t="shared" si="3"/>
        <v>7.516875</v>
      </c>
      <c r="Q135" s="513">
        <v>41285</v>
      </c>
    </row>
    <row r="136" spans="1:17" ht="11.25">
      <c r="A136" s="389">
        <v>135</v>
      </c>
      <c r="B136" s="498"/>
      <c r="C136" s="502" t="s">
        <v>288</v>
      </c>
      <c r="D136" s="490" t="s">
        <v>352</v>
      </c>
      <c r="E136" s="492" t="s">
        <v>81</v>
      </c>
      <c r="F136" s="496" t="s">
        <v>289</v>
      </c>
      <c r="G136" s="495">
        <v>41068</v>
      </c>
      <c r="H136" s="491" t="s">
        <v>59</v>
      </c>
      <c r="I136" s="506">
        <v>1</v>
      </c>
      <c r="J136" s="517">
        <v>1</v>
      </c>
      <c r="K136" s="517">
        <v>15</v>
      </c>
      <c r="L136" s="503">
        <v>464</v>
      </c>
      <c r="M136" s="504">
        <v>43</v>
      </c>
      <c r="N136" s="538">
        <f>4472+2934+1618+1386+2714+1124+540+526+551+4158+2376+467+1188+1782+464</f>
        <v>26300</v>
      </c>
      <c r="O136" s="544">
        <f>427+279+155+132+240+97+49+53+76+832+475+147+238+356+43</f>
        <v>3599</v>
      </c>
      <c r="P136" s="512">
        <f t="shared" si="3"/>
        <v>7.3075854404001115</v>
      </c>
      <c r="Q136" s="513">
        <v>41495</v>
      </c>
    </row>
    <row r="137" spans="1:17" ht="11.25">
      <c r="A137" s="389">
        <v>136</v>
      </c>
      <c r="B137" s="497"/>
      <c r="C137" s="548" t="s">
        <v>485</v>
      </c>
      <c r="D137" s="506" t="s">
        <v>267</v>
      </c>
      <c r="E137" s="506" t="s">
        <v>236</v>
      </c>
      <c r="F137" s="557" t="s">
        <v>486</v>
      </c>
      <c r="G137" s="526">
        <v>41208</v>
      </c>
      <c r="H137" s="499" t="s">
        <v>151</v>
      </c>
      <c r="I137" s="517">
        <v>88</v>
      </c>
      <c r="J137" s="509">
        <v>2</v>
      </c>
      <c r="K137" s="509">
        <v>13</v>
      </c>
      <c r="L137" s="669">
        <v>3321</v>
      </c>
      <c r="M137" s="670">
        <v>664</v>
      </c>
      <c r="N137" s="671">
        <v>3217895.51</v>
      </c>
      <c r="O137" s="672">
        <v>266260</v>
      </c>
      <c r="P137" s="512">
        <f aca="true" t="shared" si="4" ref="P137:P168">N137/O137</f>
        <v>12.085538608878538</v>
      </c>
      <c r="Q137" s="513">
        <v>41327</v>
      </c>
    </row>
    <row r="138" spans="1:17" ht="11.25">
      <c r="A138" s="389">
        <v>137</v>
      </c>
      <c r="B138" s="497"/>
      <c r="C138" s="548" t="s">
        <v>485</v>
      </c>
      <c r="D138" s="492" t="s">
        <v>267</v>
      </c>
      <c r="E138" s="492" t="s">
        <v>236</v>
      </c>
      <c r="F138" s="393" t="s">
        <v>486</v>
      </c>
      <c r="G138" s="493">
        <v>41208</v>
      </c>
      <c r="H138" s="499" t="s">
        <v>151</v>
      </c>
      <c r="I138" s="517">
        <v>88</v>
      </c>
      <c r="J138" s="509">
        <v>2</v>
      </c>
      <c r="K138" s="509">
        <v>11</v>
      </c>
      <c r="L138" s="602">
        <v>2789</v>
      </c>
      <c r="M138" s="603">
        <v>319</v>
      </c>
      <c r="N138" s="671">
        <v>3212290.51</v>
      </c>
      <c r="O138" s="672">
        <v>265319</v>
      </c>
      <c r="P138" s="512">
        <f t="shared" si="4"/>
        <v>12.107276561422287</v>
      </c>
      <c r="Q138" s="513">
        <v>41278</v>
      </c>
    </row>
    <row r="139" spans="1:17" ht="11.25">
      <c r="A139" s="389">
        <v>138</v>
      </c>
      <c r="B139" s="497"/>
      <c r="C139" s="548" t="s">
        <v>485</v>
      </c>
      <c r="D139" s="492" t="s">
        <v>267</v>
      </c>
      <c r="E139" s="492" t="s">
        <v>236</v>
      </c>
      <c r="F139" s="393" t="s">
        <v>486</v>
      </c>
      <c r="G139" s="493">
        <v>41208</v>
      </c>
      <c r="H139" s="499" t="s">
        <v>151</v>
      </c>
      <c r="I139" s="517">
        <v>88</v>
      </c>
      <c r="J139" s="509">
        <v>2</v>
      </c>
      <c r="K139" s="509">
        <v>12</v>
      </c>
      <c r="L139" s="602">
        <v>2284</v>
      </c>
      <c r="M139" s="603">
        <v>277</v>
      </c>
      <c r="N139" s="673">
        <v>3214574.51</v>
      </c>
      <c r="O139" s="674">
        <v>265596</v>
      </c>
      <c r="P139" s="512">
        <f t="shared" si="4"/>
        <v>12.103248957062606</v>
      </c>
      <c r="Q139" s="513">
        <v>41285</v>
      </c>
    </row>
    <row r="140" spans="1:17" ht="11.25">
      <c r="A140" s="389">
        <v>139</v>
      </c>
      <c r="B140" s="497"/>
      <c r="C140" s="548" t="s">
        <v>485</v>
      </c>
      <c r="D140" s="506" t="s">
        <v>267</v>
      </c>
      <c r="E140" s="506" t="s">
        <v>236</v>
      </c>
      <c r="F140" s="557" t="s">
        <v>486</v>
      </c>
      <c r="G140" s="526">
        <v>41208</v>
      </c>
      <c r="H140" s="499" t="s">
        <v>151</v>
      </c>
      <c r="I140" s="507">
        <v>88</v>
      </c>
      <c r="J140" s="507">
        <v>1</v>
      </c>
      <c r="K140" s="507">
        <v>15</v>
      </c>
      <c r="L140" s="669">
        <v>1542</v>
      </c>
      <c r="M140" s="603">
        <v>308</v>
      </c>
      <c r="N140" s="671">
        <v>3220860.51</v>
      </c>
      <c r="O140" s="674">
        <v>266853</v>
      </c>
      <c r="P140" s="515">
        <f t="shared" si="4"/>
        <v>12.069793144540252</v>
      </c>
      <c r="Q140" s="516">
        <v>41397</v>
      </c>
    </row>
    <row r="141" spans="1:17" ht="11.25">
      <c r="A141" s="389">
        <v>140</v>
      </c>
      <c r="B141" s="497"/>
      <c r="C141" s="548" t="s">
        <v>485</v>
      </c>
      <c r="D141" s="506" t="s">
        <v>267</v>
      </c>
      <c r="E141" s="506" t="s">
        <v>236</v>
      </c>
      <c r="F141" s="557" t="s">
        <v>486</v>
      </c>
      <c r="G141" s="526">
        <v>41208</v>
      </c>
      <c r="H141" s="499" t="s">
        <v>151</v>
      </c>
      <c r="I141" s="517">
        <v>88</v>
      </c>
      <c r="J141" s="509">
        <v>2</v>
      </c>
      <c r="K141" s="509">
        <v>13</v>
      </c>
      <c r="L141" s="602">
        <v>1423</v>
      </c>
      <c r="M141" s="603">
        <v>285</v>
      </c>
      <c r="N141" s="673">
        <v>3219318.51</v>
      </c>
      <c r="O141" s="674">
        <v>266545</v>
      </c>
      <c r="P141" s="512">
        <f t="shared" si="4"/>
        <v>12.077954979459378</v>
      </c>
      <c r="Q141" s="513">
        <v>41334</v>
      </c>
    </row>
    <row r="142" spans="1:17" ht="11.25">
      <c r="A142" s="389">
        <v>141</v>
      </c>
      <c r="B142" s="497"/>
      <c r="C142" s="548" t="s">
        <v>368</v>
      </c>
      <c r="D142" s="506" t="s">
        <v>369</v>
      </c>
      <c r="E142" s="506" t="s">
        <v>236</v>
      </c>
      <c r="F142" s="557" t="s">
        <v>368</v>
      </c>
      <c r="G142" s="526">
        <v>41131</v>
      </c>
      <c r="H142" s="499" t="s">
        <v>151</v>
      </c>
      <c r="I142" s="509">
        <v>13</v>
      </c>
      <c r="J142" s="509">
        <v>1</v>
      </c>
      <c r="K142" s="509">
        <v>12</v>
      </c>
      <c r="L142" s="669">
        <v>175</v>
      </c>
      <c r="M142" s="670">
        <v>35</v>
      </c>
      <c r="N142" s="675">
        <v>241589.37</v>
      </c>
      <c r="O142" s="676">
        <v>20718</v>
      </c>
      <c r="P142" s="512">
        <f t="shared" si="4"/>
        <v>11.660844193454967</v>
      </c>
      <c r="Q142" s="513">
        <v>41348</v>
      </c>
    </row>
    <row r="143" spans="1:17" ht="11.25">
      <c r="A143" s="389">
        <v>142</v>
      </c>
      <c r="B143" s="497" t="s">
        <v>48</v>
      </c>
      <c r="C143" s="518" t="s">
        <v>536</v>
      </c>
      <c r="D143" s="492" t="s">
        <v>378</v>
      </c>
      <c r="E143" s="490"/>
      <c r="F143" s="392" t="s">
        <v>536</v>
      </c>
      <c r="G143" s="493">
        <v>41250</v>
      </c>
      <c r="H143" s="499" t="s">
        <v>10</v>
      </c>
      <c r="I143" s="509">
        <v>221</v>
      </c>
      <c r="J143" s="391">
        <v>217</v>
      </c>
      <c r="K143" s="391">
        <v>5</v>
      </c>
      <c r="L143" s="529">
        <v>559749</v>
      </c>
      <c r="M143" s="514">
        <v>61695</v>
      </c>
      <c r="N143" s="535">
        <v>8245481</v>
      </c>
      <c r="O143" s="542">
        <v>888674</v>
      </c>
      <c r="P143" s="512">
        <f t="shared" si="4"/>
        <v>9.278409180419366</v>
      </c>
      <c r="Q143" s="513">
        <v>41278</v>
      </c>
    </row>
    <row r="144" spans="1:17" ht="11.25">
      <c r="A144" s="389">
        <v>143</v>
      </c>
      <c r="B144" s="497" t="s">
        <v>48</v>
      </c>
      <c r="C144" s="518" t="s">
        <v>536</v>
      </c>
      <c r="D144" s="492" t="s">
        <v>378</v>
      </c>
      <c r="E144" s="490"/>
      <c r="F144" s="392" t="s">
        <v>536</v>
      </c>
      <c r="G144" s="493">
        <v>41250</v>
      </c>
      <c r="H144" s="499" t="s">
        <v>10</v>
      </c>
      <c r="I144" s="509">
        <v>221</v>
      </c>
      <c r="J144" s="391">
        <v>138</v>
      </c>
      <c r="K144" s="391">
        <v>6</v>
      </c>
      <c r="L144" s="529">
        <v>267095</v>
      </c>
      <c r="M144" s="514">
        <v>31103</v>
      </c>
      <c r="N144" s="541">
        <v>8512576</v>
      </c>
      <c r="O144" s="547">
        <v>919777</v>
      </c>
      <c r="P144" s="512">
        <f t="shared" si="4"/>
        <v>9.25504334202747</v>
      </c>
      <c r="Q144" s="513">
        <v>41285</v>
      </c>
    </row>
    <row r="145" spans="1:17" ht="11.25">
      <c r="A145" s="389">
        <v>144</v>
      </c>
      <c r="B145" s="497" t="s">
        <v>48</v>
      </c>
      <c r="C145" s="518" t="s">
        <v>536</v>
      </c>
      <c r="D145" s="492" t="s">
        <v>378</v>
      </c>
      <c r="E145" s="490"/>
      <c r="F145" s="392" t="s">
        <v>536</v>
      </c>
      <c r="G145" s="493">
        <v>41250</v>
      </c>
      <c r="H145" s="499" t="s">
        <v>10</v>
      </c>
      <c r="I145" s="509">
        <v>221</v>
      </c>
      <c r="J145" s="391">
        <v>39</v>
      </c>
      <c r="K145" s="391">
        <v>7</v>
      </c>
      <c r="L145" s="529">
        <v>45834</v>
      </c>
      <c r="M145" s="514">
        <v>7259</v>
      </c>
      <c r="N145" s="541">
        <v>8558410</v>
      </c>
      <c r="O145" s="547">
        <v>927036</v>
      </c>
      <c r="P145" s="512">
        <f t="shared" si="4"/>
        <v>9.232014722189861</v>
      </c>
      <c r="Q145" s="513">
        <v>41292</v>
      </c>
    </row>
    <row r="146" spans="1:17" ht="11.25">
      <c r="A146" s="389">
        <v>145</v>
      </c>
      <c r="B146" s="497" t="s">
        <v>48</v>
      </c>
      <c r="C146" s="518" t="s">
        <v>536</v>
      </c>
      <c r="D146" s="492" t="s">
        <v>378</v>
      </c>
      <c r="E146" s="490"/>
      <c r="F146" s="392" t="s">
        <v>536</v>
      </c>
      <c r="G146" s="493">
        <v>41250</v>
      </c>
      <c r="H146" s="499" t="s">
        <v>10</v>
      </c>
      <c r="I146" s="509">
        <v>221</v>
      </c>
      <c r="J146" s="391">
        <v>10</v>
      </c>
      <c r="K146" s="391">
        <v>8</v>
      </c>
      <c r="L146" s="510">
        <v>10471</v>
      </c>
      <c r="M146" s="511">
        <v>1515</v>
      </c>
      <c r="N146" s="535">
        <v>8568881</v>
      </c>
      <c r="O146" s="542">
        <v>928551</v>
      </c>
      <c r="P146" s="512">
        <f t="shared" si="4"/>
        <v>9.228228713339385</v>
      </c>
      <c r="Q146" s="513">
        <v>41299</v>
      </c>
    </row>
    <row r="147" spans="1:17" ht="11.25">
      <c r="A147" s="389">
        <v>146</v>
      </c>
      <c r="B147" s="497" t="s">
        <v>48</v>
      </c>
      <c r="C147" s="518" t="s">
        <v>536</v>
      </c>
      <c r="D147" s="492" t="s">
        <v>378</v>
      </c>
      <c r="E147" s="490"/>
      <c r="F147" s="392" t="s">
        <v>536</v>
      </c>
      <c r="G147" s="493">
        <v>41250</v>
      </c>
      <c r="H147" s="499" t="s">
        <v>10</v>
      </c>
      <c r="I147" s="509">
        <v>221</v>
      </c>
      <c r="J147" s="382">
        <v>3</v>
      </c>
      <c r="K147" s="382">
        <v>9</v>
      </c>
      <c r="L147" s="529">
        <v>2380</v>
      </c>
      <c r="M147" s="511">
        <v>476</v>
      </c>
      <c r="N147" s="541">
        <v>1736853</v>
      </c>
      <c r="O147" s="542">
        <v>200397</v>
      </c>
      <c r="P147" s="515">
        <f t="shared" si="4"/>
        <v>8.667060884144972</v>
      </c>
      <c r="Q147" s="516">
        <v>41306</v>
      </c>
    </row>
    <row r="148" spans="1:17" ht="11.25">
      <c r="A148" s="389">
        <v>147</v>
      </c>
      <c r="B148" s="497" t="s">
        <v>48</v>
      </c>
      <c r="C148" s="518" t="s">
        <v>536</v>
      </c>
      <c r="D148" s="506" t="s">
        <v>378</v>
      </c>
      <c r="E148" s="500"/>
      <c r="F148" s="519" t="s">
        <v>536</v>
      </c>
      <c r="G148" s="526">
        <v>41250</v>
      </c>
      <c r="H148" s="499" t="s">
        <v>10</v>
      </c>
      <c r="I148" s="509">
        <v>221</v>
      </c>
      <c r="J148" s="391">
        <v>2</v>
      </c>
      <c r="K148" s="391">
        <v>12</v>
      </c>
      <c r="L148" s="510">
        <v>1843</v>
      </c>
      <c r="M148" s="511">
        <v>251</v>
      </c>
      <c r="N148" s="535">
        <v>8575339</v>
      </c>
      <c r="O148" s="542">
        <v>929551</v>
      </c>
      <c r="P148" s="512">
        <f t="shared" si="4"/>
        <v>9.225248533969626</v>
      </c>
      <c r="Q148" s="513">
        <v>41341</v>
      </c>
    </row>
    <row r="149" spans="1:17" ht="11.25">
      <c r="A149" s="389">
        <v>148</v>
      </c>
      <c r="B149" s="497" t="s">
        <v>48</v>
      </c>
      <c r="C149" s="518" t="s">
        <v>536</v>
      </c>
      <c r="D149" s="492" t="s">
        <v>378</v>
      </c>
      <c r="E149" s="490"/>
      <c r="F149" s="392" t="s">
        <v>536</v>
      </c>
      <c r="G149" s="526">
        <v>41250</v>
      </c>
      <c r="H149" s="499" t="s">
        <v>10</v>
      </c>
      <c r="I149" s="509">
        <v>221</v>
      </c>
      <c r="J149" s="391">
        <v>2</v>
      </c>
      <c r="K149" s="391">
        <v>10</v>
      </c>
      <c r="L149" s="510">
        <v>1090</v>
      </c>
      <c r="M149" s="514">
        <v>182</v>
      </c>
      <c r="N149" s="535">
        <v>8572584</v>
      </c>
      <c r="O149" s="547">
        <v>929150</v>
      </c>
      <c r="P149" s="515">
        <f t="shared" si="4"/>
        <v>9.226264865737502</v>
      </c>
      <c r="Q149" s="516">
        <v>41313</v>
      </c>
    </row>
    <row r="150" spans="1:17" ht="11.25">
      <c r="A150" s="389">
        <v>149</v>
      </c>
      <c r="B150" s="497" t="s">
        <v>48</v>
      </c>
      <c r="C150" s="518" t="s">
        <v>536</v>
      </c>
      <c r="D150" s="506" t="s">
        <v>378</v>
      </c>
      <c r="E150" s="500"/>
      <c r="F150" s="519" t="s">
        <v>536</v>
      </c>
      <c r="G150" s="526">
        <v>41250</v>
      </c>
      <c r="H150" s="499" t="s">
        <v>10</v>
      </c>
      <c r="I150" s="509">
        <v>221</v>
      </c>
      <c r="J150" s="391">
        <v>1</v>
      </c>
      <c r="K150" s="391">
        <v>11</v>
      </c>
      <c r="L150" s="529">
        <v>912</v>
      </c>
      <c r="M150" s="514">
        <v>150</v>
      </c>
      <c r="N150" s="541">
        <v>8573496</v>
      </c>
      <c r="O150" s="547">
        <v>929300</v>
      </c>
      <c r="P150" s="512">
        <f t="shared" si="4"/>
        <v>9.225757021413967</v>
      </c>
      <c r="Q150" s="513">
        <v>41334</v>
      </c>
    </row>
    <row r="151" spans="1:17" ht="11.25">
      <c r="A151" s="389">
        <v>150</v>
      </c>
      <c r="B151" s="497" t="s">
        <v>48</v>
      </c>
      <c r="C151" s="518" t="s">
        <v>536</v>
      </c>
      <c r="D151" s="506" t="s">
        <v>378</v>
      </c>
      <c r="E151" s="500"/>
      <c r="F151" s="519" t="s">
        <v>536</v>
      </c>
      <c r="G151" s="526">
        <v>41250</v>
      </c>
      <c r="H151" s="499" t="s">
        <v>10</v>
      </c>
      <c r="I151" s="509">
        <v>221</v>
      </c>
      <c r="J151" s="391">
        <v>1</v>
      </c>
      <c r="K151" s="391">
        <v>13</v>
      </c>
      <c r="L151" s="658">
        <v>593</v>
      </c>
      <c r="M151" s="659">
        <v>73</v>
      </c>
      <c r="N151" s="660">
        <v>8575932</v>
      </c>
      <c r="O151" s="661">
        <v>929624</v>
      </c>
      <c r="P151" s="512">
        <f t="shared" si="4"/>
        <v>9.225162000981042</v>
      </c>
      <c r="Q151" s="513">
        <v>41348</v>
      </c>
    </row>
    <row r="152" spans="1:17" ht="11.25">
      <c r="A152" s="389">
        <v>151</v>
      </c>
      <c r="B152" s="497" t="s">
        <v>48</v>
      </c>
      <c r="C152" s="518" t="s">
        <v>536</v>
      </c>
      <c r="D152" s="506" t="s">
        <v>378</v>
      </c>
      <c r="E152" s="500"/>
      <c r="F152" s="519" t="s">
        <v>536</v>
      </c>
      <c r="G152" s="526">
        <v>41250</v>
      </c>
      <c r="H152" s="499" t="s">
        <v>10</v>
      </c>
      <c r="I152" s="509">
        <v>221</v>
      </c>
      <c r="J152" s="391">
        <v>1</v>
      </c>
      <c r="K152" s="391">
        <v>14</v>
      </c>
      <c r="L152" s="510">
        <v>575</v>
      </c>
      <c r="M152" s="511">
        <v>115</v>
      </c>
      <c r="N152" s="535">
        <v>8576507</v>
      </c>
      <c r="O152" s="542">
        <v>929739</v>
      </c>
      <c r="P152" s="512">
        <f t="shared" si="4"/>
        <v>9.224639388043311</v>
      </c>
      <c r="Q152" s="513">
        <v>41404</v>
      </c>
    </row>
    <row r="153" spans="1:17" ht="11.25">
      <c r="A153" s="389">
        <v>152</v>
      </c>
      <c r="B153" s="497" t="s">
        <v>48</v>
      </c>
      <c r="C153" s="518" t="s">
        <v>481</v>
      </c>
      <c r="D153" s="524" t="s">
        <v>67</v>
      </c>
      <c r="E153" s="490"/>
      <c r="F153" s="494" t="s">
        <v>481</v>
      </c>
      <c r="G153" s="493">
        <v>41200</v>
      </c>
      <c r="H153" s="499" t="s">
        <v>59</v>
      </c>
      <c r="I153" s="509">
        <v>295</v>
      </c>
      <c r="J153" s="509">
        <v>3</v>
      </c>
      <c r="K153" s="509">
        <v>15</v>
      </c>
      <c r="L153" s="529">
        <v>23968</v>
      </c>
      <c r="M153" s="514">
        <v>4805</v>
      </c>
      <c r="N153" s="541">
        <f>123327.91+1852465.34+2413496.13+1076142.6+937630.7+566274.61+242480.96+145026.68+64821.6+23288.5+24560+3391+6601+348.5+12712+23968</f>
        <v>7516535.53</v>
      </c>
      <c r="O153" s="547">
        <f>15371+197259+258172+130382+121998+81101+38411+24141+12765+5076+5126+719+1644+126+2675+4805</f>
        <v>899771</v>
      </c>
      <c r="P153" s="512">
        <f t="shared" si="4"/>
        <v>8.353831730518099</v>
      </c>
      <c r="Q153" s="513">
        <v>41299</v>
      </c>
    </row>
    <row r="154" spans="1:17" ht="11.25">
      <c r="A154" s="389">
        <v>153</v>
      </c>
      <c r="B154" s="497" t="s">
        <v>48</v>
      </c>
      <c r="C154" s="518" t="s">
        <v>481</v>
      </c>
      <c r="D154" s="506" t="s">
        <v>67</v>
      </c>
      <c r="E154" s="500"/>
      <c r="F154" s="525" t="s">
        <v>481</v>
      </c>
      <c r="G154" s="526">
        <v>41200</v>
      </c>
      <c r="H154" s="499" t="s">
        <v>59</v>
      </c>
      <c r="I154" s="509">
        <v>295</v>
      </c>
      <c r="J154" s="509">
        <v>5</v>
      </c>
      <c r="K154" s="509">
        <v>18</v>
      </c>
      <c r="L154" s="648">
        <v>21978</v>
      </c>
      <c r="M154" s="649">
        <v>4398</v>
      </c>
      <c r="N154" s="539">
        <f>123327.91+1852465.34+2413496.13+1076142.6+937630.7+566274.61+242480.96+145026.68+64821.6+23288.5+24560+3391+6601+348.5+12712+23968+1188+2095+21978</f>
        <v>7541796.53</v>
      </c>
      <c r="O154" s="545">
        <f>15371+197259+258172+130382+121998+81101+38411+24141+12765+5076+5126+719+1644+126+2675+4805+238+275+4398</f>
        <v>904682</v>
      </c>
      <c r="P154" s="512">
        <f t="shared" si="4"/>
        <v>8.33640608523216</v>
      </c>
      <c r="Q154" s="513">
        <v>41348</v>
      </c>
    </row>
    <row r="155" spans="1:17" ht="11.25">
      <c r="A155" s="389">
        <v>154</v>
      </c>
      <c r="B155" s="497" t="s">
        <v>48</v>
      </c>
      <c r="C155" s="518" t="s">
        <v>481</v>
      </c>
      <c r="D155" s="506" t="s">
        <v>67</v>
      </c>
      <c r="E155" s="500"/>
      <c r="F155" s="525" t="s">
        <v>481</v>
      </c>
      <c r="G155" s="526">
        <v>41200</v>
      </c>
      <c r="H155" s="499" t="s">
        <v>59</v>
      </c>
      <c r="I155" s="509">
        <v>295</v>
      </c>
      <c r="J155" s="517">
        <v>7</v>
      </c>
      <c r="K155" s="517">
        <v>19</v>
      </c>
      <c r="L155" s="529">
        <v>16632</v>
      </c>
      <c r="M155" s="514">
        <v>3326</v>
      </c>
      <c r="N155" s="541">
        <f>123327.91+1852465.34+2413496.13+1076142.6+937630.7+566274.61+242480.96+145026.68+64821.6+23288.5+24560+3391+6601+348.5+12712+23968+1188+2095+21978+16632</f>
        <v>7558428.53</v>
      </c>
      <c r="O155" s="547">
        <f>15371+197259+258172+130382+121998+81101+38411+24141+12765+5076+5126+719+1644+126+2675+4805+238+275+4398+3326</f>
        <v>908008</v>
      </c>
      <c r="P155" s="515">
        <f t="shared" si="4"/>
        <v>8.324187154738725</v>
      </c>
      <c r="Q155" s="516">
        <v>41355</v>
      </c>
    </row>
    <row r="156" spans="1:17" ht="11.25">
      <c r="A156" s="389">
        <v>155</v>
      </c>
      <c r="B156" s="497" t="s">
        <v>48</v>
      </c>
      <c r="C156" s="518" t="s">
        <v>481</v>
      </c>
      <c r="D156" s="524" t="s">
        <v>67</v>
      </c>
      <c r="E156" s="490"/>
      <c r="F156" s="494" t="s">
        <v>481</v>
      </c>
      <c r="G156" s="493">
        <v>41200</v>
      </c>
      <c r="H156" s="499" t="s">
        <v>59</v>
      </c>
      <c r="I156" s="509">
        <v>295</v>
      </c>
      <c r="J156" s="666">
        <v>5</v>
      </c>
      <c r="K156" s="666">
        <v>14</v>
      </c>
      <c r="L156" s="529">
        <v>12712</v>
      </c>
      <c r="M156" s="514">
        <v>2675</v>
      </c>
      <c r="N156" s="539">
        <f>123327.91+1852465.34+2413496.13+1076142.6+937630.7+566274.61+242480.96+145026.68+64821.6+23288.5+24560+3391+6601+348.5+12712</f>
        <v>7492567.53</v>
      </c>
      <c r="O156" s="545">
        <f>15371+197259+258172+130382+121998+81101+38411+24141+12765+5076+5126+719+1644+126+2675</f>
        <v>894966</v>
      </c>
      <c r="P156" s="512">
        <f t="shared" si="4"/>
        <v>8.371901871132534</v>
      </c>
      <c r="Q156" s="513">
        <v>41292</v>
      </c>
    </row>
    <row r="157" spans="1:17" ht="11.25">
      <c r="A157" s="389">
        <v>156</v>
      </c>
      <c r="B157" s="497" t="s">
        <v>48</v>
      </c>
      <c r="C157" s="518" t="s">
        <v>481</v>
      </c>
      <c r="D157" s="506" t="s">
        <v>67</v>
      </c>
      <c r="E157" s="500"/>
      <c r="F157" s="525" t="s">
        <v>481</v>
      </c>
      <c r="G157" s="493">
        <v>41200</v>
      </c>
      <c r="H157" s="499" t="s">
        <v>59</v>
      </c>
      <c r="I157" s="509">
        <v>295</v>
      </c>
      <c r="J157" s="509">
        <v>4</v>
      </c>
      <c r="K157" s="509">
        <v>28</v>
      </c>
      <c r="L157" s="503">
        <v>7365.6</v>
      </c>
      <c r="M157" s="504">
        <v>1472</v>
      </c>
      <c r="N157" s="538">
        <f>123327.91+1852465.34+2413496.13+1076142.6+937630.7+566274.61+242480.96+145026.68+64821.6+23288.5+24560+3391+6601+348.5+12712+23968+1188+2095+21978+16632+1782+2376+2376+3156+573+4276.8+2376+7365.6</f>
        <v>7582709.93</v>
      </c>
      <c r="O157" s="544">
        <f>15371+197259+258172+130382+121998+81101+38411+24141+12765+5076+5126+719+1644+126+2675+4805+238+275+4398+3326+356+475+475+735+191+855+475+1472</f>
        <v>913042</v>
      </c>
      <c r="P157" s="512">
        <f t="shared" si="4"/>
        <v>8.304886226482461</v>
      </c>
      <c r="Q157" s="513">
        <v>41481</v>
      </c>
    </row>
    <row r="158" spans="1:17" ht="11.25">
      <c r="A158" s="389">
        <v>157</v>
      </c>
      <c r="B158" s="497" t="s">
        <v>48</v>
      </c>
      <c r="C158" s="518" t="s">
        <v>481</v>
      </c>
      <c r="D158" s="524" t="s">
        <v>67</v>
      </c>
      <c r="E158" s="490"/>
      <c r="F158" s="494" t="s">
        <v>481</v>
      </c>
      <c r="G158" s="493">
        <v>41200</v>
      </c>
      <c r="H158" s="499" t="s">
        <v>59</v>
      </c>
      <c r="I158" s="509">
        <v>295</v>
      </c>
      <c r="J158" s="509">
        <v>8</v>
      </c>
      <c r="K158" s="509">
        <v>12</v>
      </c>
      <c r="L158" s="529">
        <v>6601</v>
      </c>
      <c r="M158" s="514">
        <v>1644</v>
      </c>
      <c r="N158" s="535">
        <f>123327.91+1852465.34+2413496.13+1076142.6+937630.7+566274.61+242480.96+145026.68+64821.6+23288.5+24560+3391+6601</f>
        <v>7479507.03</v>
      </c>
      <c r="O158" s="542">
        <f>15371+197259+258172+130382+121998+81101+38411+24141+12765+5076+5126+719+1644</f>
        <v>892165</v>
      </c>
      <c r="P158" s="512">
        <f t="shared" si="4"/>
        <v>8.383546799078646</v>
      </c>
      <c r="Q158" s="513">
        <v>41278</v>
      </c>
    </row>
    <row r="159" spans="1:17" ht="11.25">
      <c r="A159" s="389">
        <v>158</v>
      </c>
      <c r="B159" s="497" t="s">
        <v>48</v>
      </c>
      <c r="C159" s="518" t="s">
        <v>481</v>
      </c>
      <c r="D159" s="506" t="s">
        <v>67</v>
      </c>
      <c r="E159" s="500"/>
      <c r="F159" s="525" t="s">
        <v>481</v>
      </c>
      <c r="G159" s="526">
        <v>41200</v>
      </c>
      <c r="H159" s="499" t="s">
        <v>59</v>
      </c>
      <c r="I159" s="509">
        <v>295</v>
      </c>
      <c r="J159" s="650">
        <v>2</v>
      </c>
      <c r="K159" s="650">
        <v>25</v>
      </c>
      <c r="L159" s="503">
        <v>4276.8</v>
      </c>
      <c r="M159" s="504">
        <v>855</v>
      </c>
      <c r="N159" s="538">
        <f>123327.91+1852465.34+2413496.13+1076142.6+937630.7+566274.61+242480.96+145026.68+64821.6+23288.5+24560+3391+6601+348.5+12712+23968+1188+2095+21978+16632+1782+2376+2376+3156+573+4276.8</f>
        <v>7572968.33</v>
      </c>
      <c r="O159" s="544">
        <f>15371+197259+258172+130382+121998+81101+38411+24141+12765+5076+5126+719+1644+126+2675+4805+238+275+4398+3326+356+475+475+735+191+855</f>
        <v>911095</v>
      </c>
      <c r="P159" s="371">
        <f t="shared" si="4"/>
        <v>8.311941487989726</v>
      </c>
      <c r="Q159" s="372">
        <v>41446</v>
      </c>
    </row>
    <row r="160" spans="1:17" ht="11.25">
      <c r="A160" s="453">
        <v>159</v>
      </c>
      <c r="B160" s="497" t="s">
        <v>48</v>
      </c>
      <c r="C160" s="518" t="s">
        <v>481</v>
      </c>
      <c r="D160" s="506" t="s">
        <v>67</v>
      </c>
      <c r="E160" s="500"/>
      <c r="F160" s="525" t="s">
        <v>481</v>
      </c>
      <c r="G160" s="526">
        <v>41200</v>
      </c>
      <c r="H160" s="499" t="s">
        <v>59</v>
      </c>
      <c r="I160" s="509">
        <v>295</v>
      </c>
      <c r="J160" s="509">
        <v>2</v>
      </c>
      <c r="K160" s="509">
        <v>22</v>
      </c>
      <c r="L160" s="510">
        <v>3156</v>
      </c>
      <c r="M160" s="511">
        <v>735</v>
      </c>
      <c r="N160" s="535">
        <f>123327.91+1852465.34+2413496.13+1076142.6+937630.7+566274.61+242480.96+145026.68+64821.6+23288.5+24560+3391+6601+348.5+12712+23968+1188+2095+21978+16632+1782+2376+2376+3156</f>
        <v>7568118.53</v>
      </c>
      <c r="O160" s="542">
        <f>15371+197259+258172+130382+121998+81101+38411+24141+12765+5076+5126+719+1644+126+2675+4805+238+275+4398+3326+356+475+475+735</f>
        <v>910049</v>
      </c>
      <c r="P160" s="512">
        <f t="shared" si="4"/>
        <v>8.316165975678233</v>
      </c>
      <c r="Q160" s="513">
        <v>41390</v>
      </c>
    </row>
    <row r="161" spans="1:17" ht="11.25">
      <c r="A161" s="453">
        <v>160</v>
      </c>
      <c r="B161" s="497" t="s">
        <v>48</v>
      </c>
      <c r="C161" s="518" t="s">
        <v>481</v>
      </c>
      <c r="D161" s="506" t="s">
        <v>67</v>
      </c>
      <c r="E161" s="500"/>
      <c r="F161" s="525" t="s">
        <v>481</v>
      </c>
      <c r="G161" s="526">
        <v>41200</v>
      </c>
      <c r="H161" s="499" t="s">
        <v>59</v>
      </c>
      <c r="I161" s="509">
        <v>295</v>
      </c>
      <c r="J161" s="666">
        <v>1</v>
      </c>
      <c r="K161" s="666">
        <v>21</v>
      </c>
      <c r="L161" s="510">
        <v>2376</v>
      </c>
      <c r="M161" s="511">
        <v>475</v>
      </c>
      <c r="N161" s="535">
        <f>123327.91+1852465.34+2413496.13+1076142.6+937630.7+566274.61+242480.96+145026.68+64821.6+23288.5+24560+3391+6601+348.5+12712+23968+1188+2095+21978+16632+1782+2376</f>
        <v>7562586.53</v>
      </c>
      <c r="O161" s="542">
        <f>15371+197259+258172+130382+121998+81101+38411+24141+12765+5076+5126+719+1644+126+2675+4805+238+275+4398+3326+356+475</f>
        <v>908839</v>
      </c>
      <c r="P161" s="512">
        <f t="shared" si="4"/>
        <v>8.321150973934877</v>
      </c>
      <c r="Q161" s="513">
        <v>41369</v>
      </c>
    </row>
    <row r="162" spans="1:17" ht="11.25">
      <c r="A162" s="453">
        <v>161</v>
      </c>
      <c r="B162" s="497" t="s">
        <v>48</v>
      </c>
      <c r="C162" s="518" t="s">
        <v>481</v>
      </c>
      <c r="D162" s="506" t="s">
        <v>67</v>
      </c>
      <c r="E162" s="500"/>
      <c r="F162" s="525" t="s">
        <v>481</v>
      </c>
      <c r="G162" s="526">
        <v>41200</v>
      </c>
      <c r="H162" s="499" t="s">
        <v>59</v>
      </c>
      <c r="I162" s="509">
        <v>295</v>
      </c>
      <c r="J162" s="509">
        <v>1</v>
      </c>
      <c r="K162" s="509">
        <v>22</v>
      </c>
      <c r="L162" s="529">
        <v>2376</v>
      </c>
      <c r="M162" s="514">
        <v>475</v>
      </c>
      <c r="N162" s="541">
        <f>123327.91+1852465.34+2413496.13+1076142.6+937630.7+566274.61+242480.96+145026.68+64821.6+23288.5+24560+3391+6601+348.5+12712+23968+1188+2095+21978+16632+1782+2376+2376</f>
        <v>7564962.53</v>
      </c>
      <c r="O162" s="547">
        <f>15371+197259+258172+130382+121998+81101+38411+24141+12765+5076+5126+719+1644+126+2675+4805+238+275+4398+3326+356+475+475</f>
        <v>909314</v>
      </c>
      <c r="P162" s="515">
        <f t="shared" si="4"/>
        <v>8.319417198019606</v>
      </c>
      <c r="Q162" s="516">
        <v>41383</v>
      </c>
    </row>
    <row r="163" spans="1:17" ht="11.25">
      <c r="A163" s="453">
        <v>162</v>
      </c>
      <c r="B163" s="497" t="s">
        <v>48</v>
      </c>
      <c r="C163" s="518" t="s">
        <v>481</v>
      </c>
      <c r="D163" s="506" t="s">
        <v>67</v>
      </c>
      <c r="E163" s="500"/>
      <c r="F163" s="525" t="s">
        <v>481</v>
      </c>
      <c r="G163" s="526">
        <v>41200</v>
      </c>
      <c r="H163" s="499" t="s">
        <v>59</v>
      </c>
      <c r="I163" s="509">
        <v>295</v>
      </c>
      <c r="J163" s="509">
        <v>1</v>
      </c>
      <c r="K163" s="509">
        <v>26</v>
      </c>
      <c r="L163" s="503">
        <v>2376</v>
      </c>
      <c r="M163" s="504">
        <v>475</v>
      </c>
      <c r="N163" s="538">
        <f>123327.91+1852465.34+2413496.13+1076142.6+937630.7+566274.61+242480.96+145026.68+64821.6+23288.5+24560+3391+6601+348.5+12712+23968+1188+2095+21978+16632+1782+2376+2376+3156+573+4276.8+2376</f>
        <v>7575344.33</v>
      </c>
      <c r="O163" s="544">
        <f>15371+197259+258172+130382+121998+81101+38411+24141+12765+5076+5126+719+1644+126+2675+4805+238+275+4398+3326+356+475+475+735+191+855+475</f>
        <v>911570</v>
      </c>
      <c r="P163" s="512">
        <f t="shared" si="4"/>
        <v>8.310216801781541</v>
      </c>
      <c r="Q163" s="513">
        <v>41453</v>
      </c>
    </row>
    <row r="164" spans="1:17" ht="11.25">
      <c r="A164" s="453">
        <v>163</v>
      </c>
      <c r="B164" s="497" t="s">
        <v>48</v>
      </c>
      <c r="C164" s="518" t="s">
        <v>481</v>
      </c>
      <c r="D164" s="506" t="s">
        <v>67</v>
      </c>
      <c r="E164" s="500"/>
      <c r="F164" s="525" t="s">
        <v>481</v>
      </c>
      <c r="G164" s="526">
        <v>41200</v>
      </c>
      <c r="H164" s="499" t="s">
        <v>59</v>
      </c>
      <c r="I164" s="509">
        <v>295</v>
      </c>
      <c r="J164" s="509">
        <v>1</v>
      </c>
      <c r="K164" s="509">
        <v>17</v>
      </c>
      <c r="L164" s="510">
        <v>2095</v>
      </c>
      <c r="M164" s="511">
        <v>275</v>
      </c>
      <c r="N164" s="535">
        <f>123327.91+1852465.34+2413496.13+1076142.6+937630.7+566274.61+242480.96+145026.68+64821.6+23288.5+24560+3391+6601+348.5+12712+23968+1188+2095</f>
        <v>7519818.53</v>
      </c>
      <c r="O164" s="542">
        <f>15371+197259+258172+130382+121998+81101+38411+24141+12765+5076+5126+719+1644+126+2675+4805+238+275</f>
        <v>900284</v>
      </c>
      <c r="P164" s="512">
        <f t="shared" si="4"/>
        <v>8.352718175597923</v>
      </c>
      <c r="Q164" s="513">
        <v>41341</v>
      </c>
    </row>
    <row r="165" spans="1:17" ht="11.25">
      <c r="A165" s="453">
        <v>164</v>
      </c>
      <c r="B165" s="402" t="s">
        <v>48</v>
      </c>
      <c r="C165" s="501" t="s">
        <v>481</v>
      </c>
      <c r="D165" s="492" t="s">
        <v>67</v>
      </c>
      <c r="E165" s="490"/>
      <c r="F165" s="494" t="s">
        <v>481</v>
      </c>
      <c r="G165" s="493">
        <v>41200</v>
      </c>
      <c r="H165" s="491" t="s">
        <v>59</v>
      </c>
      <c r="I165" s="509">
        <v>295</v>
      </c>
      <c r="J165" s="509">
        <v>1</v>
      </c>
      <c r="K165" s="509">
        <v>31</v>
      </c>
      <c r="L165" s="503">
        <v>2019.6</v>
      </c>
      <c r="M165" s="504">
        <v>404</v>
      </c>
      <c r="N165" s="538">
        <f>123327.91+1852465.34+2413496.13+1076142.6+937630.7+566274.61+242480.96+145026.68+64821.6+23288.5+24560+3391+6601+348.5+12712+23968+1188+2095+21978+16632+1782+2376+2376+3156+573+4276.8+2376+7365.6+950.4+1425.6+1425.6+2019.6</f>
        <v>7588531.129999999</v>
      </c>
      <c r="O165" s="544">
        <f>15371+197259+258172+130382+121998+81101+38411+24141+12765+5076+5126+719+1644+126+2675+4805+238+275+4398+3326+356+475+475+735+191+855+475+1472+190+285+285+404</f>
        <v>914206</v>
      </c>
      <c r="P165" s="512">
        <f t="shared" si="4"/>
        <v>8.30067963894352</v>
      </c>
      <c r="Q165" s="513">
        <v>41516</v>
      </c>
    </row>
    <row r="166" spans="1:17" ht="11.25">
      <c r="A166" s="453">
        <v>165</v>
      </c>
      <c r="B166" s="497" t="s">
        <v>48</v>
      </c>
      <c r="C166" s="518" t="s">
        <v>481</v>
      </c>
      <c r="D166" s="506" t="s">
        <v>67</v>
      </c>
      <c r="E166" s="500"/>
      <c r="F166" s="525" t="s">
        <v>481</v>
      </c>
      <c r="G166" s="526">
        <v>41200</v>
      </c>
      <c r="H166" s="499" t="s">
        <v>59</v>
      </c>
      <c r="I166" s="509">
        <v>295</v>
      </c>
      <c r="J166" s="517">
        <v>1</v>
      </c>
      <c r="K166" s="517">
        <v>20</v>
      </c>
      <c r="L166" s="510">
        <v>1782</v>
      </c>
      <c r="M166" s="511">
        <v>356</v>
      </c>
      <c r="N166" s="535">
        <f>123327.91+1852465.34+2413496.13+1076142.6+937630.7+566274.61+242480.96+145026.68+64821.6+23288.5+24560+3391+6601+348.5+12712+23968+1188+2095+21978+16632+1782</f>
        <v>7560210.53</v>
      </c>
      <c r="O166" s="542">
        <f>15371+197259+258172+130382+121998+81101+38411+24141+12765+5076+5126+719+1644+126+2675+4805+238+275+4398+3326+356</f>
        <v>908364</v>
      </c>
      <c r="P166" s="512">
        <f t="shared" si="4"/>
        <v>8.322886563095851</v>
      </c>
      <c r="Q166" s="513">
        <v>41362</v>
      </c>
    </row>
    <row r="167" spans="1:17" ht="11.25">
      <c r="A167" s="453">
        <v>166</v>
      </c>
      <c r="B167" s="402" t="s">
        <v>48</v>
      </c>
      <c r="C167" s="501" t="s">
        <v>481</v>
      </c>
      <c r="D167" s="492" t="s">
        <v>67</v>
      </c>
      <c r="E167" s="490"/>
      <c r="F167" s="494" t="s">
        <v>481</v>
      </c>
      <c r="G167" s="493">
        <v>41200</v>
      </c>
      <c r="H167" s="491" t="s">
        <v>59</v>
      </c>
      <c r="I167" s="506">
        <v>295</v>
      </c>
      <c r="J167" s="509">
        <v>1</v>
      </c>
      <c r="K167" s="509">
        <v>29</v>
      </c>
      <c r="L167" s="528">
        <v>1425.6</v>
      </c>
      <c r="M167" s="532">
        <v>285</v>
      </c>
      <c r="N167" s="537">
        <f>123327.91+1852465.34+2413496.13+1076142.6+937630.7+566274.61+242480.96+145026.68+64821.6+23288.5+24560+3391+6601+348.5+12712+23968+1188+2095+21978+16632+1782+2376+2376+3156+573+4276.8+2376+7365.6+950.4+1425.6</f>
        <v>7585085.93</v>
      </c>
      <c r="O167" s="543">
        <f>15371+197259+258172+130382+121998+81101+38411+24141+12765+5076+5126+719+1644+126+2675+4805+238+275+4398+3326+356+475+475+735+191+855+475+1472+190+285</f>
        <v>913517</v>
      </c>
      <c r="P167" s="515">
        <f t="shared" si="4"/>
        <v>8.303168884651297</v>
      </c>
      <c r="Q167" s="516">
        <v>41502</v>
      </c>
    </row>
    <row r="168" spans="1:17" ht="11.25">
      <c r="A168" s="453">
        <v>167</v>
      </c>
      <c r="B168" s="497" t="s">
        <v>48</v>
      </c>
      <c r="C168" s="501" t="s">
        <v>481</v>
      </c>
      <c r="D168" s="492" t="s">
        <v>67</v>
      </c>
      <c r="E168" s="490"/>
      <c r="F168" s="494" t="s">
        <v>481</v>
      </c>
      <c r="G168" s="493">
        <v>41200</v>
      </c>
      <c r="H168" s="491" t="s">
        <v>59</v>
      </c>
      <c r="I168" s="506">
        <v>295</v>
      </c>
      <c r="J168" s="509">
        <v>1</v>
      </c>
      <c r="K168" s="509">
        <v>30</v>
      </c>
      <c r="L168" s="503">
        <v>1425.6</v>
      </c>
      <c r="M168" s="504">
        <v>285</v>
      </c>
      <c r="N168" s="503">
        <f>123327.91+1852465.34+2413496.13+1076142.6+937630.7+566274.61+242480.96+145026.68+64821.6+23288.5+24560+3391+6601+348.5+12712+23968+1188+2095+21978+16632+1782+2376+2376+3156+573+4276.8+2376+7365.6+950.4+1425.6+1425.6</f>
        <v>7586511.529999999</v>
      </c>
      <c r="O168" s="504">
        <f>15371+197259+258172+130382+121998+81101+38411+24141+12765+5076+5126+719+1644+126+2675+4805+238+275+4398+3326+356+475+475+735+191+855+475+1472+190+285+285</f>
        <v>913802</v>
      </c>
      <c r="P168" s="512">
        <f t="shared" si="4"/>
        <v>8.302139336530232</v>
      </c>
      <c r="Q168" s="513">
        <v>41509</v>
      </c>
    </row>
    <row r="169" spans="1:17" ht="11.25">
      <c r="A169" s="453">
        <v>168</v>
      </c>
      <c r="B169" s="497"/>
      <c r="C169" s="518" t="s">
        <v>481</v>
      </c>
      <c r="D169" s="506" t="s">
        <v>67</v>
      </c>
      <c r="E169" s="500"/>
      <c r="F169" s="525" t="s">
        <v>481</v>
      </c>
      <c r="G169" s="526">
        <v>41200</v>
      </c>
      <c r="H169" s="499" t="s">
        <v>59</v>
      </c>
      <c r="I169" s="509">
        <v>295</v>
      </c>
      <c r="J169" s="509">
        <v>1</v>
      </c>
      <c r="K169" s="509">
        <v>16</v>
      </c>
      <c r="L169" s="648">
        <v>1188</v>
      </c>
      <c r="M169" s="649">
        <v>238</v>
      </c>
      <c r="N169" s="539">
        <f>123327.91+1852465.34+2413496.13+1076142.6+937630.7+566274.61+242480.96+145026.68+64821.6+23288.5+24560+3391+6601+348.5+12712+23968+1188</f>
        <v>7517723.53</v>
      </c>
      <c r="O169" s="545">
        <f>15371+197259+258172+130382+121998+81101+38411+24141+12765+5076+5126+719+1644+126+2675+4805+238</f>
        <v>900009</v>
      </c>
      <c r="P169" s="512">
        <f aca="true" t="shared" si="5" ref="P169:P200">N169/O169</f>
        <v>8.352942615018295</v>
      </c>
      <c r="Q169" s="513">
        <v>41327</v>
      </c>
    </row>
    <row r="170" spans="1:17" ht="11.25">
      <c r="A170" s="453">
        <v>169</v>
      </c>
      <c r="B170" s="497" t="s">
        <v>48</v>
      </c>
      <c r="C170" s="501" t="s">
        <v>481</v>
      </c>
      <c r="D170" s="492" t="s">
        <v>67</v>
      </c>
      <c r="E170" s="490"/>
      <c r="F170" s="494" t="s">
        <v>481</v>
      </c>
      <c r="G170" s="493">
        <v>41200</v>
      </c>
      <c r="H170" s="491" t="s">
        <v>59</v>
      </c>
      <c r="I170" s="506">
        <v>295</v>
      </c>
      <c r="J170" s="506">
        <v>1</v>
      </c>
      <c r="K170" s="506">
        <v>28</v>
      </c>
      <c r="L170" s="528">
        <v>950.4</v>
      </c>
      <c r="M170" s="532">
        <v>190</v>
      </c>
      <c r="N170" s="537">
        <f>123327.91+1852465.34+2413496.13+1076142.6+937630.7+566274.61+242480.96+145026.68+64821.6+23288.5+24560+3391+6601+348.5+12712+23968+1188+2095+21978+16632+1782+2376+2376+3156+573+4276.8+2376+7365.6+950.4</f>
        <v>7583660.33</v>
      </c>
      <c r="O170" s="543">
        <f>15371+197259+258172+130382+121998+81101+38411+24141+12765+5076+5126+719+1644+126+2675+4805+238+275+4398+3326+356+475+475+735+191+855+475+1472+190</f>
        <v>913232</v>
      </c>
      <c r="P170" s="515">
        <f t="shared" si="5"/>
        <v>8.304199075371866</v>
      </c>
      <c r="Q170" s="516">
        <v>41488</v>
      </c>
    </row>
    <row r="171" spans="1:17" ht="11.25">
      <c r="A171" s="453">
        <v>170</v>
      </c>
      <c r="B171" s="497" t="s">
        <v>48</v>
      </c>
      <c r="C171" s="518" t="s">
        <v>481</v>
      </c>
      <c r="D171" s="506" t="s">
        <v>67</v>
      </c>
      <c r="E171" s="500"/>
      <c r="F171" s="525" t="s">
        <v>481</v>
      </c>
      <c r="G171" s="526">
        <v>41200</v>
      </c>
      <c r="H171" s="499" t="s">
        <v>59</v>
      </c>
      <c r="I171" s="506">
        <v>295</v>
      </c>
      <c r="J171" s="506">
        <v>1</v>
      </c>
      <c r="K171" s="506">
        <v>24</v>
      </c>
      <c r="L171" s="510">
        <v>573</v>
      </c>
      <c r="M171" s="514">
        <v>191</v>
      </c>
      <c r="N171" s="535">
        <f>123327.91+1852465.34+2413496.13+1076142.6+937630.7+566274.61+242480.96+145026.68+64821.6+23288.5+24560+3391+6601+348.5+12712+23968+1188+2095+21978+16632+1782+2376+2376+3156+573</f>
        <v>7568691.53</v>
      </c>
      <c r="O171" s="547">
        <f>15371+197259+258172+130382+121998+81101+38411+24141+12765+5076+5126+719+1644+126+2675+4805+238+275+4398+3326+356+475+475+735+191</f>
        <v>910240</v>
      </c>
      <c r="P171" s="515">
        <f t="shared" si="5"/>
        <v>8.315050459219547</v>
      </c>
      <c r="Q171" s="516">
        <v>41397</v>
      </c>
    </row>
    <row r="172" spans="1:17" ht="11.25">
      <c r="A172" s="453">
        <v>171</v>
      </c>
      <c r="B172" s="497" t="s">
        <v>48</v>
      </c>
      <c r="C172" s="518" t="s">
        <v>481</v>
      </c>
      <c r="D172" s="524" t="s">
        <v>67</v>
      </c>
      <c r="E172" s="490"/>
      <c r="F172" s="494" t="s">
        <v>481</v>
      </c>
      <c r="G172" s="493">
        <v>41200</v>
      </c>
      <c r="H172" s="499" t="s">
        <v>59</v>
      </c>
      <c r="I172" s="509">
        <v>295</v>
      </c>
      <c r="J172" s="509">
        <v>7</v>
      </c>
      <c r="K172" s="509">
        <v>13</v>
      </c>
      <c r="L172" s="529">
        <v>348.5</v>
      </c>
      <c r="M172" s="514">
        <v>126</v>
      </c>
      <c r="N172" s="541">
        <f>123327.91+1852465.34+2413496.13+1076142.6+937630.7+566274.61+242480.96+145026.68+64821.6+23288.5+24560+3391+6601+348.5</f>
        <v>7479855.53</v>
      </c>
      <c r="O172" s="547">
        <f>15371+197259+258172+130382+121998+81101+38411+24141+12765+5076+5126+719+1644+126</f>
        <v>892291</v>
      </c>
      <c r="P172" s="512">
        <f t="shared" si="5"/>
        <v>8.382753529958276</v>
      </c>
      <c r="Q172" s="513">
        <v>41285</v>
      </c>
    </row>
    <row r="173" spans="1:17" ht="11.25">
      <c r="A173" s="453">
        <v>172</v>
      </c>
      <c r="B173" s="497" t="s">
        <v>48</v>
      </c>
      <c r="C173" s="518" t="s">
        <v>446</v>
      </c>
      <c r="D173" s="492" t="s">
        <v>447</v>
      </c>
      <c r="E173" s="490"/>
      <c r="F173" s="392" t="s">
        <v>446</v>
      </c>
      <c r="G173" s="493">
        <v>41180</v>
      </c>
      <c r="H173" s="499" t="s">
        <v>10</v>
      </c>
      <c r="I173" s="506">
        <v>261</v>
      </c>
      <c r="J173" s="391">
        <v>3</v>
      </c>
      <c r="K173" s="391">
        <v>11</v>
      </c>
      <c r="L173" s="529">
        <v>7140</v>
      </c>
      <c r="M173" s="514">
        <v>1428</v>
      </c>
      <c r="N173" s="541">
        <v>1737086</v>
      </c>
      <c r="O173" s="547">
        <v>199326</v>
      </c>
      <c r="P173" s="512">
        <f t="shared" si="5"/>
        <v>8.714798872199312</v>
      </c>
      <c r="Q173" s="513">
        <v>41285</v>
      </c>
    </row>
    <row r="174" spans="1:17" ht="11.25">
      <c r="A174" s="453">
        <v>173</v>
      </c>
      <c r="B174" s="497" t="s">
        <v>48</v>
      </c>
      <c r="C174" s="518" t="s">
        <v>446</v>
      </c>
      <c r="D174" s="492" t="s">
        <v>447</v>
      </c>
      <c r="E174" s="490"/>
      <c r="F174" s="392" t="s">
        <v>446</v>
      </c>
      <c r="G174" s="493">
        <v>41180</v>
      </c>
      <c r="H174" s="499" t="s">
        <v>10</v>
      </c>
      <c r="I174" s="506">
        <v>261</v>
      </c>
      <c r="J174" s="382">
        <v>1</v>
      </c>
      <c r="K174" s="382">
        <v>13</v>
      </c>
      <c r="L174" s="529">
        <v>2613</v>
      </c>
      <c r="M174" s="511">
        <v>417</v>
      </c>
      <c r="N174" s="541">
        <v>1737086</v>
      </c>
      <c r="O174" s="542">
        <v>200338</v>
      </c>
      <c r="P174" s="515">
        <f t="shared" si="5"/>
        <v>8.670776387904441</v>
      </c>
      <c r="Q174" s="516">
        <v>41306</v>
      </c>
    </row>
    <row r="175" spans="1:17" ht="11.25">
      <c r="A175" s="453">
        <v>174</v>
      </c>
      <c r="B175" s="497" t="s">
        <v>48</v>
      </c>
      <c r="C175" s="518" t="s">
        <v>446</v>
      </c>
      <c r="D175" s="492" t="s">
        <v>447</v>
      </c>
      <c r="E175" s="490"/>
      <c r="F175" s="392" t="s">
        <v>446</v>
      </c>
      <c r="G175" s="493">
        <v>41180</v>
      </c>
      <c r="H175" s="499" t="s">
        <v>10</v>
      </c>
      <c r="I175" s="506">
        <v>261</v>
      </c>
      <c r="J175" s="391">
        <v>1</v>
      </c>
      <c r="K175" s="391">
        <v>12</v>
      </c>
      <c r="L175" s="510">
        <v>2380</v>
      </c>
      <c r="M175" s="511">
        <v>595</v>
      </c>
      <c r="N175" s="535">
        <v>1734473</v>
      </c>
      <c r="O175" s="542">
        <v>199921</v>
      </c>
      <c r="P175" s="512">
        <f t="shared" si="5"/>
        <v>8.675791937815436</v>
      </c>
      <c r="Q175" s="513">
        <v>41299</v>
      </c>
    </row>
    <row r="176" spans="1:17" ht="11.25">
      <c r="A176" s="453">
        <v>175</v>
      </c>
      <c r="B176" s="497" t="s">
        <v>48</v>
      </c>
      <c r="C176" s="518" t="s">
        <v>359</v>
      </c>
      <c r="D176" s="492" t="s">
        <v>360</v>
      </c>
      <c r="E176" s="490"/>
      <c r="F176" s="392" t="s">
        <v>359</v>
      </c>
      <c r="G176" s="493">
        <v>41124</v>
      </c>
      <c r="H176" s="499" t="s">
        <v>12</v>
      </c>
      <c r="I176" s="506">
        <v>151</v>
      </c>
      <c r="J176" s="509">
        <v>1</v>
      </c>
      <c r="K176" s="509">
        <v>24</v>
      </c>
      <c r="L176" s="530">
        <v>482</v>
      </c>
      <c r="M176" s="533">
        <v>80</v>
      </c>
      <c r="N176" s="551">
        <v>3155844</v>
      </c>
      <c r="O176" s="553">
        <v>370169</v>
      </c>
      <c r="P176" s="512">
        <f t="shared" si="5"/>
        <v>8.525414067628569</v>
      </c>
      <c r="Q176" s="513">
        <v>41285</v>
      </c>
    </row>
    <row r="177" spans="1:17" ht="11.25">
      <c r="A177" s="453">
        <v>176</v>
      </c>
      <c r="B177" s="497" t="s">
        <v>48</v>
      </c>
      <c r="C177" s="518" t="s">
        <v>359</v>
      </c>
      <c r="D177" s="492" t="s">
        <v>360</v>
      </c>
      <c r="E177" s="490"/>
      <c r="F177" s="392" t="s">
        <v>359</v>
      </c>
      <c r="G177" s="493">
        <v>41124</v>
      </c>
      <c r="H177" s="499" t="s">
        <v>12</v>
      </c>
      <c r="I177" s="506">
        <v>151</v>
      </c>
      <c r="J177" s="509">
        <v>1</v>
      </c>
      <c r="K177" s="509">
        <v>25</v>
      </c>
      <c r="L177" s="554">
        <v>312</v>
      </c>
      <c r="M177" s="555">
        <v>52</v>
      </c>
      <c r="N177" s="438">
        <v>3156156</v>
      </c>
      <c r="O177" s="439">
        <v>370221</v>
      </c>
      <c r="P177" s="512">
        <f t="shared" si="5"/>
        <v>8.525059356438451</v>
      </c>
      <c r="Q177" s="513">
        <v>41292</v>
      </c>
    </row>
    <row r="178" spans="1:17" ht="11.25">
      <c r="A178" s="453">
        <v>177</v>
      </c>
      <c r="B178" s="498" t="s">
        <v>48</v>
      </c>
      <c r="C178" s="549" t="s">
        <v>508</v>
      </c>
      <c r="D178" s="496" t="s">
        <v>509</v>
      </c>
      <c r="E178" s="492"/>
      <c r="F178" s="496" t="s">
        <v>508</v>
      </c>
      <c r="G178" s="495">
        <v>41229</v>
      </c>
      <c r="H178" s="499" t="s">
        <v>8</v>
      </c>
      <c r="I178" s="556">
        <v>144</v>
      </c>
      <c r="J178" s="423">
        <v>4</v>
      </c>
      <c r="K178" s="423">
        <v>9</v>
      </c>
      <c r="L178" s="529">
        <v>4502</v>
      </c>
      <c r="M178" s="514">
        <v>855</v>
      </c>
      <c r="N178" s="541">
        <v>2987634</v>
      </c>
      <c r="O178" s="547">
        <v>302996</v>
      </c>
      <c r="P178" s="512">
        <f t="shared" si="5"/>
        <v>9.860308386909399</v>
      </c>
      <c r="Q178" s="513">
        <v>41285</v>
      </c>
    </row>
    <row r="179" spans="1:17" ht="11.25">
      <c r="A179" s="453">
        <v>178</v>
      </c>
      <c r="B179" s="498" t="s">
        <v>48</v>
      </c>
      <c r="C179" s="549" t="s">
        <v>508</v>
      </c>
      <c r="D179" s="496" t="s">
        <v>509</v>
      </c>
      <c r="E179" s="492"/>
      <c r="F179" s="496" t="s">
        <v>508</v>
      </c>
      <c r="G179" s="495">
        <v>41229</v>
      </c>
      <c r="H179" s="499" t="s">
        <v>8</v>
      </c>
      <c r="I179" s="556">
        <v>144</v>
      </c>
      <c r="J179" s="423">
        <v>9</v>
      </c>
      <c r="K179" s="423">
        <v>8</v>
      </c>
      <c r="L179" s="529">
        <v>3586</v>
      </c>
      <c r="M179" s="514">
        <v>569</v>
      </c>
      <c r="N179" s="535">
        <v>2982215</v>
      </c>
      <c r="O179" s="542">
        <v>301855</v>
      </c>
      <c r="P179" s="512">
        <f t="shared" si="5"/>
        <v>9.879627635785393</v>
      </c>
      <c r="Q179" s="513">
        <v>41278</v>
      </c>
    </row>
    <row r="180" spans="1:17" ht="11.25">
      <c r="A180" s="453">
        <v>179</v>
      </c>
      <c r="B180" s="498" t="s">
        <v>48</v>
      </c>
      <c r="C180" s="549" t="s">
        <v>508</v>
      </c>
      <c r="D180" s="496" t="s">
        <v>509</v>
      </c>
      <c r="E180" s="492"/>
      <c r="F180" s="496" t="s">
        <v>508</v>
      </c>
      <c r="G180" s="495">
        <v>41229</v>
      </c>
      <c r="H180" s="499" t="s">
        <v>8</v>
      </c>
      <c r="I180" s="556">
        <v>144</v>
      </c>
      <c r="J180" s="423">
        <v>1</v>
      </c>
      <c r="K180" s="423">
        <v>10</v>
      </c>
      <c r="L180" s="529">
        <v>750</v>
      </c>
      <c r="M180" s="514">
        <v>261</v>
      </c>
      <c r="N180" s="541">
        <v>3007629</v>
      </c>
      <c r="O180" s="547">
        <v>305719</v>
      </c>
      <c r="P180" s="512">
        <f t="shared" si="5"/>
        <v>9.837887079311393</v>
      </c>
      <c r="Q180" s="513">
        <v>41292</v>
      </c>
    </row>
    <row r="181" spans="1:17" ht="11.25">
      <c r="A181" s="453">
        <v>180</v>
      </c>
      <c r="B181" s="498" t="s">
        <v>48</v>
      </c>
      <c r="C181" s="549" t="s">
        <v>508</v>
      </c>
      <c r="D181" s="560" t="s">
        <v>509</v>
      </c>
      <c r="E181" s="506"/>
      <c r="F181" s="560" t="s">
        <v>508</v>
      </c>
      <c r="G181" s="508">
        <v>41229</v>
      </c>
      <c r="H181" s="499" t="s">
        <v>8</v>
      </c>
      <c r="I181" s="556">
        <v>144</v>
      </c>
      <c r="J181" s="423">
        <v>1</v>
      </c>
      <c r="K181" s="423">
        <v>13</v>
      </c>
      <c r="L181" s="529">
        <v>706</v>
      </c>
      <c r="M181" s="514">
        <v>104</v>
      </c>
      <c r="N181" s="541">
        <v>3008977</v>
      </c>
      <c r="O181" s="547">
        <v>305940</v>
      </c>
      <c r="P181" s="512">
        <f t="shared" si="5"/>
        <v>9.835186637902856</v>
      </c>
      <c r="Q181" s="513">
        <v>41334</v>
      </c>
    </row>
    <row r="182" spans="1:17" ht="11.25">
      <c r="A182" s="453">
        <v>181</v>
      </c>
      <c r="B182" s="498" t="s">
        <v>48</v>
      </c>
      <c r="C182" s="549" t="s">
        <v>508</v>
      </c>
      <c r="D182" s="560" t="s">
        <v>509</v>
      </c>
      <c r="E182" s="506"/>
      <c r="F182" s="560" t="s">
        <v>508</v>
      </c>
      <c r="G182" s="508">
        <v>41229</v>
      </c>
      <c r="H182" s="499" t="s">
        <v>8</v>
      </c>
      <c r="I182" s="556">
        <v>144</v>
      </c>
      <c r="J182" s="560">
        <v>1</v>
      </c>
      <c r="K182" s="560">
        <v>14</v>
      </c>
      <c r="L182" s="510">
        <v>165</v>
      </c>
      <c r="M182" s="511">
        <v>19</v>
      </c>
      <c r="N182" s="535">
        <v>3008601</v>
      </c>
      <c r="O182" s="542">
        <v>305874</v>
      </c>
      <c r="P182" s="512">
        <f t="shared" si="5"/>
        <v>9.83607956217266</v>
      </c>
      <c r="Q182" s="513">
        <v>41341</v>
      </c>
    </row>
    <row r="183" spans="1:17" ht="11.25">
      <c r="A183" s="453">
        <v>182</v>
      </c>
      <c r="B183" s="498" t="s">
        <v>48</v>
      </c>
      <c r="C183" s="549" t="s">
        <v>508</v>
      </c>
      <c r="D183" s="496" t="s">
        <v>509</v>
      </c>
      <c r="E183" s="492"/>
      <c r="F183" s="496" t="s">
        <v>508</v>
      </c>
      <c r="G183" s="495">
        <v>41229</v>
      </c>
      <c r="H183" s="499" t="s">
        <v>8</v>
      </c>
      <c r="I183" s="556">
        <v>144</v>
      </c>
      <c r="J183" s="423">
        <v>1</v>
      </c>
      <c r="K183" s="423">
        <v>11</v>
      </c>
      <c r="L183" s="510">
        <v>86</v>
      </c>
      <c r="M183" s="511">
        <v>16</v>
      </c>
      <c r="N183" s="535">
        <v>3007715</v>
      </c>
      <c r="O183" s="542">
        <v>305735</v>
      </c>
      <c r="P183" s="512">
        <f t="shared" si="5"/>
        <v>9.837653523476213</v>
      </c>
      <c r="Q183" s="513">
        <v>41299</v>
      </c>
    </row>
    <row r="184" spans="1:17" ht="11.25">
      <c r="A184" s="453">
        <v>183</v>
      </c>
      <c r="B184" s="497"/>
      <c r="C184" s="520" t="s">
        <v>299</v>
      </c>
      <c r="D184" s="491" t="s">
        <v>301</v>
      </c>
      <c r="E184" s="491" t="s">
        <v>81</v>
      </c>
      <c r="F184" s="491" t="s">
        <v>300</v>
      </c>
      <c r="G184" s="495">
        <v>41082</v>
      </c>
      <c r="H184" s="499" t="s">
        <v>46</v>
      </c>
      <c r="I184" s="506">
        <v>14</v>
      </c>
      <c r="J184" s="506">
        <v>1</v>
      </c>
      <c r="K184" s="506">
        <v>9</v>
      </c>
      <c r="L184" s="642">
        <v>831.8</v>
      </c>
      <c r="M184" s="643">
        <v>166</v>
      </c>
      <c r="N184" s="644">
        <v>39693.93</v>
      </c>
      <c r="O184" s="645">
        <v>3458</v>
      </c>
      <c r="P184" s="515">
        <f t="shared" si="5"/>
        <v>11.47886928860613</v>
      </c>
      <c r="Q184" s="516">
        <v>41306</v>
      </c>
    </row>
    <row r="185" spans="1:17" ht="11.25">
      <c r="A185" s="453">
        <v>184</v>
      </c>
      <c r="B185" s="497"/>
      <c r="C185" s="520" t="s">
        <v>299</v>
      </c>
      <c r="D185" s="491" t="s">
        <v>301</v>
      </c>
      <c r="E185" s="491" t="s">
        <v>81</v>
      </c>
      <c r="F185" s="491" t="s">
        <v>300</v>
      </c>
      <c r="G185" s="508">
        <v>41082</v>
      </c>
      <c r="H185" s="499" t="s">
        <v>46</v>
      </c>
      <c r="I185" s="509">
        <v>14</v>
      </c>
      <c r="J185" s="506">
        <v>1</v>
      </c>
      <c r="K185" s="506">
        <v>10</v>
      </c>
      <c r="L185" s="531">
        <v>594</v>
      </c>
      <c r="M185" s="534">
        <v>119</v>
      </c>
      <c r="N185" s="550">
        <v>40287.93</v>
      </c>
      <c r="O185" s="552">
        <v>3577</v>
      </c>
      <c r="P185" s="512">
        <f t="shared" si="5"/>
        <v>11.263050041934582</v>
      </c>
      <c r="Q185" s="513">
        <v>41320</v>
      </c>
    </row>
    <row r="186" spans="1:17" ht="11.25">
      <c r="A186" s="453">
        <v>185</v>
      </c>
      <c r="B186" s="497"/>
      <c r="C186" s="548" t="s">
        <v>903</v>
      </c>
      <c r="D186" s="506" t="s">
        <v>875</v>
      </c>
      <c r="E186" s="506" t="s">
        <v>236</v>
      </c>
      <c r="F186" s="557" t="s">
        <v>902</v>
      </c>
      <c r="G186" s="526">
        <v>39150</v>
      </c>
      <c r="H186" s="499" t="s">
        <v>151</v>
      </c>
      <c r="I186" s="517">
        <v>10</v>
      </c>
      <c r="J186" s="509">
        <v>1</v>
      </c>
      <c r="K186" s="509">
        <v>32</v>
      </c>
      <c r="L186" s="669">
        <v>2372</v>
      </c>
      <c r="M186" s="670">
        <v>474</v>
      </c>
      <c r="N186" s="675">
        <v>232377</v>
      </c>
      <c r="O186" s="676">
        <v>26819</v>
      </c>
      <c r="P186" s="512">
        <f t="shared" si="5"/>
        <v>8.664640739774041</v>
      </c>
      <c r="Q186" s="513">
        <v>41411</v>
      </c>
    </row>
    <row r="187" spans="1:17" ht="11.25">
      <c r="A187" s="453">
        <v>186</v>
      </c>
      <c r="B187" s="497"/>
      <c r="C187" s="548" t="s">
        <v>466</v>
      </c>
      <c r="D187" s="506" t="s">
        <v>393</v>
      </c>
      <c r="E187" s="499" t="s">
        <v>282</v>
      </c>
      <c r="F187" s="499" t="s">
        <v>465</v>
      </c>
      <c r="G187" s="342">
        <v>41187</v>
      </c>
      <c r="H187" s="499" t="s">
        <v>139</v>
      </c>
      <c r="I187" s="509">
        <v>5</v>
      </c>
      <c r="J187" s="509">
        <v>1</v>
      </c>
      <c r="K187" s="509">
        <v>8</v>
      </c>
      <c r="L187" s="530">
        <v>2376</v>
      </c>
      <c r="M187" s="533">
        <v>475</v>
      </c>
      <c r="N187" s="551">
        <v>44110.68000000001</v>
      </c>
      <c r="O187" s="553">
        <v>6122</v>
      </c>
      <c r="P187" s="512">
        <f t="shared" si="5"/>
        <v>7.205272786671024</v>
      </c>
      <c r="Q187" s="513">
        <v>41348</v>
      </c>
    </row>
    <row r="188" spans="1:17" ht="11.25">
      <c r="A188" s="453">
        <v>187</v>
      </c>
      <c r="B188" s="497"/>
      <c r="C188" s="548" t="s">
        <v>466</v>
      </c>
      <c r="D188" s="492" t="s">
        <v>393</v>
      </c>
      <c r="E188" s="491" t="s">
        <v>282</v>
      </c>
      <c r="F188" s="491" t="s">
        <v>465</v>
      </c>
      <c r="G188" s="495">
        <v>41187</v>
      </c>
      <c r="H188" s="499" t="s">
        <v>139</v>
      </c>
      <c r="I188" s="506">
        <v>5</v>
      </c>
      <c r="J188" s="509">
        <v>1</v>
      </c>
      <c r="K188" s="509">
        <v>6</v>
      </c>
      <c r="L188" s="642">
        <v>1900.8</v>
      </c>
      <c r="M188" s="651">
        <v>380</v>
      </c>
      <c r="N188" s="644">
        <v>41734.68000000001</v>
      </c>
      <c r="O188" s="652">
        <v>5647</v>
      </c>
      <c r="P188" s="512">
        <f t="shared" si="5"/>
        <v>7.390593235346203</v>
      </c>
      <c r="Q188" s="513">
        <v>41292</v>
      </c>
    </row>
    <row r="189" spans="1:17" ht="11.25">
      <c r="A189" s="453">
        <v>188</v>
      </c>
      <c r="B189" s="497"/>
      <c r="C189" s="548" t="s">
        <v>466</v>
      </c>
      <c r="D189" s="506" t="s">
        <v>393</v>
      </c>
      <c r="E189" s="499" t="s">
        <v>282</v>
      </c>
      <c r="F189" s="499" t="s">
        <v>465</v>
      </c>
      <c r="G189" s="342">
        <v>41187</v>
      </c>
      <c r="H189" s="499" t="s">
        <v>139</v>
      </c>
      <c r="I189" s="509">
        <v>5</v>
      </c>
      <c r="J189" s="517">
        <v>1</v>
      </c>
      <c r="K189" s="517">
        <v>9</v>
      </c>
      <c r="L189" s="554">
        <v>1782</v>
      </c>
      <c r="M189" s="555">
        <v>356</v>
      </c>
      <c r="N189" s="438">
        <v>45892.68000000001</v>
      </c>
      <c r="O189" s="439">
        <v>6478</v>
      </c>
      <c r="P189" s="515">
        <f t="shared" si="5"/>
        <v>7.08439024390244</v>
      </c>
      <c r="Q189" s="516">
        <v>41355</v>
      </c>
    </row>
    <row r="190" spans="1:17" ht="11.25">
      <c r="A190" s="453">
        <v>189</v>
      </c>
      <c r="B190" s="498"/>
      <c r="C190" s="520" t="s">
        <v>416</v>
      </c>
      <c r="D190" s="500" t="s">
        <v>80</v>
      </c>
      <c r="E190" s="506" t="s">
        <v>69</v>
      </c>
      <c r="F190" s="560" t="s">
        <v>415</v>
      </c>
      <c r="G190" s="508">
        <v>41152</v>
      </c>
      <c r="H190" s="499" t="s">
        <v>59</v>
      </c>
      <c r="I190" s="556">
        <v>61</v>
      </c>
      <c r="J190" s="517">
        <v>1</v>
      </c>
      <c r="K190" s="517">
        <v>22</v>
      </c>
      <c r="L190" s="510">
        <v>1425.6</v>
      </c>
      <c r="M190" s="511">
        <v>285</v>
      </c>
      <c r="N190" s="535">
        <f>320999.83+189645.44+78955.32+54005.75+32090+31108.73+21051.52+11756.36+38489.62+2084.24+4216.64+2138+2492+1657+3817+144+840+284+484+493.5+1188+1425.6</f>
        <v>799366.55</v>
      </c>
      <c r="O190" s="542">
        <f>32866+19845+7617+5281+3345+4030+2789+1618+3939+332+613+230+493+299+770+36+272+20+193+108+238+285</f>
        <v>85219</v>
      </c>
      <c r="P190" s="512">
        <f t="shared" si="5"/>
        <v>9.380144686044192</v>
      </c>
      <c r="Q190" s="513">
        <v>41369</v>
      </c>
    </row>
    <row r="191" spans="1:17" ht="11.25">
      <c r="A191" s="453">
        <v>190</v>
      </c>
      <c r="B191" s="498"/>
      <c r="C191" s="520" t="s">
        <v>416</v>
      </c>
      <c r="D191" s="490" t="s">
        <v>80</v>
      </c>
      <c r="E191" s="492" t="s">
        <v>69</v>
      </c>
      <c r="F191" s="496" t="s">
        <v>415</v>
      </c>
      <c r="G191" s="508">
        <v>41152</v>
      </c>
      <c r="H191" s="499" t="s">
        <v>59</v>
      </c>
      <c r="I191" s="556">
        <v>61</v>
      </c>
      <c r="J191" s="509">
        <v>1</v>
      </c>
      <c r="K191" s="509">
        <v>21</v>
      </c>
      <c r="L191" s="510">
        <v>1188</v>
      </c>
      <c r="M191" s="514">
        <v>238</v>
      </c>
      <c r="N191" s="535">
        <f>320999.83+189645.44+78955.32+54005.75+32090+31108.73+21051.52+11756.36+38489.62+2084.24+4216.64+2138+2492+1657+3817+144+840+284+484+493.5+1188</f>
        <v>797940.9500000001</v>
      </c>
      <c r="O191" s="547">
        <f>32866+19845+7617+5281+3345+4030+2789+1618+3939+332+613+230+493+299+770+36+272+20+193+108+238</f>
        <v>84934</v>
      </c>
      <c r="P191" s="515">
        <f t="shared" si="5"/>
        <v>9.394835401605954</v>
      </c>
      <c r="Q191" s="516">
        <v>41313</v>
      </c>
    </row>
    <row r="192" spans="1:17" ht="11.25">
      <c r="A192" s="453">
        <v>191</v>
      </c>
      <c r="B192" s="498"/>
      <c r="C192" s="520" t="s">
        <v>416</v>
      </c>
      <c r="D192" s="490" t="s">
        <v>80</v>
      </c>
      <c r="E192" s="492" t="s">
        <v>69</v>
      </c>
      <c r="F192" s="496" t="s">
        <v>415</v>
      </c>
      <c r="G192" s="495">
        <v>41152</v>
      </c>
      <c r="H192" s="499" t="s">
        <v>59</v>
      </c>
      <c r="I192" s="527">
        <v>61</v>
      </c>
      <c r="J192" s="509">
        <v>2</v>
      </c>
      <c r="K192" s="509">
        <v>20</v>
      </c>
      <c r="L192" s="529">
        <v>493.5</v>
      </c>
      <c r="M192" s="514">
        <v>108</v>
      </c>
      <c r="N192" s="541">
        <f>320999.83+189645.44+78955.32+54005.75+32090+31108.73+21051.52+11756.36+38489.62+2084.24+4216.64+2138+2492+1657+3817+144+840+284+484+493.5</f>
        <v>796752.9500000001</v>
      </c>
      <c r="O192" s="547">
        <f>32866+19845+7617+5281+3345+4030+2789+1618+3939+332+613+230+493+299+770+36+272+20+193+108</f>
        <v>84696</v>
      </c>
      <c r="P192" s="512">
        <f t="shared" si="5"/>
        <v>9.407208722962125</v>
      </c>
      <c r="Q192" s="513">
        <v>41299</v>
      </c>
    </row>
    <row r="193" spans="1:17" ht="11.25">
      <c r="A193" s="453">
        <v>192</v>
      </c>
      <c r="B193" s="498"/>
      <c r="C193" s="520" t="s">
        <v>416</v>
      </c>
      <c r="D193" s="490" t="s">
        <v>80</v>
      </c>
      <c r="E193" s="492" t="s">
        <v>69</v>
      </c>
      <c r="F193" s="496" t="s">
        <v>415</v>
      </c>
      <c r="G193" s="495">
        <v>41152</v>
      </c>
      <c r="H193" s="499" t="s">
        <v>59</v>
      </c>
      <c r="I193" s="527">
        <v>61</v>
      </c>
      <c r="J193" s="509">
        <v>1</v>
      </c>
      <c r="K193" s="509">
        <v>19</v>
      </c>
      <c r="L193" s="529">
        <v>484</v>
      </c>
      <c r="M193" s="514">
        <v>193</v>
      </c>
      <c r="N193" s="539">
        <f>320999.83+189645.44+78955.32+54005.75+32090+31108.73+21051.52+11756.36+38489.62+2084.24+4216.64+2138+2492+1657+3817+144+840+284+484</f>
        <v>796259.4500000001</v>
      </c>
      <c r="O193" s="545">
        <f>32866+19845+7617+5281+3345+4030+2789+1618+3939+332+613+230+493+299+770+36+272+20+193</f>
        <v>84588</v>
      </c>
      <c r="P193" s="512">
        <f t="shared" si="5"/>
        <v>9.413385468387952</v>
      </c>
      <c r="Q193" s="513">
        <v>41292</v>
      </c>
    </row>
    <row r="194" spans="1:17" ht="11.25">
      <c r="A194" s="453">
        <v>193</v>
      </c>
      <c r="B194" s="497"/>
      <c r="C194" s="549" t="s">
        <v>142</v>
      </c>
      <c r="D194" s="506" t="s">
        <v>263</v>
      </c>
      <c r="E194" s="500" t="s">
        <v>67</v>
      </c>
      <c r="F194" s="560" t="s">
        <v>144</v>
      </c>
      <c r="G194" s="526">
        <v>40914</v>
      </c>
      <c r="H194" s="499" t="s">
        <v>59</v>
      </c>
      <c r="I194" s="506">
        <v>56</v>
      </c>
      <c r="J194" s="507">
        <v>1</v>
      </c>
      <c r="K194" s="507">
        <v>16</v>
      </c>
      <c r="L194" s="510">
        <v>1901</v>
      </c>
      <c r="M194" s="514">
        <v>380</v>
      </c>
      <c r="N194" s="535">
        <f>212792+161708.5+190927+56533.48+39859.88+22564.8+12520.5+1707.5+187+1782+3292.5+1782+594+1670+1901+1901</f>
        <v>711723.16</v>
      </c>
      <c r="O194" s="547">
        <f>19942+16687+19909+5952+4552+2963+2467+206+32+356+581+356+119+167+380+380</f>
        <v>75049</v>
      </c>
      <c r="P194" s="515">
        <f t="shared" si="5"/>
        <v>9.483446281762582</v>
      </c>
      <c r="Q194" s="516">
        <v>41397</v>
      </c>
    </row>
    <row r="195" spans="1:17" ht="11.25">
      <c r="A195" s="453">
        <v>194</v>
      </c>
      <c r="B195" s="497"/>
      <c r="C195" s="549" t="s">
        <v>142</v>
      </c>
      <c r="D195" s="506" t="s">
        <v>263</v>
      </c>
      <c r="E195" s="500" t="s">
        <v>67</v>
      </c>
      <c r="F195" s="560" t="s">
        <v>144</v>
      </c>
      <c r="G195" s="526">
        <v>40914</v>
      </c>
      <c r="H195" s="499" t="s">
        <v>59</v>
      </c>
      <c r="I195" s="509">
        <v>56</v>
      </c>
      <c r="J195" s="517">
        <v>1</v>
      </c>
      <c r="K195" s="517">
        <v>15</v>
      </c>
      <c r="L195" s="510">
        <v>1670</v>
      </c>
      <c r="M195" s="511">
        <v>167</v>
      </c>
      <c r="N195" s="535">
        <f>212792+161708.5+190927+56533.48+39859.88+22564.8+12520.5+1707.5+187+1782+3292.5+1782+594+1670+1901</f>
        <v>709822.16</v>
      </c>
      <c r="O195" s="542">
        <f>19942+16687+19909+5952+4552+2963+2467+206+32+356+581+356+119+167+380</f>
        <v>74669</v>
      </c>
      <c r="P195" s="512">
        <f t="shared" si="5"/>
        <v>9.50624971541068</v>
      </c>
      <c r="Q195" s="513">
        <v>41390</v>
      </c>
    </row>
    <row r="196" spans="1:17" ht="11.25">
      <c r="A196" s="453">
        <v>195</v>
      </c>
      <c r="B196" s="498"/>
      <c r="C196" s="549" t="s">
        <v>540</v>
      </c>
      <c r="D196" s="496" t="s">
        <v>544</v>
      </c>
      <c r="E196" s="492" t="s">
        <v>92</v>
      </c>
      <c r="F196" s="496" t="s">
        <v>541</v>
      </c>
      <c r="G196" s="495">
        <v>41250</v>
      </c>
      <c r="H196" s="499" t="s">
        <v>8</v>
      </c>
      <c r="I196" s="556">
        <v>93</v>
      </c>
      <c r="J196" s="423">
        <v>24</v>
      </c>
      <c r="K196" s="423">
        <v>5</v>
      </c>
      <c r="L196" s="529">
        <v>59887</v>
      </c>
      <c r="M196" s="514">
        <v>4560</v>
      </c>
      <c r="N196" s="535">
        <v>74688</v>
      </c>
      <c r="O196" s="542">
        <v>65905</v>
      </c>
      <c r="P196" s="512">
        <f t="shared" si="5"/>
        <v>1.1332675821257872</v>
      </c>
      <c r="Q196" s="513">
        <v>41278</v>
      </c>
    </row>
    <row r="197" spans="1:17" ht="11.25">
      <c r="A197" s="453">
        <v>196</v>
      </c>
      <c r="B197" s="498"/>
      <c r="C197" s="549" t="s">
        <v>540</v>
      </c>
      <c r="D197" s="496" t="s">
        <v>544</v>
      </c>
      <c r="E197" s="492" t="s">
        <v>92</v>
      </c>
      <c r="F197" s="496" t="s">
        <v>541</v>
      </c>
      <c r="G197" s="495">
        <v>41250</v>
      </c>
      <c r="H197" s="499" t="s">
        <v>8</v>
      </c>
      <c r="I197" s="556">
        <v>93</v>
      </c>
      <c r="J197" s="423">
        <v>13</v>
      </c>
      <c r="K197" s="423">
        <v>6</v>
      </c>
      <c r="L197" s="529">
        <v>20183</v>
      </c>
      <c r="M197" s="514">
        <v>1854</v>
      </c>
      <c r="N197" s="541">
        <v>767071</v>
      </c>
      <c r="O197" s="547">
        <v>67759</v>
      </c>
      <c r="P197" s="512">
        <f t="shared" si="5"/>
        <v>11.32057734027952</v>
      </c>
      <c r="Q197" s="513">
        <v>41285</v>
      </c>
    </row>
    <row r="198" spans="1:17" ht="11.25">
      <c r="A198" s="453">
        <v>197</v>
      </c>
      <c r="B198" s="498"/>
      <c r="C198" s="549" t="s">
        <v>540</v>
      </c>
      <c r="D198" s="496" t="s">
        <v>544</v>
      </c>
      <c r="E198" s="492" t="s">
        <v>92</v>
      </c>
      <c r="F198" s="496" t="s">
        <v>541</v>
      </c>
      <c r="G198" s="495">
        <v>41250</v>
      </c>
      <c r="H198" s="499" t="s">
        <v>8</v>
      </c>
      <c r="I198" s="556">
        <v>93</v>
      </c>
      <c r="J198" s="423">
        <v>2</v>
      </c>
      <c r="K198" s="423">
        <v>7</v>
      </c>
      <c r="L198" s="529">
        <v>2709</v>
      </c>
      <c r="M198" s="514">
        <v>418</v>
      </c>
      <c r="N198" s="541">
        <v>769780</v>
      </c>
      <c r="O198" s="547">
        <v>68177</v>
      </c>
      <c r="P198" s="512">
        <f t="shared" si="5"/>
        <v>11.290904557255379</v>
      </c>
      <c r="Q198" s="513">
        <v>41292</v>
      </c>
    </row>
    <row r="199" spans="1:17" ht="11.25">
      <c r="A199" s="453">
        <v>198</v>
      </c>
      <c r="B199" s="498"/>
      <c r="C199" s="549" t="s">
        <v>540</v>
      </c>
      <c r="D199" s="496" t="s">
        <v>544</v>
      </c>
      <c r="E199" s="492" t="s">
        <v>92</v>
      </c>
      <c r="F199" s="496" t="s">
        <v>541</v>
      </c>
      <c r="G199" s="495">
        <v>41250</v>
      </c>
      <c r="H199" s="499" t="s">
        <v>8</v>
      </c>
      <c r="I199" s="556">
        <v>93</v>
      </c>
      <c r="J199" s="560">
        <v>1</v>
      </c>
      <c r="K199" s="560">
        <v>8</v>
      </c>
      <c r="L199" s="561">
        <v>1022</v>
      </c>
      <c r="M199" s="677">
        <v>127</v>
      </c>
      <c r="N199" s="678">
        <v>770802</v>
      </c>
      <c r="O199" s="679">
        <v>68304</v>
      </c>
      <c r="P199" s="515">
        <f t="shared" si="5"/>
        <v>11.284873506676037</v>
      </c>
      <c r="Q199" s="516">
        <v>41306</v>
      </c>
    </row>
    <row r="200" spans="1:17" ht="11.25">
      <c r="A200" s="453">
        <v>199</v>
      </c>
      <c r="B200" s="497"/>
      <c r="C200" s="520" t="s">
        <v>277</v>
      </c>
      <c r="D200" s="499" t="s">
        <v>379</v>
      </c>
      <c r="E200" s="499" t="s">
        <v>75</v>
      </c>
      <c r="F200" s="499" t="s">
        <v>276</v>
      </c>
      <c r="G200" s="508">
        <v>41054</v>
      </c>
      <c r="H200" s="499" t="s">
        <v>46</v>
      </c>
      <c r="I200" s="509">
        <v>73</v>
      </c>
      <c r="J200" s="509">
        <v>1</v>
      </c>
      <c r="K200" s="509">
        <v>22</v>
      </c>
      <c r="L200" s="680">
        <v>1188</v>
      </c>
      <c r="M200" s="681">
        <v>238</v>
      </c>
      <c r="N200" s="682">
        <v>311938.66</v>
      </c>
      <c r="O200" s="683">
        <v>35083</v>
      </c>
      <c r="P200" s="512">
        <f t="shared" si="5"/>
        <v>8.891447709716957</v>
      </c>
      <c r="Q200" s="513">
        <v>41327</v>
      </c>
    </row>
    <row r="201" spans="1:17" ht="11.25">
      <c r="A201" s="453">
        <v>200</v>
      </c>
      <c r="B201" s="497"/>
      <c r="C201" s="520" t="s">
        <v>277</v>
      </c>
      <c r="D201" s="499" t="s">
        <v>379</v>
      </c>
      <c r="E201" s="499" t="s">
        <v>75</v>
      </c>
      <c r="F201" s="499" t="s">
        <v>276</v>
      </c>
      <c r="G201" s="508">
        <v>41054</v>
      </c>
      <c r="H201" s="499" t="s">
        <v>46</v>
      </c>
      <c r="I201" s="509">
        <v>73</v>
      </c>
      <c r="J201" s="509">
        <v>3</v>
      </c>
      <c r="K201" s="509">
        <v>24</v>
      </c>
      <c r="L201" s="554">
        <v>1188</v>
      </c>
      <c r="M201" s="555">
        <v>238</v>
      </c>
      <c r="N201" s="438">
        <v>313457.66</v>
      </c>
      <c r="O201" s="439">
        <v>35377</v>
      </c>
      <c r="P201" s="515">
        <f aca="true" t="shared" si="6" ref="P201:P211">N201/O201</f>
        <v>8.860492975662153</v>
      </c>
      <c r="Q201" s="516">
        <v>41383</v>
      </c>
    </row>
    <row r="202" spans="1:17" ht="11.25">
      <c r="A202" s="453">
        <v>201</v>
      </c>
      <c r="B202" s="497"/>
      <c r="C202" s="502" t="s">
        <v>277</v>
      </c>
      <c r="D202" s="491" t="s">
        <v>379</v>
      </c>
      <c r="E202" s="491" t="s">
        <v>75</v>
      </c>
      <c r="F202" s="491" t="s">
        <v>276</v>
      </c>
      <c r="G202" s="495">
        <v>41054</v>
      </c>
      <c r="H202" s="491" t="s">
        <v>46</v>
      </c>
      <c r="I202" s="506">
        <v>73</v>
      </c>
      <c r="J202" s="509">
        <v>1</v>
      </c>
      <c r="K202" s="509">
        <v>25</v>
      </c>
      <c r="L202" s="530">
        <v>1188</v>
      </c>
      <c r="M202" s="533">
        <v>238</v>
      </c>
      <c r="N202" s="530">
        <v>314645.66</v>
      </c>
      <c r="O202" s="533">
        <v>35615</v>
      </c>
      <c r="P202" s="512">
        <f t="shared" si="6"/>
        <v>8.834638775796714</v>
      </c>
      <c r="Q202" s="513">
        <v>41509</v>
      </c>
    </row>
    <row r="203" spans="1:17" ht="11.25">
      <c r="A203" s="453">
        <v>202</v>
      </c>
      <c r="B203" s="497"/>
      <c r="C203" s="520" t="s">
        <v>277</v>
      </c>
      <c r="D203" s="491" t="s">
        <v>379</v>
      </c>
      <c r="E203" s="491" t="s">
        <v>75</v>
      </c>
      <c r="F203" s="491" t="s">
        <v>276</v>
      </c>
      <c r="G203" s="495">
        <v>41054</v>
      </c>
      <c r="H203" s="499" t="s">
        <v>46</v>
      </c>
      <c r="I203" s="509">
        <v>73</v>
      </c>
      <c r="J203" s="640">
        <v>1</v>
      </c>
      <c r="K203" s="640">
        <v>18</v>
      </c>
      <c r="L203" s="554">
        <v>872.6</v>
      </c>
      <c r="M203" s="555">
        <v>173</v>
      </c>
      <c r="N203" s="646">
        <v>308626.06</v>
      </c>
      <c r="O203" s="645">
        <v>34420</v>
      </c>
      <c r="P203" s="512">
        <f t="shared" si="6"/>
        <v>8.966474723997676</v>
      </c>
      <c r="Q203" s="513">
        <v>41278</v>
      </c>
    </row>
    <row r="204" spans="1:17" ht="11.25">
      <c r="A204" s="453">
        <v>203</v>
      </c>
      <c r="B204" s="497"/>
      <c r="C204" s="520" t="s">
        <v>277</v>
      </c>
      <c r="D204" s="491" t="s">
        <v>379</v>
      </c>
      <c r="E204" s="491" t="s">
        <v>75</v>
      </c>
      <c r="F204" s="491" t="s">
        <v>276</v>
      </c>
      <c r="G204" s="495">
        <v>41054</v>
      </c>
      <c r="H204" s="499" t="s">
        <v>46</v>
      </c>
      <c r="I204" s="509">
        <v>73</v>
      </c>
      <c r="J204" s="641">
        <v>1</v>
      </c>
      <c r="K204" s="641">
        <v>20</v>
      </c>
      <c r="L204" s="642">
        <v>831.8</v>
      </c>
      <c r="M204" s="643">
        <v>166</v>
      </c>
      <c r="N204" s="644">
        <v>310750.66</v>
      </c>
      <c r="O204" s="645">
        <v>34845</v>
      </c>
      <c r="P204" s="515">
        <f t="shared" si="6"/>
        <v>8.918084660639977</v>
      </c>
      <c r="Q204" s="516">
        <v>41306</v>
      </c>
    </row>
    <row r="205" spans="1:17" ht="11.25">
      <c r="A205" s="453">
        <v>204</v>
      </c>
      <c r="B205" s="497"/>
      <c r="C205" s="520" t="s">
        <v>277</v>
      </c>
      <c r="D205" s="499" t="s">
        <v>379</v>
      </c>
      <c r="E205" s="499" t="s">
        <v>75</v>
      </c>
      <c r="F205" s="499" t="s">
        <v>276</v>
      </c>
      <c r="G205" s="508">
        <v>41054</v>
      </c>
      <c r="H205" s="499" t="s">
        <v>46</v>
      </c>
      <c r="I205" s="509">
        <v>73</v>
      </c>
      <c r="J205" s="509">
        <v>3</v>
      </c>
      <c r="K205" s="509">
        <v>23</v>
      </c>
      <c r="L205" s="531">
        <v>331</v>
      </c>
      <c r="M205" s="534">
        <v>56</v>
      </c>
      <c r="N205" s="550">
        <v>312269.66</v>
      </c>
      <c r="O205" s="552">
        <v>35139</v>
      </c>
      <c r="P205" s="512">
        <f t="shared" si="6"/>
        <v>8.886697401747346</v>
      </c>
      <c r="Q205" s="513">
        <v>41362</v>
      </c>
    </row>
    <row r="206" spans="1:17" ht="11.25">
      <c r="A206" s="453">
        <v>205</v>
      </c>
      <c r="B206" s="497"/>
      <c r="C206" s="520" t="s">
        <v>277</v>
      </c>
      <c r="D206" s="491" t="s">
        <v>379</v>
      </c>
      <c r="E206" s="491" t="s">
        <v>75</v>
      </c>
      <c r="F206" s="491" t="s">
        <v>276</v>
      </c>
      <c r="G206" s="495">
        <v>41054</v>
      </c>
      <c r="H206" s="499" t="s">
        <v>46</v>
      </c>
      <c r="I206" s="509">
        <v>73</v>
      </c>
      <c r="J206" s="640">
        <v>1</v>
      </c>
      <c r="K206" s="640">
        <v>19</v>
      </c>
      <c r="L206" s="554">
        <v>105</v>
      </c>
      <c r="M206" s="555">
        <v>21</v>
      </c>
      <c r="N206" s="438">
        <v>308731.06</v>
      </c>
      <c r="O206" s="439">
        <v>34441</v>
      </c>
      <c r="P206" s="512">
        <f t="shared" si="6"/>
        <v>8.96405621207282</v>
      </c>
      <c r="Q206" s="513">
        <v>41285</v>
      </c>
    </row>
    <row r="207" spans="1:17" ht="11.25">
      <c r="A207" s="453">
        <v>206</v>
      </c>
      <c r="B207" s="497"/>
      <c r="C207" s="549" t="s">
        <v>140</v>
      </c>
      <c r="D207" s="560"/>
      <c r="E207" s="506" t="s">
        <v>82</v>
      </c>
      <c r="F207" s="560" t="s">
        <v>141</v>
      </c>
      <c r="G207" s="508">
        <v>39472</v>
      </c>
      <c r="H207" s="499" t="s">
        <v>47</v>
      </c>
      <c r="I207" s="556">
        <v>59</v>
      </c>
      <c r="J207" s="423">
        <v>1</v>
      </c>
      <c r="K207" s="423">
        <v>52</v>
      </c>
      <c r="L207" s="558">
        <v>7205</v>
      </c>
      <c r="M207" s="559">
        <v>1427</v>
      </c>
      <c r="N207" s="440">
        <v>854769.5</v>
      </c>
      <c r="O207" s="441">
        <v>114666</v>
      </c>
      <c r="P207" s="515">
        <f t="shared" si="6"/>
        <v>7.454428514119268</v>
      </c>
      <c r="Q207" s="516">
        <v>41355</v>
      </c>
    </row>
    <row r="208" spans="1:17" ht="11.25">
      <c r="A208" s="453">
        <v>207</v>
      </c>
      <c r="B208" s="497"/>
      <c r="C208" s="549" t="s">
        <v>140</v>
      </c>
      <c r="D208" s="496"/>
      <c r="E208" s="492" t="s">
        <v>82</v>
      </c>
      <c r="F208" s="496" t="s">
        <v>141</v>
      </c>
      <c r="G208" s="495">
        <v>39472</v>
      </c>
      <c r="H208" s="499" t="s">
        <v>47</v>
      </c>
      <c r="I208" s="527">
        <v>59</v>
      </c>
      <c r="J208" s="556">
        <v>1</v>
      </c>
      <c r="K208" s="556">
        <v>52</v>
      </c>
      <c r="L208" s="554">
        <v>1801.5</v>
      </c>
      <c r="M208" s="555">
        <v>360</v>
      </c>
      <c r="N208" s="438">
        <f>395290.5+262822+75939+23709.5+4083+1327+9321+1445+1267+2173+4575+201+1748+3343+728+28+948+1329+163+182+173+15521.5+171+40+110+75+183.5+127+124.5+1976+312+180+12+2398+1799+1799+1799+3598+1201+1802+2402+1801.5+1201+5044.5+1681.5+1682+1681.5+1681.5+3363+1801.5</f>
        <v>846363.5</v>
      </c>
      <c r="O208" s="439">
        <f>47426+32442+9866+4010+887+225+2185+263+226+460+1077+33+367+887+230+4+139+355+32+35+32+3859+49+8+22+15+68+46+45+659+52+30+2+399+300+300+300+600+240+360+480+360+240+1008+336+336+336+336+672+360</f>
        <v>112999</v>
      </c>
      <c r="P208" s="512">
        <f t="shared" si="6"/>
        <v>7.490008761139479</v>
      </c>
      <c r="Q208" s="513">
        <v>41285</v>
      </c>
    </row>
    <row r="209" spans="1:17" ht="11.25">
      <c r="A209" s="453">
        <v>208</v>
      </c>
      <c r="B209" s="497"/>
      <c r="C209" s="442" t="s">
        <v>140</v>
      </c>
      <c r="D209" s="560"/>
      <c r="E209" s="506" t="s">
        <v>82</v>
      </c>
      <c r="F209" s="560" t="s">
        <v>141</v>
      </c>
      <c r="G209" s="508">
        <v>39472</v>
      </c>
      <c r="H209" s="499" t="s">
        <v>47</v>
      </c>
      <c r="I209" s="556">
        <v>59</v>
      </c>
      <c r="J209" s="560">
        <v>1</v>
      </c>
      <c r="K209" s="560">
        <v>52</v>
      </c>
      <c r="L209" s="662">
        <v>1800</v>
      </c>
      <c r="M209" s="663">
        <v>338</v>
      </c>
      <c r="N209" s="664">
        <v>856569.5</v>
      </c>
      <c r="O209" s="665">
        <v>115004</v>
      </c>
      <c r="P209" s="515">
        <f t="shared" si="6"/>
        <v>7.448171367952419</v>
      </c>
      <c r="Q209" s="516">
        <v>41418</v>
      </c>
    </row>
    <row r="210" spans="1:17" ht="11.25">
      <c r="A210" s="453">
        <v>209</v>
      </c>
      <c r="B210" s="497"/>
      <c r="C210" s="549" t="s">
        <v>140</v>
      </c>
      <c r="D210" s="496"/>
      <c r="E210" s="492" t="s">
        <v>82</v>
      </c>
      <c r="F210" s="496" t="s">
        <v>141</v>
      </c>
      <c r="G210" s="495">
        <v>39472</v>
      </c>
      <c r="H210" s="499" t="s">
        <v>47</v>
      </c>
      <c r="I210" s="527">
        <v>59</v>
      </c>
      <c r="J210" s="527">
        <v>1</v>
      </c>
      <c r="K210" s="527">
        <v>53</v>
      </c>
      <c r="L210" s="554">
        <v>1201</v>
      </c>
      <c r="M210" s="534">
        <v>240</v>
      </c>
      <c r="N210" s="438">
        <f>395290.5+262822+75939+23709.5+4083+1327+9321+1445+1267+2173+4575+201+1748+3343+728+28+948+1329+163+182+173+15521.5+171+40+110+75+183.5+127+124.5+1976+312+180+12+2398+1799+1799+1799+3598+1201+1802+2402+1801.5+1201+5044.5+1681.5+1682+1681.5+1681.5+3363+1801.5+1201</f>
        <v>847564.5</v>
      </c>
      <c r="O210" s="552">
        <f>47426+32442+9866+4010+887+225+2185+263+226+460+1077+33+367+887+230+4+139+355+32+35+32+3859+49+8+22+15+68+46+45+659+52+30+2+399+300+300+300+600+240+360+480+360+240+1008+336+336+336+336+672+360+240</f>
        <v>113239</v>
      </c>
      <c r="P210" s="515">
        <f t="shared" si="6"/>
        <v>7.484740239670078</v>
      </c>
      <c r="Q210" s="516">
        <v>41306</v>
      </c>
    </row>
    <row r="211" spans="1:17" ht="11.25">
      <c r="A211" s="453">
        <v>210</v>
      </c>
      <c r="B211" s="402"/>
      <c r="C211" s="637" t="s">
        <v>227</v>
      </c>
      <c r="D211" s="492" t="s">
        <v>66</v>
      </c>
      <c r="E211" s="339" t="s">
        <v>72</v>
      </c>
      <c r="F211" s="339" t="s">
        <v>268</v>
      </c>
      <c r="G211" s="495">
        <v>41012</v>
      </c>
      <c r="H211" s="491" t="s">
        <v>12</v>
      </c>
      <c r="I211" s="509">
        <v>95</v>
      </c>
      <c r="J211" s="517">
        <v>1</v>
      </c>
      <c r="K211" s="517">
        <v>73</v>
      </c>
      <c r="L211" s="531">
        <v>2394</v>
      </c>
      <c r="M211" s="534">
        <v>378</v>
      </c>
      <c r="N211" s="550">
        <v>1398781</v>
      </c>
      <c r="O211" s="552">
        <v>135345</v>
      </c>
      <c r="P211" s="512">
        <f t="shared" si="6"/>
        <v>10.334929254867191</v>
      </c>
      <c r="Q211" s="513">
        <v>41516</v>
      </c>
    </row>
    <row r="212" spans="1:17" ht="11.25">
      <c r="A212" s="453">
        <v>211</v>
      </c>
      <c r="B212" s="477"/>
      <c r="C212" s="462" t="s">
        <v>227</v>
      </c>
      <c r="D212" s="364" t="s">
        <v>66</v>
      </c>
      <c r="E212" s="361" t="s">
        <v>72</v>
      </c>
      <c r="F212" s="361" t="s">
        <v>268</v>
      </c>
      <c r="G212" s="367">
        <v>41012</v>
      </c>
      <c r="H212" s="365" t="s">
        <v>12</v>
      </c>
      <c r="I212" s="395">
        <v>95</v>
      </c>
      <c r="J212" s="361">
        <v>1</v>
      </c>
      <c r="K212" s="361">
        <v>60</v>
      </c>
      <c r="L212" s="426">
        <v>1722</v>
      </c>
      <c r="M212" s="427">
        <v>287</v>
      </c>
      <c r="N212" s="445">
        <v>1396387</v>
      </c>
      <c r="O212" s="446">
        <v>134967</v>
      </c>
      <c r="P212" s="396">
        <v>10.346136462987248</v>
      </c>
      <c r="Q212" s="397">
        <v>41425</v>
      </c>
    </row>
    <row r="213" spans="1:17" ht="11.25">
      <c r="A213" s="453">
        <v>212</v>
      </c>
      <c r="B213" s="497"/>
      <c r="C213" s="505" t="s">
        <v>227</v>
      </c>
      <c r="D213" s="492" t="s">
        <v>66</v>
      </c>
      <c r="E213" s="339" t="s">
        <v>72</v>
      </c>
      <c r="F213" s="339" t="s">
        <v>268</v>
      </c>
      <c r="G213" s="495">
        <v>41012</v>
      </c>
      <c r="H213" s="499" t="s">
        <v>12</v>
      </c>
      <c r="I213" s="509">
        <v>95</v>
      </c>
      <c r="J213" s="575">
        <v>1</v>
      </c>
      <c r="K213" s="578">
        <v>39</v>
      </c>
      <c r="L213" s="554">
        <v>788</v>
      </c>
      <c r="M213" s="555">
        <v>202</v>
      </c>
      <c r="N213" s="550">
        <v>1391729</v>
      </c>
      <c r="O213" s="552">
        <v>134069</v>
      </c>
      <c r="P213" s="512">
        <f aca="true" t="shared" si="7" ref="P213:P236">N213/O213</f>
        <v>10.380692031715013</v>
      </c>
      <c r="Q213" s="513">
        <v>41278</v>
      </c>
    </row>
    <row r="214" spans="1:17" ht="11.25">
      <c r="A214" s="453">
        <v>213</v>
      </c>
      <c r="B214" s="497"/>
      <c r="C214" s="505" t="s">
        <v>227</v>
      </c>
      <c r="D214" s="492" t="s">
        <v>66</v>
      </c>
      <c r="E214" s="339" t="s">
        <v>72</v>
      </c>
      <c r="F214" s="339" t="s">
        <v>268</v>
      </c>
      <c r="G214" s="495">
        <v>41012</v>
      </c>
      <c r="H214" s="499" t="s">
        <v>12</v>
      </c>
      <c r="I214" s="509">
        <v>95</v>
      </c>
      <c r="J214" s="509">
        <v>1</v>
      </c>
      <c r="K214" s="509">
        <v>41</v>
      </c>
      <c r="L214" s="531">
        <v>746</v>
      </c>
      <c r="M214" s="534">
        <v>163</v>
      </c>
      <c r="N214" s="550">
        <v>1393377</v>
      </c>
      <c r="O214" s="552">
        <v>134451</v>
      </c>
      <c r="P214" s="512">
        <f t="shared" si="7"/>
        <v>10.363455831492514</v>
      </c>
      <c r="Q214" s="513">
        <v>41299</v>
      </c>
    </row>
    <row r="215" spans="1:17" ht="11.25">
      <c r="A215" s="453">
        <v>214</v>
      </c>
      <c r="B215" s="497"/>
      <c r="C215" s="505" t="s">
        <v>227</v>
      </c>
      <c r="D215" s="492" t="s">
        <v>66</v>
      </c>
      <c r="E215" s="339" t="s">
        <v>72</v>
      </c>
      <c r="F215" s="339" t="s">
        <v>268</v>
      </c>
      <c r="G215" s="495">
        <v>41012</v>
      </c>
      <c r="H215" s="499" t="s">
        <v>12</v>
      </c>
      <c r="I215" s="509">
        <v>95</v>
      </c>
      <c r="J215" s="509">
        <v>2</v>
      </c>
      <c r="K215" s="509">
        <v>39</v>
      </c>
      <c r="L215" s="530">
        <v>623</v>
      </c>
      <c r="M215" s="533">
        <v>119</v>
      </c>
      <c r="N215" s="551">
        <v>1392352</v>
      </c>
      <c r="O215" s="553">
        <v>134188</v>
      </c>
      <c r="P215" s="512">
        <f t="shared" si="7"/>
        <v>10.3761290130265</v>
      </c>
      <c r="Q215" s="513">
        <v>41285</v>
      </c>
    </row>
    <row r="216" spans="1:17" ht="11.25">
      <c r="A216" s="453">
        <v>215</v>
      </c>
      <c r="B216" s="497"/>
      <c r="C216" s="505" t="s">
        <v>227</v>
      </c>
      <c r="D216" s="506" t="s">
        <v>66</v>
      </c>
      <c r="E216" s="507" t="s">
        <v>72</v>
      </c>
      <c r="F216" s="507" t="s">
        <v>268</v>
      </c>
      <c r="G216" s="508">
        <v>41012</v>
      </c>
      <c r="H216" s="499" t="s">
        <v>12</v>
      </c>
      <c r="I216" s="509">
        <v>95</v>
      </c>
      <c r="J216" s="509">
        <v>1</v>
      </c>
      <c r="K216" s="509">
        <v>46</v>
      </c>
      <c r="L216" s="530">
        <v>595</v>
      </c>
      <c r="M216" s="533">
        <v>105</v>
      </c>
      <c r="N216" s="551">
        <v>1394070</v>
      </c>
      <c r="O216" s="553">
        <v>134575</v>
      </c>
      <c r="P216" s="512">
        <f t="shared" si="7"/>
        <v>10.359056288315067</v>
      </c>
      <c r="Q216" s="513">
        <v>41327</v>
      </c>
    </row>
    <row r="217" spans="1:17" ht="11.25">
      <c r="A217" s="453">
        <v>216</v>
      </c>
      <c r="B217" s="497"/>
      <c r="C217" s="505" t="s">
        <v>227</v>
      </c>
      <c r="D217" s="506" t="s">
        <v>66</v>
      </c>
      <c r="E217" s="507" t="s">
        <v>72</v>
      </c>
      <c r="F217" s="507" t="s">
        <v>268</v>
      </c>
      <c r="G217" s="508">
        <v>41012</v>
      </c>
      <c r="H217" s="499" t="s">
        <v>12</v>
      </c>
      <c r="I217" s="509">
        <v>95</v>
      </c>
      <c r="J217" s="509">
        <v>1</v>
      </c>
      <c r="K217" s="509">
        <v>47</v>
      </c>
      <c r="L217" s="554">
        <v>595</v>
      </c>
      <c r="M217" s="555">
        <v>105</v>
      </c>
      <c r="N217" s="438">
        <v>1394665</v>
      </c>
      <c r="O217" s="439">
        <v>134680</v>
      </c>
      <c r="P217" s="512">
        <f t="shared" si="7"/>
        <v>10.35539798039798</v>
      </c>
      <c r="Q217" s="513">
        <v>41334</v>
      </c>
    </row>
    <row r="218" spans="1:17" ht="11.25">
      <c r="A218" s="453">
        <v>217</v>
      </c>
      <c r="B218" s="497"/>
      <c r="C218" s="505" t="s">
        <v>227</v>
      </c>
      <c r="D218" s="492" t="s">
        <v>66</v>
      </c>
      <c r="E218" s="339" t="s">
        <v>72</v>
      </c>
      <c r="F218" s="339" t="s">
        <v>268</v>
      </c>
      <c r="G218" s="495">
        <v>41012</v>
      </c>
      <c r="H218" s="499" t="s">
        <v>12</v>
      </c>
      <c r="I218" s="509">
        <v>95</v>
      </c>
      <c r="J218" s="509">
        <v>1</v>
      </c>
      <c r="K218" s="509">
        <v>40</v>
      </c>
      <c r="L218" s="554">
        <v>279</v>
      </c>
      <c r="M218" s="555">
        <v>100</v>
      </c>
      <c r="N218" s="438">
        <v>1392631</v>
      </c>
      <c r="O218" s="439">
        <v>134288</v>
      </c>
      <c r="P218" s="512">
        <f t="shared" si="7"/>
        <v>10.370479864172525</v>
      </c>
      <c r="Q218" s="513">
        <v>41292</v>
      </c>
    </row>
    <row r="219" spans="1:17" ht="11.25">
      <c r="A219" s="453">
        <v>218</v>
      </c>
      <c r="B219" s="497"/>
      <c r="C219" s="505" t="s">
        <v>227</v>
      </c>
      <c r="D219" s="492" t="s">
        <v>66</v>
      </c>
      <c r="E219" s="339" t="s">
        <v>72</v>
      </c>
      <c r="F219" s="339" t="s">
        <v>268</v>
      </c>
      <c r="G219" s="495">
        <v>41012</v>
      </c>
      <c r="H219" s="499" t="s">
        <v>12</v>
      </c>
      <c r="I219" s="509">
        <v>95</v>
      </c>
      <c r="J219" s="506">
        <v>1</v>
      </c>
      <c r="K219" s="506">
        <v>43</v>
      </c>
      <c r="L219" s="554">
        <v>57</v>
      </c>
      <c r="M219" s="534">
        <v>11</v>
      </c>
      <c r="N219" s="438">
        <v>1393434</v>
      </c>
      <c r="O219" s="552">
        <v>134462</v>
      </c>
      <c r="P219" s="515">
        <f t="shared" si="7"/>
        <v>10.363031934672993</v>
      </c>
      <c r="Q219" s="516">
        <v>41306</v>
      </c>
    </row>
    <row r="220" spans="1:17" ht="11.25">
      <c r="A220" s="453">
        <v>219</v>
      </c>
      <c r="B220" s="497"/>
      <c r="C220" s="505" t="s">
        <v>227</v>
      </c>
      <c r="D220" s="492" t="s">
        <v>66</v>
      </c>
      <c r="E220" s="339" t="s">
        <v>72</v>
      </c>
      <c r="F220" s="339" t="s">
        <v>268</v>
      </c>
      <c r="G220" s="508">
        <v>41012</v>
      </c>
      <c r="H220" s="499" t="s">
        <v>12</v>
      </c>
      <c r="I220" s="509">
        <v>95</v>
      </c>
      <c r="J220" s="509">
        <v>1</v>
      </c>
      <c r="K220" s="509">
        <v>43</v>
      </c>
      <c r="L220" s="531">
        <v>41</v>
      </c>
      <c r="M220" s="555">
        <v>8</v>
      </c>
      <c r="N220" s="550">
        <v>1393475</v>
      </c>
      <c r="O220" s="439">
        <v>134470</v>
      </c>
      <c r="P220" s="515">
        <f t="shared" si="7"/>
        <v>10.362720309362683</v>
      </c>
      <c r="Q220" s="516">
        <v>41313</v>
      </c>
    </row>
    <row r="221" spans="1:17" ht="11.25">
      <c r="A221" s="453">
        <v>220</v>
      </c>
      <c r="B221" s="497"/>
      <c r="C221" s="548" t="s">
        <v>946</v>
      </c>
      <c r="D221" s="499" t="s">
        <v>947</v>
      </c>
      <c r="E221" s="499" t="s">
        <v>75</v>
      </c>
      <c r="F221" s="499" t="s">
        <v>948</v>
      </c>
      <c r="G221" s="508">
        <v>40949</v>
      </c>
      <c r="H221" s="499" t="s">
        <v>46</v>
      </c>
      <c r="I221" s="509">
        <v>26</v>
      </c>
      <c r="J221" s="517">
        <v>1</v>
      </c>
      <c r="K221" s="517">
        <v>21</v>
      </c>
      <c r="L221" s="531">
        <v>860</v>
      </c>
      <c r="M221" s="534">
        <v>86</v>
      </c>
      <c r="N221" s="550">
        <v>208224.61</v>
      </c>
      <c r="O221" s="552">
        <v>22834</v>
      </c>
      <c r="P221" s="512">
        <f t="shared" si="7"/>
        <v>9.119059735482175</v>
      </c>
      <c r="Q221" s="513">
        <v>41467</v>
      </c>
    </row>
    <row r="222" spans="1:17" ht="11.25">
      <c r="A222" s="453">
        <v>221</v>
      </c>
      <c r="B222" s="497"/>
      <c r="C222" s="521" t="s">
        <v>946</v>
      </c>
      <c r="D222" s="491" t="s">
        <v>947</v>
      </c>
      <c r="E222" s="491" t="s">
        <v>75</v>
      </c>
      <c r="F222" s="491" t="s">
        <v>948</v>
      </c>
      <c r="G222" s="495">
        <v>40949</v>
      </c>
      <c r="H222" s="491" t="s">
        <v>46</v>
      </c>
      <c r="I222" s="506">
        <v>26</v>
      </c>
      <c r="J222" s="517">
        <v>1</v>
      </c>
      <c r="K222" s="517">
        <v>22</v>
      </c>
      <c r="L222" s="531">
        <v>360</v>
      </c>
      <c r="M222" s="534">
        <v>36</v>
      </c>
      <c r="N222" s="550">
        <v>208584.61</v>
      </c>
      <c r="O222" s="552">
        <v>22870</v>
      </c>
      <c r="P222" s="512">
        <f t="shared" si="7"/>
        <v>9.120446436379536</v>
      </c>
      <c r="Q222" s="513">
        <v>41495</v>
      </c>
    </row>
    <row r="223" spans="1:17" ht="11.25">
      <c r="A223" s="453">
        <v>222</v>
      </c>
      <c r="B223" s="497"/>
      <c r="C223" s="518" t="s">
        <v>949</v>
      </c>
      <c r="D223" s="506" t="s">
        <v>950</v>
      </c>
      <c r="E223" s="500" t="s">
        <v>65</v>
      </c>
      <c r="F223" s="519" t="s">
        <v>951</v>
      </c>
      <c r="G223" s="526">
        <v>40291</v>
      </c>
      <c r="H223" s="499" t="s">
        <v>59</v>
      </c>
      <c r="I223" s="509">
        <v>12</v>
      </c>
      <c r="J223" s="517">
        <v>1</v>
      </c>
      <c r="K223" s="517">
        <v>24</v>
      </c>
      <c r="L223" s="503">
        <v>4752</v>
      </c>
      <c r="M223" s="504">
        <v>950</v>
      </c>
      <c r="N223" s="538">
        <f>177949.5+5454.5+2200.5+1155+210+2752+1313+2970+1425.6+4752</f>
        <v>200182.1</v>
      </c>
      <c r="O223" s="544">
        <f>19461+622+289+165+33+656+218+743+285+950</f>
        <v>23422</v>
      </c>
      <c r="P223" s="512">
        <f t="shared" si="7"/>
        <v>8.546755187430621</v>
      </c>
      <c r="Q223" s="513">
        <v>41460</v>
      </c>
    </row>
    <row r="224" spans="1:17" ht="11.25">
      <c r="A224" s="453">
        <v>223</v>
      </c>
      <c r="B224" s="497" t="s">
        <v>48</v>
      </c>
      <c r="C224" s="520" t="s">
        <v>213</v>
      </c>
      <c r="D224" s="496" t="s">
        <v>214</v>
      </c>
      <c r="E224" s="492"/>
      <c r="F224" s="491" t="s">
        <v>213</v>
      </c>
      <c r="G224" s="508">
        <v>40991</v>
      </c>
      <c r="H224" s="499" t="s">
        <v>46</v>
      </c>
      <c r="I224" s="509">
        <v>47</v>
      </c>
      <c r="J224" s="509">
        <v>1</v>
      </c>
      <c r="K224" s="509">
        <v>17</v>
      </c>
      <c r="L224" s="531">
        <v>1188</v>
      </c>
      <c r="M224" s="555">
        <v>238</v>
      </c>
      <c r="N224" s="550">
        <v>305113.79</v>
      </c>
      <c r="O224" s="439">
        <v>37974</v>
      </c>
      <c r="P224" s="515">
        <f t="shared" si="7"/>
        <v>8.034807763206404</v>
      </c>
      <c r="Q224" s="516">
        <v>41313</v>
      </c>
    </row>
    <row r="225" spans="1:17" ht="11.25">
      <c r="A225" s="453">
        <v>224</v>
      </c>
      <c r="B225" s="497" t="s">
        <v>48</v>
      </c>
      <c r="C225" s="520" t="s">
        <v>213</v>
      </c>
      <c r="D225" s="496" t="s">
        <v>214</v>
      </c>
      <c r="E225" s="492"/>
      <c r="F225" s="491" t="s">
        <v>213</v>
      </c>
      <c r="G225" s="495">
        <v>40991</v>
      </c>
      <c r="H225" s="499" t="s">
        <v>46</v>
      </c>
      <c r="I225" s="506">
        <v>47</v>
      </c>
      <c r="J225" s="506">
        <v>1</v>
      </c>
      <c r="K225" s="506">
        <v>17</v>
      </c>
      <c r="L225" s="642">
        <v>950.4</v>
      </c>
      <c r="M225" s="643">
        <v>190</v>
      </c>
      <c r="N225" s="438">
        <v>302975.39</v>
      </c>
      <c r="O225" s="552">
        <v>37546</v>
      </c>
      <c r="P225" s="515">
        <f t="shared" si="7"/>
        <v>8.069445213870985</v>
      </c>
      <c r="Q225" s="516">
        <v>41306</v>
      </c>
    </row>
    <row r="226" spans="1:17" ht="11.25">
      <c r="A226" s="453">
        <v>225</v>
      </c>
      <c r="B226" s="497"/>
      <c r="C226" s="521" t="s">
        <v>952</v>
      </c>
      <c r="D226" s="492" t="s">
        <v>953</v>
      </c>
      <c r="E226" s="491" t="s">
        <v>65</v>
      </c>
      <c r="F226" s="491" t="s">
        <v>952</v>
      </c>
      <c r="G226" s="495">
        <v>41159</v>
      </c>
      <c r="H226" s="491" t="s">
        <v>139</v>
      </c>
      <c r="I226" s="506">
        <v>2</v>
      </c>
      <c r="J226" s="517">
        <v>1</v>
      </c>
      <c r="K226" s="517">
        <v>9</v>
      </c>
      <c r="L226" s="531">
        <v>990</v>
      </c>
      <c r="M226" s="534">
        <v>92</v>
      </c>
      <c r="N226" s="550">
        <v>21688.8</v>
      </c>
      <c r="O226" s="552">
        <v>2509</v>
      </c>
      <c r="P226" s="512">
        <f t="shared" si="7"/>
        <v>8.644400159426066</v>
      </c>
      <c r="Q226" s="513">
        <v>41495</v>
      </c>
    </row>
    <row r="227" spans="1:17" ht="11.25">
      <c r="A227" s="453">
        <v>226</v>
      </c>
      <c r="B227" s="497" t="s">
        <v>48</v>
      </c>
      <c r="C227" s="548" t="s">
        <v>564</v>
      </c>
      <c r="D227" s="491" t="s">
        <v>566</v>
      </c>
      <c r="E227" s="491"/>
      <c r="F227" s="491" t="s">
        <v>564</v>
      </c>
      <c r="G227" s="493">
        <v>41264</v>
      </c>
      <c r="H227" s="499" t="s">
        <v>47</v>
      </c>
      <c r="I227" s="509">
        <v>106</v>
      </c>
      <c r="J227" s="556">
        <v>57</v>
      </c>
      <c r="K227" s="556">
        <v>3</v>
      </c>
      <c r="L227" s="554">
        <v>22010.74</v>
      </c>
      <c r="M227" s="555">
        <v>2856</v>
      </c>
      <c r="N227" s="550">
        <f>162452.81+81386.91+22010.74</f>
        <v>265850.46</v>
      </c>
      <c r="O227" s="552">
        <f>17861+9982+2856</f>
        <v>30699</v>
      </c>
      <c r="P227" s="512">
        <f t="shared" si="7"/>
        <v>8.659906185869247</v>
      </c>
      <c r="Q227" s="513">
        <v>41278</v>
      </c>
    </row>
    <row r="228" spans="1:17" ht="11.25">
      <c r="A228" s="453">
        <v>227</v>
      </c>
      <c r="B228" s="497" t="s">
        <v>48</v>
      </c>
      <c r="C228" s="548" t="s">
        <v>564</v>
      </c>
      <c r="D228" s="491" t="s">
        <v>566</v>
      </c>
      <c r="E228" s="491"/>
      <c r="F228" s="491" t="s">
        <v>564</v>
      </c>
      <c r="G228" s="493">
        <v>41264</v>
      </c>
      <c r="H228" s="499" t="s">
        <v>47</v>
      </c>
      <c r="I228" s="509">
        <v>106</v>
      </c>
      <c r="J228" s="556">
        <v>8</v>
      </c>
      <c r="K228" s="556">
        <v>4</v>
      </c>
      <c r="L228" s="554">
        <v>3138.5</v>
      </c>
      <c r="M228" s="555">
        <v>452</v>
      </c>
      <c r="N228" s="438">
        <f>162452.81+81386.91+22010.74+3138.5</f>
        <v>268988.96</v>
      </c>
      <c r="O228" s="439">
        <f>17861+9982+2856+452</f>
        <v>31151</v>
      </c>
      <c r="P228" s="512">
        <f t="shared" si="7"/>
        <v>8.635002407627365</v>
      </c>
      <c r="Q228" s="513">
        <v>41285</v>
      </c>
    </row>
    <row r="229" spans="1:17" ht="11.25">
      <c r="A229" s="453">
        <v>228</v>
      </c>
      <c r="B229" s="497" t="s">
        <v>48</v>
      </c>
      <c r="C229" s="548" t="s">
        <v>564</v>
      </c>
      <c r="D229" s="491" t="s">
        <v>566</v>
      </c>
      <c r="E229" s="491"/>
      <c r="F229" s="491" t="s">
        <v>564</v>
      </c>
      <c r="G229" s="493">
        <v>41264</v>
      </c>
      <c r="H229" s="499" t="s">
        <v>47</v>
      </c>
      <c r="I229" s="509">
        <v>106</v>
      </c>
      <c r="J229" s="527">
        <v>2</v>
      </c>
      <c r="K229" s="527">
        <v>7</v>
      </c>
      <c r="L229" s="554">
        <v>1850</v>
      </c>
      <c r="M229" s="534">
        <v>337</v>
      </c>
      <c r="N229" s="438">
        <f>162452.81+81358.311+22010.74+3138.5+999+2017.5+1850</f>
        <v>273826.861</v>
      </c>
      <c r="O229" s="552">
        <f>17861+9979+2856+452+126+361+337</f>
        <v>31972</v>
      </c>
      <c r="P229" s="515">
        <f t="shared" si="7"/>
        <v>8.564583416739646</v>
      </c>
      <c r="Q229" s="516">
        <v>41306</v>
      </c>
    </row>
    <row r="230" spans="1:17" ht="11.25">
      <c r="A230" s="453">
        <v>229</v>
      </c>
      <c r="B230" s="497" t="s">
        <v>48</v>
      </c>
      <c r="C230" s="548" t="s">
        <v>564</v>
      </c>
      <c r="D230" s="491" t="s">
        <v>566</v>
      </c>
      <c r="E230" s="491"/>
      <c r="F230" s="491" t="s">
        <v>564</v>
      </c>
      <c r="G230" s="526">
        <v>41264</v>
      </c>
      <c r="H230" s="499" t="s">
        <v>47</v>
      </c>
      <c r="I230" s="509">
        <v>106</v>
      </c>
      <c r="J230" s="527">
        <v>1</v>
      </c>
      <c r="K230" s="527">
        <v>9</v>
      </c>
      <c r="L230" s="531">
        <v>1629</v>
      </c>
      <c r="M230" s="534">
        <v>325</v>
      </c>
      <c r="N230" s="550">
        <f>162452.81+81358.311+22010.74+3138.5+999+2017.5+1850+84+1629</f>
        <v>275539.861</v>
      </c>
      <c r="O230" s="552">
        <f>17861+9979+2856+452+126+361+337+11+325</f>
        <v>32308</v>
      </c>
      <c r="P230" s="512">
        <f t="shared" si="7"/>
        <v>8.528533521109322</v>
      </c>
      <c r="Q230" s="513">
        <v>41320</v>
      </c>
    </row>
    <row r="231" spans="1:17" ht="11.25">
      <c r="A231" s="453">
        <v>230</v>
      </c>
      <c r="B231" s="497" t="s">
        <v>48</v>
      </c>
      <c r="C231" s="548" t="s">
        <v>564</v>
      </c>
      <c r="D231" s="499" t="s">
        <v>697</v>
      </c>
      <c r="E231" s="499"/>
      <c r="F231" s="499" t="s">
        <v>564</v>
      </c>
      <c r="G231" s="526">
        <v>41264</v>
      </c>
      <c r="H231" s="499" t="s">
        <v>47</v>
      </c>
      <c r="I231" s="509">
        <v>106</v>
      </c>
      <c r="J231" s="517">
        <v>1</v>
      </c>
      <c r="K231" s="517">
        <v>10</v>
      </c>
      <c r="L231" s="554">
        <v>1629</v>
      </c>
      <c r="M231" s="555">
        <v>325</v>
      </c>
      <c r="N231" s="438">
        <f>162452.81+81358.311+22010.74+3138.5+999+2017.5+1850+84+1629</f>
        <v>275539.861</v>
      </c>
      <c r="O231" s="439">
        <f>17861+9979+2856+452+126+361+337+11+325</f>
        <v>32308</v>
      </c>
      <c r="P231" s="515">
        <f t="shared" si="7"/>
        <v>8.528533521109322</v>
      </c>
      <c r="Q231" s="516">
        <v>41355</v>
      </c>
    </row>
    <row r="232" spans="1:17" ht="11.25">
      <c r="A232" s="453">
        <v>231</v>
      </c>
      <c r="B232" s="497" t="s">
        <v>48</v>
      </c>
      <c r="C232" s="548" t="s">
        <v>564</v>
      </c>
      <c r="D232" s="491" t="s">
        <v>566</v>
      </c>
      <c r="E232" s="491"/>
      <c r="F232" s="491" t="s">
        <v>564</v>
      </c>
      <c r="G232" s="493">
        <v>41264</v>
      </c>
      <c r="H232" s="499" t="s">
        <v>47</v>
      </c>
      <c r="I232" s="509">
        <v>106</v>
      </c>
      <c r="J232" s="556">
        <v>3</v>
      </c>
      <c r="K232" s="556">
        <v>6</v>
      </c>
      <c r="L232" s="531">
        <v>1609</v>
      </c>
      <c r="M232" s="534">
        <v>308</v>
      </c>
      <c r="N232" s="550">
        <v>271596.86</v>
      </c>
      <c r="O232" s="552">
        <v>31585</v>
      </c>
      <c r="P232" s="512">
        <f t="shared" si="7"/>
        <v>8.598919107171126</v>
      </c>
      <c r="Q232" s="513">
        <v>41299</v>
      </c>
    </row>
    <row r="233" spans="1:17" ht="11.25">
      <c r="A233" s="453">
        <v>232</v>
      </c>
      <c r="B233" s="497" t="s">
        <v>48</v>
      </c>
      <c r="C233" s="548" t="s">
        <v>564</v>
      </c>
      <c r="D233" s="491" t="s">
        <v>566</v>
      </c>
      <c r="E233" s="491"/>
      <c r="F233" s="491" t="s">
        <v>564</v>
      </c>
      <c r="G233" s="493">
        <v>41264</v>
      </c>
      <c r="H233" s="499" t="s">
        <v>47</v>
      </c>
      <c r="I233" s="509">
        <v>106</v>
      </c>
      <c r="J233" s="556">
        <v>2</v>
      </c>
      <c r="K233" s="556">
        <v>5</v>
      </c>
      <c r="L233" s="554">
        <v>999</v>
      </c>
      <c r="M233" s="555">
        <v>126</v>
      </c>
      <c r="N233" s="438">
        <f>162452.81+81386.91+22010.74+3138.5+999</f>
        <v>269987.96</v>
      </c>
      <c r="O233" s="439">
        <f>17861+9982+2856+452+126</f>
        <v>31277</v>
      </c>
      <c r="P233" s="512">
        <f t="shared" si="7"/>
        <v>8.632156536752246</v>
      </c>
      <c r="Q233" s="513">
        <v>41292</v>
      </c>
    </row>
    <row r="234" spans="1:17" ht="11.25">
      <c r="A234" s="453">
        <v>233</v>
      </c>
      <c r="B234" s="497" t="s">
        <v>48</v>
      </c>
      <c r="C234" s="548" t="s">
        <v>564</v>
      </c>
      <c r="D234" s="491" t="s">
        <v>566</v>
      </c>
      <c r="E234" s="491"/>
      <c r="F234" s="491" t="s">
        <v>564</v>
      </c>
      <c r="G234" s="526">
        <v>41264</v>
      </c>
      <c r="H234" s="499" t="s">
        <v>47</v>
      </c>
      <c r="I234" s="509">
        <v>106</v>
      </c>
      <c r="J234" s="556">
        <v>1</v>
      </c>
      <c r="K234" s="556">
        <v>8</v>
      </c>
      <c r="L234" s="531">
        <v>84</v>
      </c>
      <c r="M234" s="555">
        <v>11</v>
      </c>
      <c r="N234" s="550">
        <f>162452.81+81358.311+22010.74+3138.5+999+2017.5+1850+84</f>
        <v>273910.861</v>
      </c>
      <c r="O234" s="439">
        <f>17861+9979+2856+452+126+361+337+11</f>
        <v>31983</v>
      </c>
      <c r="P234" s="515">
        <f t="shared" si="7"/>
        <v>8.564264171591157</v>
      </c>
      <c r="Q234" s="516">
        <v>41313</v>
      </c>
    </row>
    <row r="235" spans="1:17" ht="11.25">
      <c r="A235" s="453">
        <v>234</v>
      </c>
      <c r="B235" s="498"/>
      <c r="C235" s="520" t="s">
        <v>348</v>
      </c>
      <c r="D235" s="490" t="s">
        <v>333</v>
      </c>
      <c r="E235" s="492" t="s">
        <v>65</v>
      </c>
      <c r="F235" s="341" t="s">
        <v>349</v>
      </c>
      <c r="G235" s="495">
        <v>41110</v>
      </c>
      <c r="H235" s="499" t="s">
        <v>59</v>
      </c>
      <c r="I235" s="527">
        <v>4</v>
      </c>
      <c r="J235" s="509">
        <v>1</v>
      </c>
      <c r="K235" s="509">
        <v>14</v>
      </c>
      <c r="L235" s="529">
        <v>1188</v>
      </c>
      <c r="M235" s="514">
        <v>238</v>
      </c>
      <c r="N235" s="541">
        <f>14237+9202.5+4262.5+3143+3448.61+1336+3182+3486+2900.5+4848+225+972+1782+1188</f>
        <v>54213.11</v>
      </c>
      <c r="O235" s="547">
        <f>1134+756+313+344+353+164+429+475+226+469+35+133+356+238</f>
        <v>5425</v>
      </c>
      <c r="P235" s="512">
        <f t="shared" si="7"/>
        <v>9.9932</v>
      </c>
      <c r="Q235" s="513">
        <v>41285</v>
      </c>
    </row>
    <row r="236" spans="1:17" ht="11.25">
      <c r="A236" s="453">
        <v>235</v>
      </c>
      <c r="B236" s="402" t="s">
        <v>48</v>
      </c>
      <c r="C236" s="501" t="s">
        <v>954</v>
      </c>
      <c r="D236" s="392" t="s">
        <v>78</v>
      </c>
      <c r="E236" s="490"/>
      <c r="F236" s="392" t="s">
        <v>954</v>
      </c>
      <c r="G236" s="495">
        <v>40879</v>
      </c>
      <c r="H236" s="491" t="s">
        <v>59</v>
      </c>
      <c r="I236" s="509">
        <v>202</v>
      </c>
      <c r="J236" s="517">
        <v>1</v>
      </c>
      <c r="K236" s="517">
        <v>36</v>
      </c>
      <c r="L236" s="503">
        <v>2019.6</v>
      </c>
      <c r="M236" s="504">
        <v>404</v>
      </c>
      <c r="N236" s="538">
        <f>1080241.5+1088121+871543+502064+300294.5+131358.5+96969.5+68985+9253.5+5204.5+1760.5+2732.5+950.5+21051.01+1308+788+950.5+1188+1425.5+3801.5+1044+2376+7221.5+3207.6+2970+1782+4752+54277.06+4438.47+410+1422+3711+3564+1425.6+4752+2019.6</f>
        <v>4289363.839999998</v>
      </c>
      <c r="O236" s="544">
        <f>121812+123965+100674+61096+39726+19116+14898+10338+1416+922+322+523+190+5321+312+187+190+238+285+760+348+475+1398+641+594+356+950+8206+894+57+272+736+713+285+950+404</f>
        <v>519570</v>
      </c>
      <c r="P236" s="512">
        <f t="shared" si="7"/>
        <v>8.255603364320493</v>
      </c>
      <c r="Q236" s="513">
        <v>41516</v>
      </c>
    </row>
    <row r="237" spans="1:17" ht="11.25">
      <c r="A237" s="453">
        <v>236</v>
      </c>
      <c r="B237" s="477"/>
      <c r="C237" s="461" t="s">
        <v>316</v>
      </c>
      <c r="D237" s="364" t="s">
        <v>155</v>
      </c>
      <c r="E237" s="368" t="s">
        <v>109</v>
      </c>
      <c r="F237" s="365" t="s">
        <v>317</v>
      </c>
      <c r="G237" s="367">
        <v>41096</v>
      </c>
      <c r="H237" s="365" t="s">
        <v>139</v>
      </c>
      <c r="I237" s="362">
        <v>17</v>
      </c>
      <c r="J237" s="361">
        <v>1</v>
      </c>
      <c r="K237" s="361">
        <v>17</v>
      </c>
      <c r="L237" s="426">
        <v>2970</v>
      </c>
      <c r="M237" s="427">
        <v>594</v>
      </c>
      <c r="N237" s="445">
        <v>52438.89</v>
      </c>
      <c r="O237" s="446">
        <v>5625</v>
      </c>
      <c r="P237" s="396">
        <v>9.322469333333332</v>
      </c>
      <c r="Q237" s="397">
        <v>41425</v>
      </c>
    </row>
    <row r="238" spans="1:17" ht="11.25">
      <c r="A238" s="453">
        <v>237</v>
      </c>
      <c r="B238" s="497"/>
      <c r="C238" s="520" t="s">
        <v>316</v>
      </c>
      <c r="D238" s="506" t="s">
        <v>155</v>
      </c>
      <c r="E238" s="500" t="s">
        <v>109</v>
      </c>
      <c r="F238" s="499" t="s">
        <v>317</v>
      </c>
      <c r="G238" s="342">
        <v>41096</v>
      </c>
      <c r="H238" s="499" t="s">
        <v>139</v>
      </c>
      <c r="I238" s="517">
        <v>17</v>
      </c>
      <c r="J238" s="509">
        <v>1</v>
      </c>
      <c r="K238" s="509">
        <v>15</v>
      </c>
      <c r="L238" s="531">
        <v>2376</v>
      </c>
      <c r="M238" s="534">
        <v>475</v>
      </c>
      <c r="N238" s="646">
        <v>48260.76</v>
      </c>
      <c r="O238" s="645">
        <v>4789</v>
      </c>
      <c r="P238" s="512">
        <f aca="true" t="shared" si="8" ref="P238:P269">N238/O238</f>
        <v>10.07741908540405</v>
      </c>
      <c r="Q238" s="513">
        <v>41341</v>
      </c>
    </row>
    <row r="239" spans="1:17" ht="11.25">
      <c r="A239" s="453">
        <v>238</v>
      </c>
      <c r="B239" s="497"/>
      <c r="C239" s="520" t="s">
        <v>316</v>
      </c>
      <c r="D239" s="506" t="s">
        <v>155</v>
      </c>
      <c r="E239" s="500" t="s">
        <v>109</v>
      </c>
      <c r="F239" s="499" t="s">
        <v>317</v>
      </c>
      <c r="G239" s="495">
        <v>41096</v>
      </c>
      <c r="H239" s="499" t="s">
        <v>139</v>
      </c>
      <c r="I239" s="517">
        <v>17</v>
      </c>
      <c r="J239" s="517">
        <v>1</v>
      </c>
      <c r="K239" s="517">
        <v>19</v>
      </c>
      <c r="L239" s="554">
        <v>1425.6</v>
      </c>
      <c r="M239" s="555">
        <v>285</v>
      </c>
      <c r="N239" s="438">
        <v>55052.49</v>
      </c>
      <c r="O239" s="439">
        <v>6147</v>
      </c>
      <c r="P239" s="515">
        <f t="shared" si="8"/>
        <v>8.95599316739873</v>
      </c>
      <c r="Q239" s="516">
        <v>41474</v>
      </c>
    </row>
    <row r="240" spans="1:17" ht="11.25">
      <c r="A240" s="453">
        <v>239</v>
      </c>
      <c r="B240" s="497"/>
      <c r="C240" s="520" t="s">
        <v>316</v>
      </c>
      <c r="D240" s="506" t="s">
        <v>155</v>
      </c>
      <c r="E240" s="500" t="s">
        <v>109</v>
      </c>
      <c r="F240" s="499" t="s">
        <v>317</v>
      </c>
      <c r="G240" s="508">
        <v>41096</v>
      </c>
      <c r="H240" s="499" t="s">
        <v>139</v>
      </c>
      <c r="I240" s="517">
        <v>17</v>
      </c>
      <c r="J240" s="507">
        <v>1</v>
      </c>
      <c r="K240" s="507">
        <v>16</v>
      </c>
      <c r="L240" s="642">
        <v>1208.13</v>
      </c>
      <c r="M240" s="651">
        <v>242</v>
      </c>
      <c r="N240" s="644">
        <v>49468.89</v>
      </c>
      <c r="O240" s="652">
        <v>5031</v>
      </c>
      <c r="P240" s="515">
        <f t="shared" si="8"/>
        <v>9.832814549791294</v>
      </c>
      <c r="Q240" s="516">
        <v>41418</v>
      </c>
    </row>
    <row r="241" spans="1:17" ht="11.25">
      <c r="A241" s="453">
        <v>240</v>
      </c>
      <c r="B241" s="497"/>
      <c r="C241" s="520" t="s">
        <v>316</v>
      </c>
      <c r="D241" s="506" t="s">
        <v>155</v>
      </c>
      <c r="E241" s="500" t="s">
        <v>109</v>
      </c>
      <c r="F241" s="499" t="s">
        <v>317</v>
      </c>
      <c r="G241" s="508">
        <v>41096</v>
      </c>
      <c r="H241" s="499" t="s">
        <v>139</v>
      </c>
      <c r="I241" s="517">
        <v>17</v>
      </c>
      <c r="J241" s="517">
        <v>1</v>
      </c>
      <c r="K241" s="517">
        <v>18</v>
      </c>
      <c r="L241" s="531">
        <v>1188</v>
      </c>
      <c r="M241" s="534">
        <v>237</v>
      </c>
      <c r="N241" s="550">
        <v>53626.89</v>
      </c>
      <c r="O241" s="552">
        <v>5862</v>
      </c>
      <c r="P241" s="512">
        <f t="shared" si="8"/>
        <v>9.148224155578301</v>
      </c>
      <c r="Q241" s="513">
        <v>41467</v>
      </c>
    </row>
    <row r="242" spans="1:17" ht="11.25">
      <c r="A242" s="453">
        <v>241</v>
      </c>
      <c r="B242" s="402"/>
      <c r="C242" s="502" t="s">
        <v>316</v>
      </c>
      <c r="D242" s="492" t="s">
        <v>155</v>
      </c>
      <c r="E242" s="490" t="s">
        <v>109</v>
      </c>
      <c r="F242" s="491" t="s">
        <v>317</v>
      </c>
      <c r="G242" s="495">
        <v>41096</v>
      </c>
      <c r="H242" s="491" t="s">
        <v>139</v>
      </c>
      <c r="I242" s="507">
        <v>17</v>
      </c>
      <c r="J242" s="517">
        <v>1</v>
      </c>
      <c r="K242" s="517">
        <v>20</v>
      </c>
      <c r="L242" s="554">
        <v>1188</v>
      </c>
      <c r="M242" s="555">
        <v>237</v>
      </c>
      <c r="N242" s="644">
        <v>56240.49</v>
      </c>
      <c r="O242" s="652">
        <v>6384</v>
      </c>
      <c r="P242" s="515">
        <f t="shared" si="8"/>
        <v>8.809600563909774</v>
      </c>
      <c r="Q242" s="516">
        <v>41502</v>
      </c>
    </row>
    <row r="243" spans="1:17" ht="11.25">
      <c r="A243" s="453">
        <v>242</v>
      </c>
      <c r="B243" s="497" t="s">
        <v>48</v>
      </c>
      <c r="C243" s="518" t="s">
        <v>493</v>
      </c>
      <c r="D243" s="392" t="s">
        <v>496</v>
      </c>
      <c r="E243" s="490"/>
      <c r="F243" s="392" t="s">
        <v>493</v>
      </c>
      <c r="G243" s="495">
        <v>41215</v>
      </c>
      <c r="H243" s="499" t="s">
        <v>12</v>
      </c>
      <c r="I243" s="509">
        <v>217</v>
      </c>
      <c r="J243" s="509">
        <v>162</v>
      </c>
      <c r="K243" s="509">
        <v>10</v>
      </c>
      <c r="L243" s="554">
        <v>342217</v>
      </c>
      <c r="M243" s="555">
        <v>40428</v>
      </c>
      <c r="N243" s="550">
        <v>24033244</v>
      </c>
      <c r="O243" s="552">
        <v>2642798</v>
      </c>
      <c r="P243" s="512">
        <f t="shared" si="8"/>
        <v>9.09386339780793</v>
      </c>
      <c r="Q243" s="513">
        <v>41278</v>
      </c>
    </row>
    <row r="244" spans="1:17" ht="11.25">
      <c r="A244" s="453">
        <v>243</v>
      </c>
      <c r="B244" s="497" t="s">
        <v>48</v>
      </c>
      <c r="C244" s="518" t="s">
        <v>493</v>
      </c>
      <c r="D244" s="392" t="s">
        <v>496</v>
      </c>
      <c r="E244" s="490"/>
      <c r="F244" s="392" t="s">
        <v>493</v>
      </c>
      <c r="G244" s="495">
        <v>41215</v>
      </c>
      <c r="H244" s="499" t="s">
        <v>12</v>
      </c>
      <c r="I244" s="509">
        <v>217</v>
      </c>
      <c r="J244" s="509">
        <v>108</v>
      </c>
      <c r="K244" s="509">
        <v>11</v>
      </c>
      <c r="L244" s="530">
        <v>207200</v>
      </c>
      <c r="M244" s="533">
        <v>24491</v>
      </c>
      <c r="N244" s="551">
        <v>24240444</v>
      </c>
      <c r="O244" s="553">
        <v>2667289</v>
      </c>
      <c r="P244" s="512">
        <f t="shared" si="8"/>
        <v>9.088045577363383</v>
      </c>
      <c r="Q244" s="513">
        <v>41285</v>
      </c>
    </row>
    <row r="245" spans="1:17" ht="11.25">
      <c r="A245" s="453">
        <v>244</v>
      </c>
      <c r="B245" s="497" t="s">
        <v>48</v>
      </c>
      <c r="C245" s="518" t="s">
        <v>493</v>
      </c>
      <c r="D245" s="392" t="s">
        <v>496</v>
      </c>
      <c r="E245" s="490"/>
      <c r="F245" s="392" t="s">
        <v>493</v>
      </c>
      <c r="G245" s="495">
        <v>41215</v>
      </c>
      <c r="H245" s="499" t="s">
        <v>12</v>
      </c>
      <c r="I245" s="509">
        <v>217</v>
      </c>
      <c r="J245" s="509">
        <v>41</v>
      </c>
      <c r="K245" s="509">
        <v>12</v>
      </c>
      <c r="L245" s="554">
        <v>67706</v>
      </c>
      <c r="M245" s="555">
        <v>8656</v>
      </c>
      <c r="N245" s="438">
        <v>24308150</v>
      </c>
      <c r="O245" s="439">
        <v>2675945</v>
      </c>
      <c r="P245" s="512">
        <f t="shared" si="8"/>
        <v>9.083949782226465</v>
      </c>
      <c r="Q245" s="513">
        <v>41292</v>
      </c>
    </row>
    <row r="246" spans="1:17" ht="11.25">
      <c r="A246" s="453">
        <v>245</v>
      </c>
      <c r="B246" s="497" t="s">
        <v>48</v>
      </c>
      <c r="C246" s="518" t="s">
        <v>493</v>
      </c>
      <c r="D246" s="392" t="s">
        <v>496</v>
      </c>
      <c r="E246" s="490"/>
      <c r="F246" s="392" t="s">
        <v>493</v>
      </c>
      <c r="G246" s="495">
        <v>41215</v>
      </c>
      <c r="H246" s="499" t="s">
        <v>12</v>
      </c>
      <c r="I246" s="509">
        <v>217</v>
      </c>
      <c r="J246" s="509">
        <v>25</v>
      </c>
      <c r="K246" s="509">
        <v>13</v>
      </c>
      <c r="L246" s="531">
        <v>41137</v>
      </c>
      <c r="M246" s="534">
        <v>5157</v>
      </c>
      <c r="N246" s="550">
        <v>24349287</v>
      </c>
      <c r="O246" s="552">
        <v>2681102</v>
      </c>
      <c r="P246" s="512">
        <f t="shared" si="8"/>
        <v>9.081820460392779</v>
      </c>
      <c r="Q246" s="513">
        <v>41299</v>
      </c>
    </row>
    <row r="247" spans="1:17" ht="11.25">
      <c r="A247" s="453">
        <v>246</v>
      </c>
      <c r="B247" s="497" t="s">
        <v>48</v>
      </c>
      <c r="C247" s="518" t="s">
        <v>493</v>
      </c>
      <c r="D247" s="519" t="s">
        <v>496</v>
      </c>
      <c r="E247" s="500"/>
      <c r="F247" s="519" t="s">
        <v>493</v>
      </c>
      <c r="G247" s="508">
        <v>41215</v>
      </c>
      <c r="H247" s="499" t="s">
        <v>12</v>
      </c>
      <c r="I247" s="509">
        <v>217</v>
      </c>
      <c r="J247" s="509">
        <v>3</v>
      </c>
      <c r="K247" s="509">
        <v>18</v>
      </c>
      <c r="L247" s="554">
        <v>17955</v>
      </c>
      <c r="M247" s="555">
        <v>2982</v>
      </c>
      <c r="N247" s="438">
        <v>24413670</v>
      </c>
      <c r="O247" s="439">
        <v>2691726</v>
      </c>
      <c r="P247" s="512">
        <f t="shared" si="8"/>
        <v>9.069894186852599</v>
      </c>
      <c r="Q247" s="513">
        <v>41334</v>
      </c>
    </row>
    <row r="248" spans="1:17" ht="11.25">
      <c r="A248" s="453">
        <v>247</v>
      </c>
      <c r="B248" s="497" t="s">
        <v>48</v>
      </c>
      <c r="C248" s="518" t="s">
        <v>493</v>
      </c>
      <c r="D248" s="392" t="s">
        <v>496</v>
      </c>
      <c r="E248" s="490"/>
      <c r="F248" s="392" t="s">
        <v>493</v>
      </c>
      <c r="G248" s="495">
        <v>41215</v>
      </c>
      <c r="H248" s="499" t="s">
        <v>12</v>
      </c>
      <c r="I248" s="509">
        <v>217</v>
      </c>
      <c r="J248" s="506">
        <v>13</v>
      </c>
      <c r="K248" s="506">
        <v>14</v>
      </c>
      <c r="L248" s="554">
        <v>16078</v>
      </c>
      <c r="M248" s="534">
        <v>1953</v>
      </c>
      <c r="N248" s="438">
        <v>24365365</v>
      </c>
      <c r="O248" s="552">
        <v>2683055</v>
      </c>
      <c r="P248" s="515">
        <f t="shared" si="8"/>
        <v>9.08120221165798</v>
      </c>
      <c r="Q248" s="516">
        <v>41306</v>
      </c>
    </row>
    <row r="249" spans="1:17" ht="11.25">
      <c r="A249" s="453">
        <v>248</v>
      </c>
      <c r="B249" s="497" t="s">
        <v>48</v>
      </c>
      <c r="C249" s="518" t="s">
        <v>493</v>
      </c>
      <c r="D249" s="519" t="s">
        <v>496</v>
      </c>
      <c r="E249" s="500"/>
      <c r="F249" s="519" t="s">
        <v>493</v>
      </c>
      <c r="G249" s="508">
        <v>41215</v>
      </c>
      <c r="H249" s="499" t="s">
        <v>12</v>
      </c>
      <c r="I249" s="509">
        <v>217</v>
      </c>
      <c r="J249" s="509">
        <v>4</v>
      </c>
      <c r="K249" s="509">
        <v>20</v>
      </c>
      <c r="L249" s="530">
        <v>13322</v>
      </c>
      <c r="M249" s="533">
        <v>2207</v>
      </c>
      <c r="N249" s="551">
        <v>24429353</v>
      </c>
      <c r="O249" s="553">
        <v>2694350</v>
      </c>
      <c r="P249" s="512">
        <f t="shared" si="8"/>
        <v>9.06688180822833</v>
      </c>
      <c r="Q249" s="513">
        <v>41348</v>
      </c>
    </row>
    <row r="250" spans="1:17" ht="11.25">
      <c r="A250" s="453">
        <v>249</v>
      </c>
      <c r="B250" s="497" t="s">
        <v>48</v>
      </c>
      <c r="C250" s="518" t="s">
        <v>493</v>
      </c>
      <c r="D250" s="519" t="s">
        <v>496</v>
      </c>
      <c r="E250" s="500"/>
      <c r="F250" s="519" t="s">
        <v>493</v>
      </c>
      <c r="G250" s="508">
        <v>41215</v>
      </c>
      <c r="H250" s="499" t="s">
        <v>12</v>
      </c>
      <c r="I250" s="509">
        <v>217</v>
      </c>
      <c r="J250" s="509">
        <v>3</v>
      </c>
      <c r="K250" s="509">
        <v>23</v>
      </c>
      <c r="L250" s="531">
        <v>6510</v>
      </c>
      <c r="M250" s="534">
        <v>1078</v>
      </c>
      <c r="N250" s="550">
        <v>24443216</v>
      </c>
      <c r="O250" s="552">
        <v>2696638</v>
      </c>
      <c r="P250" s="512">
        <f t="shared" si="8"/>
        <v>9.064329732058956</v>
      </c>
      <c r="Q250" s="513">
        <v>41369</v>
      </c>
    </row>
    <row r="251" spans="1:17" ht="11.25">
      <c r="A251" s="453">
        <v>250</v>
      </c>
      <c r="B251" s="497" t="s">
        <v>48</v>
      </c>
      <c r="C251" s="518" t="s">
        <v>493</v>
      </c>
      <c r="D251" s="519" t="s">
        <v>496</v>
      </c>
      <c r="E251" s="500"/>
      <c r="F251" s="519" t="s">
        <v>493</v>
      </c>
      <c r="G251" s="508">
        <v>41215</v>
      </c>
      <c r="H251" s="499" t="s">
        <v>12</v>
      </c>
      <c r="I251" s="509">
        <v>217</v>
      </c>
      <c r="J251" s="509">
        <v>2</v>
      </c>
      <c r="K251" s="509">
        <v>22</v>
      </c>
      <c r="L251" s="531">
        <v>6156</v>
      </c>
      <c r="M251" s="534">
        <v>1021</v>
      </c>
      <c r="N251" s="550">
        <v>24436706</v>
      </c>
      <c r="O251" s="552">
        <v>2695560</v>
      </c>
      <c r="P251" s="512">
        <f t="shared" si="8"/>
        <v>9.065539628129219</v>
      </c>
      <c r="Q251" s="513">
        <v>41362</v>
      </c>
    </row>
    <row r="252" spans="1:17" ht="11.25">
      <c r="A252" s="453">
        <v>251</v>
      </c>
      <c r="B252" s="497" t="s">
        <v>48</v>
      </c>
      <c r="C252" s="518" t="s">
        <v>493</v>
      </c>
      <c r="D252" s="392" t="s">
        <v>496</v>
      </c>
      <c r="E252" s="490"/>
      <c r="F252" s="392" t="s">
        <v>493</v>
      </c>
      <c r="G252" s="508">
        <v>41215</v>
      </c>
      <c r="H252" s="499" t="s">
        <v>12</v>
      </c>
      <c r="I252" s="509">
        <v>217</v>
      </c>
      <c r="J252" s="506">
        <v>7</v>
      </c>
      <c r="K252" s="506">
        <v>16</v>
      </c>
      <c r="L252" s="531">
        <v>6081</v>
      </c>
      <c r="M252" s="534">
        <v>1051</v>
      </c>
      <c r="N252" s="550">
        <v>24395325</v>
      </c>
      <c r="O252" s="552">
        <v>2688666</v>
      </c>
      <c r="P252" s="512">
        <f t="shared" si="8"/>
        <v>9.073393645770802</v>
      </c>
      <c r="Q252" s="513">
        <v>41320</v>
      </c>
    </row>
    <row r="253" spans="1:17" ht="11.25">
      <c r="A253" s="453">
        <v>252</v>
      </c>
      <c r="B253" s="497" t="s">
        <v>48</v>
      </c>
      <c r="C253" s="518" t="s">
        <v>493</v>
      </c>
      <c r="D253" s="519" t="s">
        <v>496</v>
      </c>
      <c r="E253" s="500"/>
      <c r="F253" s="519" t="s">
        <v>493</v>
      </c>
      <c r="G253" s="508">
        <v>41215</v>
      </c>
      <c r="H253" s="499" t="s">
        <v>12</v>
      </c>
      <c r="I253" s="509">
        <v>217</v>
      </c>
      <c r="J253" s="509">
        <v>2</v>
      </c>
      <c r="K253" s="509">
        <v>28</v>
      </c>
      <c r="L253" s="531">
        <v>5363</v>
      </c>
      <c r="M253" s="534">
        <v>906</v>
      </c>
      <c r="N253" s="550">
        <v>24456958</v>
      </c>
      <c r="O253" s="552">
        <v>2698937</v>
      </c>
      <c r="P253" s="512">
        <f t="shared" si="8"/>
        <v>9.061700217530086</v>
      </c>
      <c r="Q253" s="513">
        <v>41404</v>
      </c>
    </row>
    <row r="254" spans="1:17" ht="11.25">
      <c r="A254" s="453">
        <v>253</v>
      </c>
      <c r="B254" s="497" t="s">
        <v>48</v>
      </c>
      <c r="C254" s="518" t="s">
        <v>493</v>
      </c>
      <c r="D254" s="519" t="s">
        <v>496</v>
      </c>
      <c r="E254" s="500"/>
      <c r="F254" s="519" t="s">
        <v>493</v>
      </c>
      <c r="G254" s="508">
        <v>41215</v>
      </c>
      <c r="H254" s="499" t="s">
        <v>12</v>
      </c>
      <c r="I254" s="509">
        <v>217</v>
      </c>
      <c r="J254" s="509">
        <v>2</v>
      </c>
      <c r="K254" s="509">
        <v>29</v>
      </c>
      <c r="L254" s="531">
        <v>3821</v>
      </c>
      <c r="M254" s="534">
        <v>648</v>
      </c>
      <c r="N254" s="550">
        <v>24460779</v>
      </c>
      <c r="O254" s="552">
        <v>2699585</v>
      </c>
      <c r="P254" s="512">
        <f t="shared" si="8"/>
        <v>9.060940477888268</v>
      </c>
      <c r="Q254" s="513">
        <v>41411</v>
      </c>
    </row>
    <row r="255" spans="1:17" ht="11.25">
      <c r="A255" s="453">
        <v>254</v>
      </c>
      <c r="B255" s="497" t="s">
        <v>48</v>
      </c>
      <c r="C255" s="518" t="s">
        <v>493</v>
      </c>
      <c r="D255" s="519" t="s">
        <v>496</v>
      </c>
      <c r="E255" s="500"/>
      <c r="F255" s="519" t="s">
        <v>493</v>
      </c>
      <c r="G255" s="508">
        <v>41215</v>
      </c>
      <c r="H255" s="499" t="s">
        <v>12</v>
      </c>
      <c r="I255" s="506">
        <v>217</v>
      </c>
      <c r="J255" s="506">
        <v>1</v>
      </c>
      <c r="K255" s="506">
        <v>27</v>
      </c>
      <c r="L255" s="531">
        <v>3591</v>
      </c>
      <c r="M255" s="555">
        <v>602</v>
      </c>
      <c r="N255" s="550">
        <v>24451595</v>
      </c>
      <c r="O255" s="439">
        <v>2698031</v>
      </c>
      <c r="P255" s="515">
        <f t="shared" si="8"/>
        <v>9.062755394582197</v>
      </c>
      <c r="Q255" s="516">
        <v>41397</v>
      </c>
    </row>
    <row r="256" spans="1:17" ht="11.25">
      <c r="A256" s="453">
        <v>255</v>
      </c>
      <c r="B256" s="497" t="s">
        <v>48</v>
      </c>
      <c r="C256" s="518" t="s">
        <v>493</v>
      </c>
      <c r="D256" s="519" t="s">
        <v>496</v>
      </c>
      <c r="E256" s="500"/>
      <c r="F256" s="519" t="s">
        <v>493</v>
      </c>
      <c r="G256" s="508">
        <v>41215</v>
      </c>
      <c r="H256" s="499" t="s">
        <v>12</v>
      </c>
      <c r="I256" s="509">
        <v>217</v>
      </c>
      <c r="J256" s="506">
        <v>1</v>
      </c>
      <c r="K256" s="506">
        <v>30</v>
      </c>
      <c r="L256" s="554">
        <v>3591</v>
      </c>
      <c r="M256" s="555">
        <v>602</v>
      </c>
      <c r="N256" s="438">
        <v>24464370</v>
      </c>
      <c r="O256" s="439">
        <v>2700187</v>
      </c>
      <c r="P256" s="515">
        <f t="shared" si="8"/>
        <v>9.060250271555267</v>
      </c>
      <c r="Q256" s="516">
        <v>41418</v>
      </c>
    </row>
    <row r="257" spans="1:17" ht="11.25">
      <c r="A257" s="453">
        <v>256</v>
      </c>
      <c r="B257" s="497" t="s">
        <v>48</v>
      </c>
      <c r="C257" s="518" t="s">
        <v>493</v>
      </c>
      <c r="D257" s="519" t="s">
        <v>496</v>
      </c>
      <c r="E257" s="500"/>
      <c r="F257" s="519" t="s">
        <v>493</v>
      </c>
      <c r="G257" s="508">
        <v>41215</v>
      </c>
      <c r="H257" s="499" t="s">
        <v>12</v>
      </c>
      <c r="I257" s="509">
        <v>217</v>
      </c>
      <c r="J257" s="506">
        <v>1</v>
      </c>
      <c r="K257" s="506">
        <v>33</v>
      </c>
      <c r="L257" s="554">
        <v>3591</v>
      </c>
      <c r="M257" s="555">
        <v>602</v>
      </c>
      <c r="N257" s="438">
        <v>24467961</v>
      </c>
      <c r="O257" s="439">
        <v>2700789</v>
      </c>
      <c r="P257" s="515">
        <f t="shared" si="8"/>
        <v>9.059560372913248</v>
      </c>
      <c r="Q257" s="516">
        <v>41439</v>
      </c>
    </row>
    <row r="258" spans="1:17" ht="11.25">
      <c r="A258" s="453">
        <v>257</v>
      </c>
      <c r="B258" s="497" t="s">
        <v>48</v>
      </c>
      <c r="C258" s="518" t="s">
        <v>493</v>
      </c>
      <c r="D258" s="519" t="s">
        <v>496</v>
      </c>
      <c r="E258" s="500"/>
      <c r="F258" s="519" t="s">
        <v>493</v>
      </c>
      <c r="G258" s="508">
        <v>41215</v>
      </c>
      <c r="H258" s="499" t="s">
        <v>12</v>
      </c>
      <c r="I258" s="509">
        <v>217</v>
      </c>
      <c r="J258" s="650">
        <v>1</v>
      </c>
      <c r="K258" s="650">
        <v>34</v>
      </c>
      <c r="L258" s="531">
        <v>2387</v>
      </c>
      <c r="M258" s="534">
        <v>399</v>
      </c>
      <c r="N258" s="550">
        <v>24470348</v>
      </c>
      <c r="O258" s="552">
        <v>2701188</v>
      </c>
      <c r="P258" s="371">
        <f t="shared" si="8"/>
        <v>9.059105845279928</v>
      </c>
      <c r="Q258" s="372">
        <v>41446</v>
      </c>
    </row>
    <row r="259" spans="1:17" ht="11.25">
      <c r="A259" s="453">
        <v>258</v>
      </c>
      <c r="B259" s="497" t="s">
        <v>48</v>
      </c>
      <c r="C259" s="518" t="s">
        <v>493</v>
      </c>
      <c r="D259" s="519" t="s">
        <v>496</v>
      </c>
      <c r="E259" s="500"/>
      <c r="F259" s="519" t="s">
        <v>493</v>
      </c>
      <c r="G259" s="508">
        <v>41215</v>
      </c>
      <c r="H259" s="499" t="s">
        <v>12</v>
      </c>
      <c r="I259" s="509">
        <v>217</v>
      </c>
      <c r="J259" s="509">
        <v>2</v>
      </c>
      <c r="K259" s="509">
        <v>19</v>
      </c>
      <c r="L259" s="531">
        <v>2361</v>
      </c>
      <c r="M259" s="534">
        <v>417</v>
      </c>
      <c r="N259" s="550">
        <v>24416031</v>
      </c>
      <c r="O259" s="552">
        <v>2692143</v>
      </c>
      <c r="P259" s="512">
        <f t="shared" si="8"/>
        <v>9.069366300378546</v>
      </c>
      <c r="Q259" s="513">
        <v>41341</v>
      </c>
    </row>
    <row r="260" spans="1:17" ht="11.25">
      <c r="A260" s="453">
        <v>259</v>
      </c>
      <c r="B260" s="497" t="s">
        <v>48</v>
      </c>
      <c r="C260" s="518" t="s">
        <v>493</v>
      </c>
      <c r="D260" s="519" t="s">
        <v>496</v>
      </c>
      <c r="E260" s="500"/>
      <c r="F260" s="519" t="s">
        <v>493</v>
      </c>
      <c r="G260" s="508">
        <v>41215</v>
      </c>
      <c r="H260" s="499" t="s">
        <v>12</v>
      </c>
      <c r="I260" s="509">
        <v>217</v>
      </c>
      <c r="J260" s="509">
        <v>2</v>
      </c>
      <c r="K260" s="509">
        <v>37</v>
      </c>
      <c r="L260" s="531">
        <v>1313</v>
      </c>
      <c r="M260" s="534">
        <v>211</v>
      </c>
      <c r="N260" s="550">
        <v>24471991</v>
      </c>
      <c r="O260" s="552">
        <v>2701463</v>
      </c>
      <c r="P260" s="512">
        <f t="shared" si="8"/>
        <v>9.058791847232406</v>
      </c>
      <c r="Q260" s="513">
        <v>41467</v>
      </c>
    </row>
    <row r="261" spans="1:17" ht="11.25">
      <c r="A261" s="453">
        <v>260</v>
      </c>
      <c r="B261" s="497" t="s">
        <v>48</v>
      </c>
      <c r="C261" s="518" t="s">
        <v>493</v>
      </c>
      <c r="D261" s="519" t="s">
        <v>496</v>
      </c>
      <c r="E261" s="500"/>
      <c r="F261" s="519" t="s">
        <v>493</v>
      </c>
      <c r="G261" s="508">
        <v>41215</v>
      </c>
      <c r="H261" s="499" t="s">
        <v>12</v>
      </c>
      <c r="I261" s="509">
        <v>217</v>
      </c>
      <c r="J261" s="517">
        <v>1</v>
      </c>
      <c r="K261" s="517">
        <v>21</v>
      </c>
      <c r="L261" s="554">
        <v>1197</v>
      </c>
      <c r="M261" s="555">
        <v>189</v>
      </c>
      <c r="N261" s="438">
        <v>24430550</v>
      </c>
      <c r="O261" s="439">
        <v>2694539</v>
      </c>
      <c r="P261" s="515">
        <f t="shared" si="8"/>
        <v>9.066690072030875</v>
      </c>
      <c r="Q261" s="516">
        <v>41355</v>
      </c>
    </row>
    <row r="262" spans="1:17" ht="11.25">
      <c r="A262" s="453">
        <v>261</v>
      </c>
      <c r="B262" s="497" t="s">
        <v>48</v>
      </c>
      <c r="C262" s="518" t="s">
        <v>493</v>
      </c>
      <c r="D262" s="519" t="s">
        <v>496</v>
      </c>
      <c r="E262" s="500"/>
      <c r="F262" s="519" t="s">
        <v>493</v>
      </c>
      <c r="G262" s="508">
        <v>41215</v>
      </c>
      <c r="H262" s="499" t="s">
        <v>12</v>
      </c>
      <c r="I262" s="509">
        <v>217</v>
      </c>
      <c r="J262" s="506">
        <v>1</v>
      </c>
      <c r="K262" s="506">
        <v>24</v>
      </c>
      <c r="L262" s="554">
        <v>1197</v>
      </c>
      <c r="M262" s="555">
        <v>189</v>
      </c>
      <c r="N262" s="438">
        <v>24444413</v>
      </c>
      <c r="O262" s="439">
        <v>2696827</v>
      </c>
      <c r="P262" s="515">
        <f t="shared" si="8"/>
        <v>9.064138337386863</v>
      </c>
      <c r="Q262" s="516">
        <v>41376</v>
      </c>
    </row>
    <row r="263" spans="1:17" ht="11.25">
      <c r="A263" s="453">
        <v>262</v>
      </c>
      <c r="B263" s="497" t="s">
        <v>48</v>
      </c>
      <c r="C263" s="501" t="s">
        <v>493</v>
      </c>
      <c r="D263" s="392" t="s">
        <v>496</v>
      </c>
      <c r="E263" s="490"/>
      <c r="F263" s="392" t="s">
        <v>493</v>
      </c>
      <c r="G263" s="495">
        <v>41215</v>
      </c>
      <c r="H263" s="491" t="s">
        <v>12</v>
      </c>
      <c r="I263" s="506">
        <v>217</v>
      </c>
      <c r="J263" s="506">
        <v>1</v>
      </c>
      <c r="K263" s="506">
        <v>40</v>
      </c>
      <c r="L263" s="554">
        <v>1197</v>
      </c>
      <c r="M263" s="555">
        <v>189</v>
      </c>
      <c r="N263" s="438">
        <v>24473512</v>
      </c>
      <c r="O263" s="439">
        <v>2701694</v>
      </c>
      <c r="P263" s="515">
        <f t="shared" si="8"/>
        <v>9.058580283333345</v>
      </c>
      <c r="Q263" s="516">
        <v>41488</v>
      </c>
    </row>
    <row r="264" spans="1:17" ht="11.25">
      <c r="A264" s="453">
        <v>263</v>
      </c>
      <c r="B264" s="497" t="s">
        <v>48</v>
      </c>
      <c r="C264" s="501" t="s">
        <v>493</v>
      </c>
      <c r="D264" s="392" t="s">
        <v>496</v>
      </c>
      <c r="E264" s="490"/>
      <c r="F264" s="392" t="s">
        <v>493</v>
      </c>
      <c r="G264" s="495">
        <v>41215</v>
      </c>
      <c r="H264" s="491" t="s">
        <v>12</v>
      </c>
      <c r="I264" s="506">
        <v>217</v>
      </c>
      <c r="J264" s="509">
        <v>1</v>
      </c>
      <c r="K264" s="509">
        <v>41</v>
      </c>
      <c r="L264" s="531">
        <v>1197</v>
      </c>
      <c r="M264" s="534">
        <v>189</v>
      </c>
      <c r="N264" s="550">
        <v>24474709</v>
      </c>
      <c r="O264" s="552">
        <v>2701883</v>
      </c>
      <c r="P264" s="512">
        <f t="shared" si="8"/>
        <v>9.058389648996645</v>
      </c>
      <c r="Q264" s="513">
        <v>41495</v>
      </c>
    </row>
    <row r="265" spans="1:17" ht="11.25">
      <c r="A265" s="453">
        <v>264</v>
      </c>
      <c r="B265" s="497" t="s">
        <v>48</v>
      </c>
      <c r="C265" s="518" t="s">
        <v>493</v>
      </c>
      <c r="D265" s="519" t="s">
        <v>496</v>
      </c>
      <c r="E265" s="500"/>
      <c r="F265" s="519" t="s">
        <v>493</v>
      </c>
      <c r="G265" s="508">
        <v>41215</v>
      </c>
      <c r="H265" s="499" t="s">
        <v>12</v>
      </c>
      <c r="I265" s="509">
        <v>217</v>
      </c>
      <c r="J265" s="509">
        <v>1</v>
      </c>
      <c r="K265" s="509">
        <v>17</v>
      </c>
      <c r="L265" s="530">
        <v>390</v>
      </c>
      <c r="M265" s="533">
        <v>78</v>
      </c>
      <c r="N265" s="551">
        <v>24395715</v>
      </c>
      <c r="O265" s="553">
        <v>2688744</v>
      </c>
      <c r="P265" s="512">
        <f t="shared" si="8"/>
        <v>9.073275477323241</v>
      </c>
      <c r="Q265" s="513">
        <v>41327</v>
      </c>
    </row>
    <row r="266" spans="1:17" ht="11.25">
      <c r="A266" s="453">
        <v>265</v>
      </c>
      <c r="B266" s="497" t="s">
        <v>48</v>
      </c>
      <c r="C266" s="518" t="s">
        <v>493</v>
      </c>
      <c r="D266" s="519" t="s">
        <v>496</v>
      </c>
      <c r="E266" s="500"/>
      <c r="F266" s="519" t="s">
        <v>493</v>
      </c>
      <c r="G266" s="508">
        <v>41215</v>
      </c>
      <c r="H266" s="499" t="s">
        <v>12</v>
      </c>
      <c r="I266" s="509">
        <v>217</v>
      </c>
      <c r="J266" s="509">
        <v>1</v>
      </c>
      <c r="K266" s="509">
        <v>36</v>
      </c>
      <c r="L266" s="531">
        <v>330</v>
      </c>
      <c r="M266" s="534">
        <v>64</v>
      </c>
      <c r="N266" s="550">
        <v>24470678</v>
      </c>
      <c r="O266" s="552">
        <v>2701252</v>
      </c>
      <c r="P266" s="512">
        <f t="shared" si="8"/>
        <v>9.059013376019712</v>
      </c>
      <c r="Q266" s="513">
        <v>41460</v>
      </c>
    </row>
    <row r="267" spans="1:17" ht="11.25">
      <c r="A267" s="453">
        <v>266</v>
      </c>
      <c r="B267" s="497" t="s">
        <v>48</v>
      </c>
      <c r="C267" s="523" t="s">
        <v>568</v>
      </c>
      <c r="D267" s="524" t="s">
        <v>569</v>
      </c>
      <c r="E267" s="490"/>
      <c r="F267" s="494" t="s">
        <v>568</v>
      </c>
      <c r="G267" s="493">
        <v>41264</v>
      </c>
      <c r="H267" s="499" t="s">
        <v>59</v>
      </c>
      <c r="I267" s="509">
        <v>70</v>
      </c>
      <c r="J267" s="509">
        <v>53</v>
      </c>
      <c r="K267" s="509">
        <v>3</v>
      </c>
      <c r="L267" s="529">
        <v>87971.22</v>
      </c>
      <c r="M267" s="514">
        <v>10951</v>
      </c>
      <c r="N267" s="535">
        <f>290431.55+175441.73+87971.22</f>
        <v>553844.5</v>
      </c>
      <c r="O267" s="542">
        <f>33196+19707+10951</f>
        <v>63854</v>
      </c>
      <c r="P267" s="512">
        <f t="shared" si="8"/>
        <v>8.673606978419519</v>
      </c>
      <c r="Q267" s="513">
        <v>41278</v>
      </c>
    </row>
    <row r="268" spans="1:17" ht="11.25">
      <c r="A268" s="453">
        <v>267</v>
      </c>
      <c r="B268" s="497" t="s">
        <v>48</v>
      </c>
      <c r="C268" s="523" t="s">
        <v>568</v>
      </c>
      <c r="D268" s="524" t="s">
        <v>569</v>
      </c>
      <c r="E268" s="490"/>
      <c r="F268" s="494" t="s">
        <v>568</v>
      </c>
      <c r="G268" s="493">
        <v>41264</v>
      </c>
      <c r="H268" s="499" t="s">
        <v>59</v>
      </c>
      <c r="I268" s="509">
        <v>70</v>
      </c>
      <c r="J268" s="509">
        <v>36</v>
      </c>
      <c r="K268" s="509">
        <v>4</v>
      </c>
      <c r="L268" s="529">
        <v>51045</v>
      </c>
      <c r="M268" s="514">
        <v>6492</v>
      </c>
      <c r="N268" s="541">
        <f>290431.55+175441.73+87971.22+51045</f>
        <v>604889.5</v>
      </c>
      <c r="O268" s="547">
        <f>33196+19707+10951+6492</f>
        <v>70346</v>
      </c>
      <c r="P268" s="512">
        <f t="shared" si="8"/>
        <v>8.598776049810935</v>
      </c>
      <c r="Q268" s="513">
        <v>41285</v>
      </c>
    </row>
    <row r="269" spans="1:17" ht="11.25">
      <c r="A269" s="453">
        <v>268</v>
      </c>
      <c r="B269" s="497" t="s">
        <v>48</v>
      </c>
      <c r="C269" s="523" t="s">
        <v>568</v>
      </c>
      <c r="D269" s="524" t="s">
        <v>569</v>
      </c>
      <c r="E269" s="490"/>
      <c r="F269" s="494" t="s">
        <v>568</v>
      </c>
      <c r="G269" s="493">
        <v>41264</v>
      </c>
      <c r="H269" s="499" t="s">
        <v>59</v>
      </c>
      <c r="I269" s="509">
        <v>70</v>
      </c>
      <c r="J269" s="666">
        <v>12</v>
      </c>
      <c r="K269" s="666">
        <v>5</v>
      </c>
      <c r="L269" s="529">
        <v>15370</v>
      </c>
      <c r="M269" s="514">
        <v>1769</v>
      </c>
      <c r="N269" s="539">
        <f>290431.55+175441.73+87971.22+51045+15370</f>
        <v>620259.5</v>
      </c>
      <c r="O269" s="545">
        <f>33196+19707+10951+6492+1769</f>
        <v>72115</v>
      </c>
      <c r="P269" s="512">
        <f t="shared" si="8"/>
        <v>8.600977605213895</v>
      </c>
      <c r="Q269" s="513">
        <v>41292</v>
      </c>
    </row>
    <row r="270" spans="1:17" ht="11.25">
      <c r="A270" s="453">
        <v>269</v>
      </c>
      <c r="B270" s="497" t="s">
        <v>48</v>
      </c>
      <c r="C270" s="518" t="s">
        <v>568</v>
      </c>
      <c r="D270" s="506" t="s">
        <v>569</v>
      </c>
      <c r="E270" s="500"/>
      <c r="F270" s="525" t="s">
        <v>568</v>
      </c>
      <c r="G270" s="526">
        <v>41264</v>
      </c>
      <c r="H270" s="499" t="s">
        <v>59</v>
      </c>
      <c r="I270" s="506">
        <v>70</v>
      </c>
      <c r="J270" s="507">
        <v>1</v>
      </c>
      <c r="K270" s="507">
        <v>13</v>
      </c>
      <c r="L270" s="510">
        <v>4158</v>
      </c>
      <c r="M270" s="514">
        <v>832</v>
      </c>
      <c r="N270" s="535">
        <f>290431.55+175441.73+87971.22+51045+15406+2729+1620+3890.84+1550.6+231+1395+198+4158</f>
        <v>636067.94</v>
      </c>
      <c r="O270" s="547">
        <f>33196+19707+10951+6492+1773+727+522+624+258+33+171+48+832</f>
        <v>75334</v>
      </c>
      <c r="P270" s="515">
        <f aca="true" t="shared" si="9" ref="P270:P301">N270/O270</f>
        <v>8.443305014999867</v>
      </c>
      <c r="Q270" s="516">
        <v>41397</v>
      </c>
    </row>
    <row r="271" spans="1:17" ht="11.25">
      <c r="A271" s="453">
        <v>270</v>
      </c>
      <c r="B271" s="497" t="s">
        <v>48</v>
      </c>
      <c r="C271" s="518" t="s">
        <v>568</v>
      </c>
      <c r="D271" s="492" t="s">
        <v>569</v>
      </c>
      <c r="E271" s="490"/>
      <c r="F271" s="494" t="s">
        <v>568</v>
      </c>
      <c r="G271" s="526">
        <v>41264</v>
      </c>
      <c r="H271" s="499" t="s">
        <v>59</v>
      </c>
      <c r="I271" s="509">
        <v>70</v>
      </c>
      <c r="J271" s="509">
        <v>3</v>
      </c>
      <c r="K271" s="509">
        <v>8</v>
      </c>
      <c r="L271" s="510">
        <v>3890.84</v>
      </c>
      <c r="M271" s="514">
        <v>624</v>
      </c>
      <c r="N271" s="535">
        <f>290431.55+175441.73+87971.22+51045+15406+2729+1620+3890.84</f>
        <v>628535.34</v>
      </c>
      <c r="O271" s="547">
        <f>33196+19707+10951+6492+1773+727+522+624</f>
        <v>73992</v>
      </c>
      <c r="P271" s="515">
        <f t="shared" si="9"/>
        <v>8.494639150178397</v>
      </c>
      <c r="Q271" s="516">
        <v>41313</v>
      </c>
    </row>
    <row r="272" spans="1:17" ht="11.25">
      <c r="A272" s="453">
        <v>271</v>
      </c>
      <c r="B272" s="497" t="s">
        <v>48</v>
      </c>
      <c r="C272" s="523" t="s">
        <v>568</v>
      </c>
      <c r="D272" s="524" t="s">
        <v>569</v>
      </c>
      <c r="E272" s="490"/>
      <c r="F272" s="494" t="s">
        <v>568</v>
      </c>
      <c r="G272" s="493">
        <v>41264</v>
      </c>
      <c r="H272" s="499" t="s">
        <v>59</v>
      </c>
      <c r="I272" s="509">
        <v>70</v>
      </c>
      <c r="J272" s="509">
        <v>12</v>
      </c>
      <c r="K272" s="509">
        <v>6</v>
      </c>
      <c r="L272" s="529">
        <v>2729</v>
      </c>
      <c r="M272" s="514">
        <v>727</v>
      </c>
      <c r="N272" s="541">
        <f>290431.55+175441.73+87971.22+51045+15406+2729</f>
        <v>623024.5</v>
      </c>
      <c r="O272" s="547">
        <f>33196+19707+10951+6492+1773+727</f>
        <v>72846</v>
      </c>
      <c r="P272" s="512">
        <f t="shared" si="9"/>
        <v>8.552624715152513</v>
      </c>
      <c r="Q272" s="513">
        <v>41299</v>
      </c>
    </row>
    <row r="273" spans="1:17" ht="11.25">
      <c r="A273" s="453">
        <v>272</v>
      </c>
      <c r="B273" s="497" t="s">
        <v>48</v>
      </c>
      <c r="C273" s="523" t="s">
        <v>568</v>
      </c>
      <c r="D273" s="524" t="s">
        <v>569</v>
      </c>
      <c r="E273" s="490"/>
      <c r="F273" s="494" t="s">
        <v>568</v>
      </c>
      <c r="G273" s="493">
        <v>41264</v>
      </c>
      <c r="H273" s="499" t="s">
        <v>59</v>
      </c>
      <c r="I273" s="509">
        <v>70</v>
      </c>
      <c r="J273" s="506">
        <v>3</v>
      </c>
      <c r="K273" s="506">
        <v>7</v>
      </c>
      <c r="L273" s="529">
        <v>1620</v>
      </c>
      <c r="M273" s="511">
        <v>522</v>
      </c>
      <c r="N273" s="541">
        <f>290431.55+175441.73+87971.22+51045+15406+2729+1620</f>
        <v>624644.5</v>
      </c>
      <c r="O273" s="542">
        <f>33196+19707+10951+6492+1773+727+522</f>
        <v>73368</v>
      </c>
      <c r="P273" s="515">
        <f t="shared" si="9"/>
        <v>8.513854814087885</v>
      </c>
      <c r="Q273" s="516">
        <v>41306</v>
      </c>
    </row>
    <row r="274" spans="1:17" ht="11.25">
      <c r="A274" s="453">
        <v>273</v>
      </c>
      <c r="B274" s="497" t="s">
        <v>48</v>
      </c>
      <c r="C274" s="518" t="s">
        <v>568</v>
      </c>
      <c r="D274" s="492" t="s">
        <v>569</v>
      </c>
      <c r="E274" s="490"/>
      <c r="F274" s="494" t="s">
        <v>568</v>
      </c>
      <c r="G274" s="526">
        <v>41264</v>
      </c>
      <c r="H274" s="499" t="s">
        <v>59</v>
      </c>
      <c r="I274" s="509">
        <v>70</v>
      </c>
      <c r="J274" s="506">
        <v>2</v>
      </c>
      <c r="K274" s="506">
        <v>9</v>
      </c>
      <c r="L274" s="510">
        <v>1550.6</v>
      </c>
      <c r="M274" s="511">
        <v>258</v>
      </c>
      <c r="N274" s="535">
        <f>290431.55+175441.73+87971.22+51045+15406+2729+1620+3890.84+1550.6</f>
        <v>630085.94</v>
      </c>
      <c r="O274" s="542">
        <f>33196+19707+10951+6492+1773+727+522+624+258</f>
        <v>74250</v>
      </c>
      <c r="P274" s="512">
        <f t="shared" si="9"/>
        <v>8.486005925925925</v>
      </c>
      <c r="Q274" s="513">
        <v>41320</v>
      </c>
    </row>
    <row r="275" spans="1:17" ht="11.25">
      <c r="A275" s="453">
        <v>274</v>
      </c>
      <c r="B275" s="497" t="s">
        <v>48</v>
      </c>
      <c r="C275" s="518" t="s">
        <v>568</v>
      </c>
      <c r="D275" s="506" t="s">
        <v>569</v>
      </c>
      <c r="E275" s="500"/>
      <c r="F275" s="525" t="s">
        <v>568</v>
      </c>
      <c r="G275" s="526">
        <v>41264</v>
      </c>
      <c r="H275" s="499" t="s">
        <v>59</v>
      </c>
      <c r="I275" s="509">
        <v>70</v>
      </c>
      <c r="J275" s="517">
        <v>1</v>
      </c>
      <c r="K275" s="517">
        <v>11</v>
      </c>
      <c r="L275" s="529">
        <v>1395</v>
      </c>
      <c r="M275" s="514">
        <v>171</v>
      </c>
      <c r="N275" s="541">
        <f>290431.55+175441.73+87971.22+51045+15406+2729+1620+3890.84+1550.6+231+1395</f>
        <v>631711.94</v>
      </c>
      <c r="O275" s="547">
        <f>33196+19707+10951+6492+1773+727+522+624+258+33+171</f>
        <v>74454</v>
      </c>
      <c r="P275" s="515">
        <f t="shared" si="9"/>
        <v>8.48459370886722</v>
      </c>
      <c r="Q275" s="516">
        <v>41355</v>
      </c>
    </row>
    <row r="276" spans="1:17" ht="11.25">
      <c r="A276" s="453">
        <v>275</v>
      </c>
      <c r="B276" s="497" t="s">
        <v>48</v>
      </c>
      <c r="C276" s="518" t="s">
        <v>568</v>
      </c>
      <c r="D276" s="506" t="s">
        <v>569</v>
      </c>
      <c r="E276" s="500"/>
      <c r="F276" s="525" t="s">
        <v>568</v>
      </c>
      <c r="G276" s="526">
        <v>41264</v>
      </c>
      <c r="H276" s="499" t="s">
        <v>59</v>
      </c>
      <c r="I276" s="509">
        <v>70</v>
      </c>
      <c r="J276" s="509">
        <v>1</v>
      </c>
      <c r="K276" s="509">
        <v>10</v>
      </c>
      <c r="L276" s="648">
        <v>231</v>
      </c>
      <c r="M276" s="649">
        <v>33</v>
      </c>
      <c r="N276" s="539">
        <f>290431.55+175441.73+87971.22+51045+15406+2729+1620+3890.84+1550.6+231</f>
        <v>630316.94</v>
      </c>
      <c r="O276" s="545">
        <f>33196+19707+10951+6492+1773+727+522+624+258+33</f>
        <v>74283</v>
      </c>
      <c r="P276" s="512">
        <f t="shared" si="9"/>
        <v>8.485345772249369</v>
      </c>
      <c r="Q276" s="513">
        <v>41327</v>
      </c>
    </row>
    <row r="277" spans="1:17" ht="11.25">
      <c r="A277" s="453">
        <v>276</v>
      </c>
      <c r="B277" s="497" t="s">
        <v>48</v>
      </c>
      <c r="C277" s="518" t="s">
        <v>568</v>
      </c>
      <c r="D277" s="506" t="s">
        <v>569</v>
      </c>
      <c r="E277" s="500"/>
      <c r="F277" s="525" t="s">
        <v>568</v>
      </c>
      <c r="G277" s="526">
        <v>41264</v>
      </c>
      <c r="H277" s="499" t="s">
        <v>59</v>
      </c>
      <c r="I277" s="509">
        <v>70</v>
      </c>
      <c r="J277" s="517">
        <v>1</v>
      </c>
      <c r="K277" s="517">
        <v>12</v>
      </c>
      <c r="L277" s="510">
        <v>198</v>
      </c>
      <c r="M277" s="511">
        <v>48</v>
      </c>
      <c r="N277" s="535">
        <f>290431.55+175441.73+87971.22+51045+15406+2729+1620+3890.84+1550.6+231+1395+198</f>
        <v>631909.94</v>
      </c>
      <c r="O277" s="542">
        <f>33196+19707+10951+6492+1773+727+522+624+258+33+171+48</f>
        <v>74502</v>
      </c>
      <c r="P277" s="512">
        <f t="shared" si="9"/>
        <v>8.481784918525676</v>
      </c>
      <c r="Q277" s="513">
        <v>41390</v>
      </c>
    </row>
    <row r="278" spans="1:17" ht="11.25">
      <c r="A278" s="453">
        <v>277</v>
      </c>
      <c r="B278" s="497"/>
      <c r="C278" s="548" t="s">
        <v>405</v>
      </c>
      <c r="D278" s="492" t="s">
        <v>399</v>
      </c>
      <c r="E278" s="491" t="s">
        <v>81</v>
      </c>
      <c r="F278" s="491" t="s">
        <v>406</v>
      </c>
      <c r="G278" s="495">
        <v>41145</v>
      </c>
      <c r="H278" s="499" t="s">
        <v>139</v>
      </c>
      <c r="I278" s="509">
        <v>25</v>
      </c>
      <c r="J278" s="647">
        <v>1</v>
      </c>
      <c r="K278" s="647">
        <v>16</v>
      </c>
      <c r="L278" s="554">
        <v>420</v>
      </c>
      <c r="M278" s="555">
        <v>70</v>
      </c>
      <c r="N278" s="646">
        <v>162395.77</v>
      </c>
      <c r="O278" s="645">
        <v>18432</v>
      </c>
      <c r="P278" s="512">
        <f t="shared" si="9"/>
        <v>8.810534396701389</v>
      </c>
      <c r="Q278" s="513">
        <v>41278</v>
      </c>
    </row>
    <row r="279" spans="1:17" ht="11.25">
      <c r="A279" s="453">
        <v>278</v>
      </c>
      <c r="B279" s="497"/>
      <c r="C279" s="518" t="s">
        <v>487</v>
      </c>
      <c r="D279" s="492" t="s">
        <v>488</v>
      </c>
      <c r="E279" s="490" t="s">
        <v>143</v>
      </c>
      <c r="F279" s="392" t="s">
        <v>489</v>
      </c>
      <c r="G279" s="493">
        <v>41208</v>
      </c>
      <c r="H279" s="499" t="s">
        <v>12</v>
      </c>
      <c r="I279" s="506">
        <v>86</v>
      </c>
      <c r="J279" s="509">
        <v>1</v>
      </c>
      <c r="K279" s="509">
        <v>14</v>
      </c>
      <c r="L279" s="531">
        <v>1722</v>
      </c>
      <c r="M279" s="534">
        <v>287</v>
      </c>
      <c r="N279" s="550">
        <v>687424</v>
      </c>
      <c r="O279" s="552">
        <v>65887</v>
      </c>
      <c r="P279" s="512">
        <f t="shared" si="9"/>
        <v>10.433378359919256</v>
      </c>
      <c r="Q279" s="513">
        <v>41299</v>
      </c>
    </row>
    <row r="280" spans="1:17" ht="11.25">
      <c r="A280" s="453">
        <v>279</v>
      </c>
      <c r="B280" s="498"/>
      <c r="C280" s="520" t="s">
        <v>955</v>
      </c>
      <c r="D280" s="500" t="s">
        <v>956</v>
      </c>
      <c r="E280" s="506" t="s">
        <v>313</v>
      </c>
      <c r="F280" s="560" t="s">
        <v>955</v>
      </c>
      <c r="G280" s="495">
        <v>41089</v>
      </c>
      <c r="H280" s="499" t="s">
        <v>59</v>
      </c>
      <c r="I280" s="509">
        <v>1</v>
      </c>
      <c r="J280" s="517">
        <v>1</v>
      </c>
      <c r="K280" s="517">
        <v>7</v>
      </c>
      <c r="L280" s="528">
        <v>1286</v>
      </c>
      <c r="M280" s="532">
        <v>118</v>
      </c>
      <c r="N280" s="537">
        <f>5702.4+7230+5622+2408+2582+1332+304+1286</f>
        <v>26466.4</v>
      </c>
      <c r="O280" s="543">
        <f>1140+677+531+230+222+116+34+118</f>
        <v>3068</v>
      </c>
      <c r="P280" s="515">
        <f t="shared" si="9"/>
        <v>8.626597131681878</v>
      </c>
      <c r="Q280" s="516">
        <v>41474</v>
      </c>
    </row>
    <row r="281" spans="1:17" ht="11.25">
      <c r="A281" s="453">
        <v>280</v>
      </c>
      <c r="B281" s="497" t="s">
        <v>48</v>
      </c>
      <c r="C281" s="520" t="s">
        <v>202</v>
      </c>
      <c r="D281" s="500" t="s">
        <v>877</v>
      </c>
      <c r="E281" s="506"/>
      <c r="F281" s="384" t="s">
        <v>202</v>
      </c>
      <c r="G281" s="508">
        <v>40954</v>
      </c>
      <c r="H281" s="499" t="s">
        <v>59</v>
      </c>
      <c r="I281" s="509">
        <v>440</v>
      </c>
      <c r="J281" s="517">
        <v>3</v>
      </c>
      <c r="K281" s="517">
        <v>43</v>
      </c>
      <c r="L281" s="510">
        <v>8316.01</v>
      </c>
      <c r="M281" s="511">
        <v>1662</v>
      </c>
      <c r="N281" s="535">
        <f>21413320.22+14038209.72+8091830.8+5223667.88+2812594.76+1480814.82+955933.78+528159.45+298145.03+198476.43+95958.51+50635.81+22068.5+4796.5+151782.5+9632.5+16854+6694.5+16858+57365+45318+25582+8464+10246+8937+8346+20805.2+20058.4+18770.4+20853+14850+4158+1200+10100+2712+6532+1200+1782+2376+2376+2376+1782+8316.01</f>
        <v>55720938.72</v>
      </c>
      <c r="O281" s="542">
        <f>2475453+1630117+937421+623418+343374+183619+118367+65562+39148+26637+13128+9069+3464+632+29285+1170+2819+1359+3038+11331+9013+4835+1364+2001+2177+1669+4153+4006+3753+4162+2969+832+300+2110+678+1336+300+356+475+475+475+356+1662</f>
        <v>6567868</v>
      </c>
      <c r="P281" s="512">
        <f t="shared" si="9"/>
        <v>8.48387006559815</v>
      </c>
      <c r="Q281" s="513">
        <v>41411</v>
      </c>
    </row>
    <row r="282" spans="1:17" ht="11.25">
      <c r="A282" s="453">
        <v>281</v>
      </c>
      <c r="B282" s="497" t="s">
        <v>48</v>
      </c>
      <c r="C282" s="520" t="s">
        <v>202</v>
      </c>
      <c r="D282" s="500" t="s">
        <v>877</v>
      </c>
      <c r="E282" s="506"/>
      <c r="F282" s="384" t="s">
        <v>202</v>
      </c>
      <c r="G282" s="508">
        <v>40954</v>
      </c>
      <c r="H282" s="499" t="s">
        <v>59</v>
      </c>
      <c r="I282" s="509">
        <v>440</v>
      </c>
      <c r="J282" s="507">
        <v>4</v>
      </c>
      <c r="K282" s="507">
        <v>44</v>
      </c>
      <c r="L282" s="529">
        <v>5227.2</v>
      </c>
      <c r="M282" s="514">
        <v>1045</v>
      </c>
      <c r="N282" s="541">
        <f>21413320.22+14038209.72+8091830.8+5223667.88+2812594.76+1480814.82+955933.78+528159.45+298145.03+198476.43+95958.51+50635.81+22068.5+4796.5+151782.5+9632.5+16854+6694.5+16858+57365+45318+25582+8464+10246+8937+8346+20805.2+20058.4+18770.4+20853+14850+4158+1200+10100+2712+6532+1200+1782+2376+2376+2376+1782+8316.01+5227.2</f>
        <v>55726165.92</v>
      </c>
      <c r="O282" s="547">
        <f>2475453+1630117+937421+623418+343374+183619+118367+65562+39148+26637+13128+9069+3464+632+29285+1170+2819+1359+3038+11331+9013+4835+1364+2001+2177+1669+4153+4006+3753+4162+2969+832+300+2110+678+1336+300+356+475+475+475+356+1662+1045</f>
        <v>6568913</v>
      </c>
      <c r="P282" s="515">
        <f t="shared" si="9"/>
        <v>8.483316177273165</v>
      </c>
      <c r="Q282" s="516">
        <v>41418</v>
      </c>
    </row>
    <row r="283" spans="1:17" ht="11.25">
      <c r="A283" s="453">
        <v>282</v>
      </c>
      <c r="B283" s="497" t="s">
        <v>48</v>
      </c>
      <c r="C283" s="520" t="s">
        <v>202</v>
      </c>
      <c r="D283" s="500" t="s">
        <v>877</v>
      </c>
      <c r="E283" s="506"/>
      <c r="F283" s="384" t="s">
        <v>202</v>
      </c>
      <c r="G283" s="508">
        <v>40954</v>
      </c>
      <c r="H283" s="499" t="s">
        <v>59</v>
      </c>
      <c r="I283" s="509">
        <v>440</v>
      </c>
      <c r="J283" s="517">
        <v>2</v>
      </c>
      <c r="K283" s="517">
        <v>45</v>
      </c>
      <c r="L283" s="503">
        <v>4752</v>
      </c>
      <c r="M283" s="504">
        <v>950</v>
      </c>
      <c r="N283" s="538">
        <f>21413320.22+14038209.72+8091830.8+5223667.88+2812594.76+1480814.82+955933.78+528159.45+298145.03+198476.43+95958.51+50635.81+22068.5+4796.5+151782.5+9632.5+16854+6694.5+16858+57365+45318+25582+8464+10246+8937+8346+20805.2+20058.4+18770.4+20853+14850+4158+1200+10100+2712+6532+1200+1782+2376+2376+2376+1782+8316.01+5227.2+4752</f>
        <v>55730917.92</v>
      </c>
      <c r="O283" s="544">
        <f>2475453+1630117+937421+623418+343374+183619+118367+65562+39148+26637+13128+9069+3464+632+29285+1170+2819+1359+3038+11331+9013+4835+1364+2001+2177+1669+4153+4006+3753+4162+2969+832+300+2110+678+1336+300+356+475+475+475+356+1662+1045+950</f>
        <v>6569863</v>
      </c>
      <c r="P283" s="512">
        <f t="shared" si="9"/>
        <v>8.482812795335306</v>
      </c>
      <c r="Q283" s="513">
        <v>41453</v>
      </c>
    </row>
    <row r="284" spans="1:17" ht="11.25">
      <c r="A284" s="453">
        <v>283</v>
      </c>
      <c r="B284" s="497" t="s">
        <v>48</v>
      </c>
      <c r="C284" s="520" t="s">
        <v>202</v>
      </c>
      <c r="D284" s="500" t="s">
        <v>877</v>
      </c>
      <c r="E284" s="506"/>
      <c r="F284" s="384" t="s">
        <v>202</v>
      </c>
      <c r="G284" s="495">
        <v>40954</v>
      </c>
      <c r="H284" s="499" t="s">
        <v>59</v>
      </c>
      <c r="I284" s="509">
        <v>440</v>
      </c>
      <c r="J284" s="517">
        <v>2</v>
      </c>
      <c r="K284" s="517">
        <v>48</v>
      </c>
      <c r="L284" s="528">
        <v>3326.4</v>
      </c>
      <c r="M284" s="532">
        <v>665</v>
      </c>
      <c r="N284" s="537">
        <f>21413320.22+14038209.72+8091830.8+5223667.88+2812594.76+1480814.82+955933.78+528159.45+298145.03+198476.43+95958.51+50635.81+22068.5+4796.5+151782.5+9632.5+16854+6694.5+16858+57365+45318+25582+8464+10246+8937+8346+20805.2+20058.4+18770.4+20853+14850+4158+1200+10100+2712+6532+1200+1782+2376+2376+2376+1782+8316.01+5227.2+4752+1782+950.4+3326.4</f>
        <v>55736976.72</v>
      </c>
      <c r="O284" s="543">
        <f>2475453+1630117+937421+623418+343374+183619+118367+65562+39148+26637+13128+9069+3464+632+29285+1170+2819+1359+3038+11331+9013+4835+1364+2001+2177+1669+4153+4006+3753+4162+2969+832+300+2110+678+1336+300+356+475+475+475+356+1662+1045+950+356+190+665</f>
        <v>6571074</v>
      </c>
      <c r="P284" s="515">
        <f t="shared" si="9"/>
        <v>8.482171517167513</v>
      </c>
      <c r="Q284" s="516">
        <v>41474</v>
      </c>
    </row>
    <row r="285" spans="1:17" ht="11.25">
      <c r="A285" s="453">
        <v>284</v>
      </c>
      <c r="B285" s="402" t="s">
        <v>48</v>
      </c>
      <c r="C285" s="502" t="s">
        <v>202</v>
      </c>
      <c r="D285" s="490" t="s">
        <v>877</v>
      </c>
      <c r="E285" s="492"/>
      <c r="F285" s="341" t="s">
        <v>202</v>
      </c>
      <c r="G285" s="495">
        <v>40954</v>
      </c>
      <c r="H285" s="491" t="s">
        <v>59</v>
      </c>
      <c r="I285" s="509">
        <v>440</v>
      </c>
      <c r="J285" s="517">
        <v>1</v>
      </c>
      <c r="K285" s="517">
        <v>50</v>
      </c>
      <c r="L285" s="503">
        <v>2376</v>
      </c>
      <c r="M285" s="504">
        <v>475</v>
      </c>
      <c r="N285" s="538">
        <f>21413320.22+14038209.72+8091830.8+5223667.88+2812594.76+1480814.82+955933.78+528159.45+298145.03+198476.43+95958.51+50635.81+22068.5+4796.5+151782.5+9632.5+16854+6694.5+16858+57365+45318+25582+8464+10246+8937+8346+20805.2+20058.4+18770.4+20853+14850+4158+1200+10100+2712+6532+1200+1782+2376+2376+2376+1782+8316.01+5227.2+4752+1782+950.4+3326.4+950.4+2376</f>
        <v>55740303.12</v>
      </c>
      <c r="O285" s="544">
        <f>2475453+1630117+937421+623418+343374+183619+118367+65562+39148+26637+13128+9069+3464+632+29285+1170+2819+1359+3038+11331+9013+4835+1364+2001+2177+1669+4153+4006+3753+4162+2969+832+300+2110+678+1336+300+356+475+475+475+356+1662+1045+950+356+190+665+190+475</f>
        <v>6571739</v>
      </c>
      <c r="P285" s="512">
        <f t="shared" si="9"/>
        <v>8.481819366228635</v>
      </c>
      <c r="Q285" s="513">
        <v>41516</v>
      </c>
    </row>
    <row r="286" spans="1:17" ht="11.25">
      <c r="A286" s="453">
        <v>285</v>
      </c>
      <c r="B286" s="497" t="s">
        <v>48</v>
      </c>
      <c r="C286" s="520" t="s">
        <v>202</v>
      </c>
      <c r="D286" s="500" t="s">
        <v>877</v>
      </c>
      <c r="E286" s="506"/>
      <c r="F286" s="384" t="s">
        <v>202</v>
      </c>
      <c r="G286" s="508">
        <v>40954</v>
      </c>
      <c r="H286" s="499" t="s">
        <v>59</v>
      </c>
      <c r="I286" s="509">
        <v>440</v>
      </c>
      <c r="J286" s="517">
        <v>1</v>
      </c>
      <c r="K286" s="517">
        <v>42</v>
      </c>
      <c r="L286" s="510">
        <v>1782</v>
      </c>
      <c r="M286" s="511">
        <v>356</v>
      </c>
      <c r="N286" s="535">
        <f>21413320.22+14038209.72+8091830.8+5223667.88+2812594.76+1480814.82+955933.78+528159.45+298145.03+198476.43+95958.51+50635.81+22068.5+4796.5+151782.5+9632.5+16854+6694.5+16858+57365+45318+25582+8464+10246+8937+8346+20805.2+20058.4+18770.4+20853+14850+4158+1200+10100+2712+6532+1200+1782+2376+2376+2376+1782</f>
        <v>55712622.71</v>
      </c>
      <c r="O286" s="542">
        <f>2475453+1630117+937421+623418+343374+183619+118367+65562+39148+26637+13128+9069+3464+632+29285+1170+2819+1359+3038+11331+9013+4835+1364+2001+2177+1669+4153+4006+3753+4162+2969+832+300+2110+678+1336+300+356+475+475+475+356</f>
        <v>6566206</v>
      </c>
      <c r="P286" s="512">
        <f t="shared" si="9"/>
        <v>8.48475096730136</v>
      </c>
      <c r="Q286" s="513">
        <v>41404</v>
      </c>
    </row>
    <row r="287" spans="1:17" ht="11.25">
      <c r="A287" s="453">
        <v>286</v>
      </c>
      <c r="B287" s="497" t="s">
        <v>48</v>
      </c>
      <c r="C287" s="520" t="s">
        <v>202</v>
      </c>
      <c r="D287" s="500" t="s">
        <v>877</v>
      </c>
      <c r="E287" s="506"/>
      <c r="F287" s="384" t="s">
        <v>202</v>
      </c>
      <c r="G287" s="508">
        <v>40954</v>
      </c>
      <c r="H287" s="499" t="s">
        <v>59</v>
      </c>
      <c r="I287" s="509">
        <v>440</v>
      </c>
      <c r="J287" s="517">
        <v>1</v>
      </c>
      <c r="K287" s="517">
        <v>46</v>
      </c>
      <c r="L287" s="503">
        <v>1782</v>
      </c>
      <c r="M287" s="504">
        <v>356</v>
      </c>
      <c r="N287" s="538">
        <f>21413320.22+14038209.72+8091830.8+5223667.88+2812594.76+1480814.82+955933.78+528159.45+298145.03+198476.43+95958.51+50635.81+22068.5+4796.5+151782.5+9632.5+16854+6694.5+16858+57365+45318+25582+8464+10246+8937+8346+20805.2+20058.4+18770.4+20853+14850+4158+1200+10100+2712+6532+1200+1782+2376+2376+2376+1782+8316.01+5227.2+4752+1782</f>
        <v>55732699.92</v>
      </c>
      <c r="O287" s="544">
        <f>2475453+1630117+937421+623418+343374+183619+118367+65562+39148+26637+13128+9069+3464+632+29285+1170+2819+1359+3038+11331+9013+4835+1364+2001+2177+1669+4153+4006+3753+4162+2969+832+300+2110+678+1336+300+356+475+475+475+356+1662+1045+950+356</f>
        <v>6570219</v>
      </c>
      <c r="P287" s="512">
        <f t="shared" si="9"/>
        <v>8.482624387406265</v>
      </c>
      <c r="Q287" s="513">
        <v>41460</v>
      </c>
    </row>
    <row r="288" spans="1:17" ht="11.25">
      <c r="A288" s="453">
        <v>287</v>
      </c>
      <c r="B288" s="497" t="s">
        <v>48</v>
      </c>
      <c r="C288" s="520" t="s">
        <v>202</v>
      </c>
      <c r="D288" s="500" t="s">
        <v>877</v>
      </c>
      <c r="E288" s="506"/>
      <c r="F288" s="384" t="s">
        <v>202</v>
      </c>
      <c r="G288" s="508">
        <v>40954</v>
      </c>
      <c r="H288" s="499" t="s">
        <v>59</v>
      </c>
      <c r="I288" s="509">
        <v>440</v>
      </c>
      <c r="J288" s="517">
        <v>1</v>
      </c>
      <c r="K288" s="517">
        <v>47</v>
      </c>
      <c r="L288" s="503">
        <v>950.4</v>
      </c>
      <c r="M288" s="504">
        <v>190</v>
      </c>
      <c r="N288" s="538">
        <f>21413320.22+14038209.72+8091830.8+5223667.88+2812594.76+1480814.82+955933.78+528159.45+298145.03+198476.43+95958.51+50635.81+22068.5+4796.5+151782.5+9632.5+16854+6694.5+16858+57365+45318+25582+8464+10246+8937+8346+20805.2+20058.4+18770.4+20853+14850+4158+1200+10100+2712+6532+1200+1782+2376+2376+2376+1782+8316.01+5227.2+4752+1782+950.4</f>
        <v>55733650.32</v>
      </c>
      <c r="O288" s="544">
        <f>2475453+1630117+937421+623418+343374+183619+118367+65562+39148+26637+13128+9069+3464+632+29285+1170+2819+1359+3038+11331+9013+4835+1364+2001+2177+1669+4153+4006+3753+4162+2969+832+300+2110+678+1336+300+356+475+475+475+356+1662+1045+950+356+190</f>
        <v>6570409</v>
      </c>
      <c r="P288" s="512">
        <f t="shared" si="9"/>
        <v>8.48252373938974</v>
      </c>
      <c r="Q288" s="513">
        <v>41467</v>
      </c>
    </row>
    <row r="289" spans="1:17" ht="11.25">
      <c r="A289" s="453">
        <v>288</v>
      </c>
      <c r="B289" s="497" t="s">
        <v>48</v>
      </c>
      <c r="C289" s="502" t="s">
        <v>202</v>
      </c>
      <c r="D289" s="490" t="s">
        <v>877</v>
      </c>
      <c r="E289" s="492"/>
      <c r="F289" s="341" t="s">
        <v>202</v>
      </c>
      <c r="G289" s="495">
        <v>40954</v>
      </c>
      <c r="H289" s="491" t="s">
        <v>59</v>
      </c>
      <c r="I289" s="506">
        <v>440</v>
      </c>
      <c r="J289" s="507">
        <v>1</v>
      </c>
      <c r="K289" s="507">
        <v>49</v>
      </c>
      <c r="L289" s="528">
        <v>950.4</v>
      </c>
      <c r="M289" s="532">
        <v>190</v>
      </c>
      <c r="N289" s="537">
        <f>21413320.22+14038209.72+8091830.8+5223667.88+2812594.76+1480814.82+955933.78+528159.45+298145.03+198476.43+95958.51+50635.81+22068.5+4796.5+151782.5+9632.5+16854+6694.5+16858+57365+45318+25582+8464+10246+8937+8346+20805.2+20058.4+18770.4+20853+14850+4158+1200+10100+2712+6532+1200+1782+2376+2376+2376+1782+8316.01+5227.2+4752+1782+950.4+3326.4+950.4</f>
        <v>55737927.12</v>
      </c>
      <c r="O289" s="543">
        <f>2475453+1630117+937421+623418+343374+183619+118367+65562+39148+26637+13128+9069+3464+632+29285+1170+2819+1359+3038+11331+9013+4835+1364+2001+2177+1669+4153+4006+3753+4162+2969+832+300+2110+678+1336+300+356+475+475+475+356+1662+1045+950+356+190+665+190</f>
        <v>6571264</v>
      </c>
      <c r="P289" s="515">
        <f t="shared" si="9"/>
        <v>8.482070895340684</v>
      </c>
      <c r="Q289" s="516">
        <v>41488</v>
      </c>
    </row>
    <row r="290" spans="1:17" ht="11.25">
      <c r="A290" s="453">
        <v>289</v>
      </c>
      <c r="B290" s="497"/>
      <c r="C290" s="518" t="s">
        <v>794</v>
      </c>
      <c r="D290" s="506" t="s">
        <v>71</v>
      </c>
      <c r="E290" s="500" t="s">
        <v>72</v>
      </c>
      <c r="F290" s="519" t="s">
        <v>795</v>
      </c>
      <c r="G290" s="526">
        <v>38009</v>
      </c>
      <c r="H290" s="499" t="s">
        <v>12</v>
      </c>
      <c r="I290" s="509">
        <v>35</v>
      </c>
      <c r="J290" s="509">
        <v>158</v>
      </c>
      <c r="K290" s="509">
        <v>1</v>
      </c>
      <c r="L290" s="554">
        <v>515461</v>
      </c>
      <c r="M290" s="555">
        <v>44226</v>
      </c>
      <c r="N290" s="438">
        <v>515461</v>
      </c>
      <c r="O290" s="439">
        <v>44226</v>
      </c>
      <c r="P290" s="515">
        <f t="shared" si="9"/>
        <v>11.655157599602044</v>
      </c>
      <c r="Q290" s="516">
        <v>41383</v>
      </c>
    </row>
    <row r="291" spans="1:17" ht="11.25">
      <c r="A291" s="453">
        <v>290</v>
      </c>
      <c r="B291" s="497"/>
      <c r="C291" s="518" t="s">
        <v>794</v>
      </c>
      <c r="D291" s="506" t="s">
        <v>71</v>
      </c>
      <c r="E291" s="500" t="s">
        <v>72</v>
      </c>
      <c r="F291" s="519" t="s">
        <v>795</v>
      </c>
      <c r="G291" s="526">
        <v>38009</v>
      </c>
      <c r="H291" s="499" t="s">
        <v>12</v>
      </c>
      <c r="I291" s="509">
        <v>35</v>
      </c>
      <c r="J291" s="509">
        <v>158</v>
      </c>
      <c r="K291" s="509">
        <v>2</v>
      </c>
      <c r="L291" s="531">
        <v>214934</v>
      </c>
      <c r="M291" s="534">
        <v>19148</v>
      </c>
      <c r="N291" s="550">
        <v>730395</v>
      </c>
      <c r="O291" s="552">
        <v>63374</v>
      </c>
      <c r="P291" s="512">
        <f t="shared" si="9"/>
        <v>11.525152270647268</v>
      </c>
      <c r="Q291" s="513">
        <v>41390</v>
      </c>
    </row>
    <row r="292" spans="1:17" ht="11.25">
      <c r="A292" s="453">
        <v>291</v>
      </c>
      <c r="B292" s="497"/>
      <c r="C292" s="518" t="s">
        <v>538</v>
      </c>
      <c r="D292" s="392" t="s">
        <v>70</v>
      </c>
      <c r="E292" s="490" t="s">
        <v>72</v>
      </c>
      <c r="F292" s="392" t="s">
        <v>537</v>
      </c>
      <c r="G292" s="495">
        <v>41250</v>
      </c>
      <c r="H292" s="499" t="s">
        <v>12</v>
      </c>
      <c r="I292" s="509">
        <v>68</v>
      </c>
      <c r="J292" s="509">
        <v>25</v>
      </c>
      <c r="K292" s="509">
        <v>5</v>
      </c>
      <c r="L292" s="554">
        <v>17349</v>
      </c>
      <c r="M292" s="555">
        <v>1877</v>
      </c>
      <c r="N292" s="550">
        <v>1317287</v>
      </c>
      <c r="O292" s="552">
        <v>114466</v>
      </c>
      <c r="P292" s="512">
        <f t="shared" si="9"/>
        <v>11.508107210874845</v>
      </c>
      <c r="Q292" s="513">
        <v>41278</v>
      </c>
    </row>
    <row r="293" spans="1:17" ht="11.25">
      <c r="A293" s="453">
        <v>292</v>
      </c>
      <c r="B293" s="497"/>
      <c r="C293" s="518" t="s">
        <v>538</v>
      </c>
      <c r="D293" s="392" t="s">
        <v>70</v>
      </c>
      <c r="E293" s="490" t="s">
        <v>72</v>
      </c>
      <c r="F293" s="392" t="s">
        <v>537</v>
      </c>
      <c r="G293" s="495">
        <v>41250</v>
      </c>
      <c r="H293" s="499" t="s">
        <v>12</v>
      </c>
      <c r="I293" s="509">
        <v>68</v>
      </c>
      <c r="J293" s="509">
        <v>10</v>
      </c>
      <c r="K293" s="509">
        <v>6</v>
      </c>
      <c r="L293" s="530">
        <v>8707</v>
      </c>
      <c r="M293" s="533">
        <v>1409</v>
      </c>
      <c r="N293" s="551">
        <v>1325994</v>
      </c>
      <c r="O293" s="553">
        <v>115875</v>
      </c>
      <c r="P293" s="512">
        <f t="shared" si="9"/>
        <v>11.443313915857605</v>
      </c>
      <c r="Q293" s="513">
        <v>41285</v>
      </c>
    </row>
    <row r="294" spans="1:17" ht="11.25">
      <c r="A294" s="453">
        <v>293</v>
      </c>
      <c r="B294" s="497"/>
      <c r="C294" s="518" t="s">
        <v>538</v>
      </c>
      <c r="D294" s="392" t="s">
        <v>70</v>
      </c>
      <c r="E294" s="490" t="s">
        <v>72</v>
      </c>
      <c r="F294" s="392" t="s">
        <v>537</v>
      </c>
      <c r="G294" s="495">
        <v>41250</v>
      </c>
      <c r="H294" s="499" t="s">
        <v>12</v>
      </c>
      <c r="I294" s="509">
        <v>68</v>
      </c>
      <c r="J294" s="509">
        <v>2</v>
      </c>
      <c r="K294" s="509">
        <v>7</v>
      </c>
      <c r="L294" s="554">
        <v>1920</v>
      </c>
      <c r="M294" s="555">
        <v>305</v>
      </c>
      <c r="N294" s="438">
        <v>1327914</v>
      </c>
      <c r="O294" s="439">
        <v>116180</v>
      </c>
      <c r="P294" s="512">
        <f t="shared" si="9"/>
        <v>11.429798588397315</v>
      </c>
      <c r="Q294" s="513">
        <v>41292</v>
      </c>
    </row>
    <row r="295" spans="1:17" ht="11.25">
      <c r="A295" s="453">
        <v>294</v>
      </c>
      <c r="B295" s="497"/>
      <c r="C295" s="518" t="s">
        <v>538</v>
      </c>
      <c r="D295" s="519" t="s">
        <v>70</v>
      </c>
      <c r="E295" s="500" t="s">
        <v>72</v>
      </c>
      <c r="F295" s="519" t="s">
        <v>537</v>
      </c>
      <c r="G295" s="508">
        <v>41250</v>
      </c>
      <c r="H295" s="499" t="s">
        <v>12</v>
      </c>
      <c r="I295" s="509">
        <v>68</v>
      </c>
      <c r="J295" s="517">
        <v>1</v>
      </c>
      <c r="K295" s="517">
        <v>18</v>
      </c>
      <c r="L295" s="531">
        <v>1197</v>
      </c>
      <c r="M295" s="534">
        <v>189</v>
      </c>
      <c r="N295" s="550">
        <v>1330846</v>
      </c>
      <c r="O295" s="552">
        <v>116640</v>
      </c>
      <c r="P295" s="512">
        <f t="shared" si="9"/>
        <v>11.40985939643347</v>
      </c>
      <c r="Q295" s="513">
        <v>41369</v>
      </c>
    </row>
    <row r="296" spans="1:17" ht="11.25">
      <c r="A296" s="453">
        <v>295</v>
      </c>
      <c r="B296" s="497"/>
      <c r="C296" s="518" t="s">
        <v>538</v>
      </c>
      <c r="D296" s="392" t="s">
        <v>70</v>
      </c>
      <c r="E296" s="490" t="s">
        <v>72</v>
      </c>
      <c r="F296" s="392" t="s">
        <v>537</v>
      </c>
      <c r="G296" s="495">
        <v>41250</v>
      </c>
      <c r="H296" s="499" t="s">
        <v>12</v>
      </c>
      <c r="I296" s="509">
        <v>68</v>
      </c>
      <c r="J296" s="509">
        <v>1</v>
      </c>
      <c r="K296" s="509">
        <v>8</v>
      </c>
      <c r="L296" s="531">
        <v>1057</v>
      </c>
      <c r="M296" s="534">
        <v>171</v>
      </c>
      <c r="N296" s="550">
        <v>1328971</v>
      </c>
      <c r="O296" s="552">
        <v>116351</v>
      </c>
      <c r="P296" s="512">
        <f t="shared" si="9"/>
        <v>11.422084898281923</v>
      </c>
      <c r="Q296" s="513">
        <v>41299</v>
      </c>
    </row>
    <row r="297" spans="1:17" ht="11.25">
      <c r="A297" s="453">
        <v>296</v>
      </c>
      <c r="B297" s="497"/>
      <c r="C297" s="518" t="s">
        <v>538</v>
      </c>
      <c r="D297" s="392" t="s">
        <v>70</v>
      </c>
      <c r="E297" s="490" t="s">
        <v>72</v>
      </c>
      <c r="F297" s="392" t="s">
        <v>537</v>
      </c>
      <c r="G297" s="495">
        <v>41250</v>
      </c>
      <c r="H297" s="499" t="s">
        <v>12</v>
      </c>
      <c r="I297" s="509">
        <v>68</v>
      </c>
      <c r="J297" s="506">
        <v>1</v>
      </c>
      <c r="K297" s="506">
        <v>9</v>
      </c>
      <c r="L297" s="554">
        <v>678</v>
      </c>
      <c r="M297" s="534">
        <v>100</v>
      </c>
      <c r="N297" s="438">
        <v>1329649</v>
      </c>
      <c r="O297" s="552">
        <v>116451</v>
      </c>
      <c r="P297" s="515">
        <f t="shared" si="9"/>
        <v>11.41809859941091</v>
      </c>
      <c r="Q297" s="516">
        <v>41306</v>
      </c>
    </row>
    <row r="298" spans="1:17" ht="11.25">
      <c r="A298" s="453">
        <v>297</v>
      </c>
      <c r="B298" s="498"/>
      <c r="C298" s="463" t="s">
        <v>503</v>
      </c>
      <c r="D298" s="496" t="s">
        <v>506</v>
      </c>
      <c r="E298" s="492" t="s">
        <v>240</v>
      </c>
      <c r="F298" s="496" t="s">
        <v>504</v>
      </c>
      <c r="G298" s="495">
        <v>41222</v>
      </c>
      <c r="H298" s="499" t="s">
        <v>8</v>
      </c>
      <c r="I298" s="556">
        <v>27</v>
      </c>
      <c r="J298" s="423">
        <v>3</v>
      </c>
      <c r="K298" s="423">
        <v>9</v>
      </c>
      <c r="L298" s="529">
        <v>2240</v>
      </c>
      <c r="M298" s="514">
        <v>255</v>
      </c>
      <c r="N298" s="535">
        <v>339164</v>
      </c>
      <c r="O298" s="542">
        <v>26722</v>
      </c>
      <c r="P298" s="512">
        <f t="shared" si="9"/>
        <v>12.692313449592097</v>
      </c>
      <c r="Q298" s="513">
        <v>41278</v>
      </c>
    </row>
    <row r="299" spans="1:17" ht="11.25">
      <c r="A299" s="453">
        <v>298</v>
      </c>
      <c r="B299" s="498"/>
      <c r="C299" s="463" t="s">
        <v>503</v>
      </c>
      <c r="D299" s="496" t="s">
        <v>506</v>
      </c>
      <c r="E299" s="492" t="s">
        <v>240</v>
      </c>
      <c r="F299" s="496" t="s">
        <v>504</v>
      </c>
      <c r="G299" s="495">
        <v>41222</v>
      </c>
      <c r="H299" s="499" t="s">
        <v>8</v>
      </c>
      <c r="I299" s="556">
        <v>27</v>
      </c>
      <c r="J299" s="423">
        <v>2</v>
      </c>
      <c r="K299" s="423">
        <v>10</v>
      </c>
      <c r="L299" s="529">
        <v>834</v>
      </c>
      <c r="M299" s="514">
        <v>99</v>
      </c>
      <c r="N299" s="541">
        <v>341188</v>
      </c>
      <c r="O299" s="547">
        <v>26902</v>
      </c>
      <c r="P299" s="512">
        <f t="shared" si="9"/>
        <v>12.682625827076054</v>
      </c>
      <c r="Q299" s="513">
        <v>41285</v>
      </c>
    </row>
    <row r="300" spans="1:17" ht="11.25">
      <c r="A300" s="453">
        <v>299</v>
      </c>
      <c r="B300" s="498"/>
      <c r="C300" s="463" t="s">
        <v>503</v>
      </c>
      <c r="D300" s="496" t="s">
        <v>506</v>
      </c>
      <c r="E300" s="492" t="s">
        <v>240</v>
      </c>
      <c r="F300" s="496" t="s">
        <v>504</v>
      </c>
      <c r="G300" s="495">
        <v>41222</v>
      </c>
      <c r="H300" s="499" t="s">
        <v>8</v>
      </c>
      <c r="I300" s="556">
        <v>27</v>
      </c>
      <c r="J300" s="423">
        <v>1</v>
      </c>
      <c r="K300" s="423">
        <v>11</v>
      </c>
      <c r="L300" s="510">
        <v>570</v>
      </c>
      <c r="M300" s="511">
        <v>95</v>
      </c>
      <c r="N300" s="535">
        <v>311987</v>
      </c>
      <c r="O300" s="542">
        <v>35416</v>
      </c>
      <c r="P300" s="512">
        <f t="shared" si="9"/>
        <v>8.80921052631579</v>
      </c>
      <c r="Q300" s="513">
        <v>41299</v>
      </c>
    </row>
    <row r="301" spans="1:17" ht="11.25">
      <c r="A301" s="453">
        <v>300</v>
      </c>
      <c r="B301" s="497"/>
      <c r="C301" s="549" t="s">
        <v>238</v>
      </c>
      <c r="D301" s="492"/>
      <c r="E301" s="343" t="s">
        <v>81</v>
      </c>
      <c r="F301" s="496" t="s">
        <v>239</v>
      </c>
      <c r="G301" s="493">
        <v>40025</v>
      </c>
      <c r="H301" s="499" t="s">
        <v>59</v>
      </c>
      <c r="I301" s="560">
        <v>10</v>
      </c>
      <c r="J301" s="506">
        <v>1</v>
      </c>
      <c r="K301" s="506">
        <v>13</v>
      </c>
      <c r="L301" s="529">
        <v>1780</v>
      </c>
      <c r="M301" s="511">
        <v>356</v>
      </c>
      <c r="N301" s="541">
        <f>6157+1979.5+2138+815+825+343+114+159+952+7125+7130+3565+1780</f>
        <v>33082.5</v>
      </c>
      <c r="O301" s="542">
        <f>452+147+247+163+165+40+19+36+238+1425+1426+713+356</f>
        <v>5427</v>
      </c>
      <c r="P301" s="515">
        <f t="shared" si="9"/>
        <v>6.095909342177999</v>
      </c>
      <c r="Q301" s="516">
        <v>41306</v>
      </c>
    </row>
    <row r="302" spans="1:17" ht="11.25">
      <c r="A302" s="453">
        <v>301</v>
      </c>
      <c r="B302" s="497"/>
      <c r="C302" s="549" t="s">
        <v>238</v>
      </c>
      <c r="D302" s="492"/>
      <c r="E302" s="343" t="s">
        <v>81</v>
      </c>
      <c r="F302" s="496" t="s">
        <v>239</v>
      </c>
      <c r="G302" s="526">
        <v>40025</v>
      </c>
      <c r="H302" s="499" t="s">
        <v>59</v>
      </c>
      <c r="I302" s="423">
        <v>10</v>
      </c>
      <c r="J302" s="506">
        <v>1</v>
      </c>
      <c r="K302" s="506">
        <v>14</v>
      </c>
      <c r="L302" s="658">
        <v>1780</v>
      </c>
      <c r="M302" s="659">
        <v>356</v>
      </c>
      <c r="N302" s="660">
        <f>6157+1979.5+2138+815+825+343+114+159+952+7125+7130+3565+1780+1780</f>
        <v>34862.5</v>
      </c>
      <c r="O302" s="661">
        <f>452+147+247+163+165+40+19+36+238+1425+1426+713+356+356</f>
        <v>5783</v>
      </c>
      <c r="P302" s="512">
        <f aca="true" t="shared" si="10" ref="P302:P328">N302/O302</f>
        <v>6.028445443541415</v>
      </c>
      <c r="Q302" s="513">
        <v>41320</v>
      </c>
    </row>
    <row r="303" spans="1:17" ht="11.25">
      <c r="A303" s="453">
        <v>302</v>
      </c>
      <c r="B303" s="497" t="s">
        <v>48</v>
      </c>
      <c r="C303" s="518" t="s">
        <v>60</v>
      </c>
      <c r="D303" s="519" t="s">
        <v>68</v>
      </c>
      <c r="E303" s="519"/>
      <c r="F303" s="519" t="s">
        <v>60</v>
      </c>
      <c r="G303" s="508">
        <v>40858</v>
      </c>
      <c r="H303" s="499" t="s">
        <v>59</v>
      </c>
      <c r="I303" s="509">
        <v>32</v>
      </c>
      <c r="J303" s="509">
        <v>1</v>
      </c>
      <c r="K303" s="509">
        <v>23</v>
      </c>
      <c r="L303" s="510">
        <v>1425.6</v>
      </c>
      <c r="M303" s="511">
        <v>285</v>
      </c>
      <c r="N303" s="535">
        <f>119417+74006.5+30939.5+15734+17682+7740+3814.5+5519+937+732+479+1782+1188+713+96+745+3801.5+1188+7128+5940+1425.6+2376+1425.6</f>
        <v>304809.19999999995</v>
      </c>
      <c r="O303" s="542">
        <f>12383+8559+4204+1986+2778+1301+707+782+165+115+82+325+238+143+32+132+760+238+1426+1188+285+475+285</f>
        <v>38589</v>
      </c>
      <c r="P303" s="512">
        <f t="shared" si="10"/>
        <v>7.898862370105469</v>
      </c>
      <c r="Q303" s="513">
        <v>41341</v>
      </c>
    </row>
    <row r="304" spans="1:17" ht="11.25">
      <c r="A304" s="453">
        <v>303</v>
      </c>
      <c r="B304" s="497" t="s">
        <v>48</v>
      </c>
      <c r="C304" s="548" t="s">
        <v>421</v>
      </c>
      <c r="D304" s="492" t="s">
        <v>422</v>
      </c>
      <c r="E304" s="492"/>
      <c r="F304" s="393" t="s">
        <v>421</v>
      </c>
      <c r="G304" s="526">
        <v>41159</v>
      </c>
      <c r="H304" s="499" t="s">
        <v>151</v>
      </c>
      <c r="I304" s="509">
        <v>15</v>
      </c>
      <c r="J304" s="509">
        <v>1</v>
      </c>
      <c r="K304" s="509">
        <v>10</v>
      </c>
      <c r="L304" s="669">
        <v>1186</v>
      </c>
      <c r="M304" s="603">
        <v>237</v>
      </c>
      <c r="N304" s="671">
        <v>66154.49</v>
      </c>
      <c r="O304" s="674">
        <v>7048</v>
      </c>
      <c r="P304" s="515">
        <f t="shared" si="10"/>
        <v>9.386278376844496</v>
      </c>
      <c r="Q304" s="516">
        <v>41313</v>
      </c>
    </row>
    <row r="305" spans="1:17" ht="11.25">
      <c r="A305" s="453">
        <v>304</v>
      </c>
      <c r="B305" s="497"/>
      <c r="C305" s="518" t="s">
        <v>166</v>
      </c>
      <c r="D305" s="519"/>
      <c r="E305" s="519" t="s">
        <v>69</v>
      </c>
      <c r="F305" s="519" t="s">
        <v>178</v>
      </c>
      <c r="G305" s="508">
        <v>40697</v>
      </c>
      <c r="H305" s="499" t="s">
        <v>59</v>
      </c>
      <c r="I305" s="509">
        <v>71</v>
      </c>
      <c r="J305" s="517">
        <v>1</v>
      </c>
      <c r="K305" s="517">
        <v>44</v>
      </c>
      <c r="L305" s="529">
        <v>2851.2</v>
      </c>
      <c r="M305" s="514">
        <v>570</v>
      </c>
      <c r="N305" s="541">
        <f>204018.5+92011.75+38624.5+27400+22817+12697.5+8373+8455.5+6781+2290+2830+1048+3163+3005+2166+6840+1490+14+6415.5+3721.5+7267.5+3007+701.5+608.5+3931+316+1244+768+1787+1197+7128+1188+3008+2446+1425.5+1425.5+1030.5+1425.5+7128+594+5940+1188+1188+2851.2</f>
        <v>512955.45</v>
      </c>
      <c r="O305" s="547">
        <f>20915+10991+4900+3855+3433+1986+1329+1415+1032+399+409+237+591+657+312+1653+293+7+1605+687+1458+678+106+95+900+62+202+109+514+390+1783+238+720+1164+285+285+199+285+1426+119+1188+238+238+570</f>
        <v>69958</v>
      </c>
      <c r="P305" s="515">
        <f t="shared" si="10"/>
        <v>7.332334400640384</v>
      </c>
      <c r="Q305" s="516">
        <v>41376</v>
      </c>
    </row>
    <row r="306" spans="1:17" ht="11.25">
      <c r="A306" s="453">
        <v>305</v>
      </c>
      <c r="B306" s="497"/>
      <c r="C306" s="518" t="s">
        <v>166</v>
      </c>
      <c r="D306" s="392"/>
      <c r="E306" s="392" t="s">
        <v>69</v>
      </c>
      <c r="F306" s="392" t="s">
        <v>178</v>
      </c>
      <c r="G306" s="495">
        <v>40697</v>
      </c>
      <c r="H306" s="499" t="s">
        <v>59</v>
      </c>
      <c r="I306" s="506">
        <v>71</v>
      </c>
      <c r="J306" s="509">
        <v>1</v>
      </c>
      <c r="K306" s="509">
        <v>42</v>
      </c>
      <c r="L306" s="529">
        <v>1188</v>
      </c>
      <c r="M306" s="514">
        <v>238</v>
      </c>
      <c r="N306" s="541">
        <f>204018.5+92011.75+38624.5+27400+22817+12697.5+8373+8455.5+6781+2290+2830+1048+3163+3005+2166+6840+1490+14+6415.5+3721.5+7267.5+3007+701.5+608.5+3931+316+1244+768+1787+1197+7128+1188+3008+2446+1425.5+1425.5+1030.5+1425.5+7128+594+5940+1188</f>
        <v>508916.25</v>
      </c>
      <c r="O306" s="547">
        <f>20915+10991+4900+3855+3433+1986+1329+1415+1032+399+409+237+591+657+312+1653+293+7+1605+687+1458+678+106+95+900+62+202+109+514+390+1783+238+720+1164+285+285+199+285+1426+119+1188+238</f>
        <v>69150</v>
      </c>
      <c r="P306" s="512">
        <f t="shared" si="10"/>
        <v>7.359598698481562</v>
      </c>
      <c r="Q306" s="513">
        <v>41285</v>
      </c>
    </row>
    <row r="307" spans="1:17" ht="11.25">
      <c r="A307" s="453">
        <v>306</v>
      </c>
      <c r="B307" s="497"/>
      <c r="C307" s="518" t="s">
        <v>166</v>
      </c>
      <c r="D307" s="392"/>
      <c r="E307" s="392" t="s">
        <v>69</v>
      </c>
      <c r="F307" s="392" t="s">
        <v>178</v>
      </c>
      <c r="G307" s="495">
        <v>40697</v>
      </c>
      <c r="H307" s="499" t="s">
        <v>59</v>
      </c>
      <c r="I307" s="506">
        <v>71</v>
      </c>
      <c r="J307" s="506">
        <v>1</v>
      </c>
      <c r="K307" s="506">
        <v>43</v>
      </c>
      <c r="L307" s="529">
        <v>1188</v>
      </c>
      <c r="M307" s="511">
        <v>238</v>
      </c>
      <c r="N307" s="541">
        <f>204018.5+92011.75+38624.5+27400+22817+12697.5+8373+8455.5+6781+2290+2830+1048+3163+3005+2166+6840+1490+14+6415.5+3721.5+7267.5+3007+701.5+608.5+3931+316+1244+768+1787+1197+7128+1188+3008+2446+1425.5+1425.5+1030.5+1425.5+7128+594+5940+1188+1188</f>
        <v>510104.25</v>
      </c>
      <c r="O307" s="542">
        <f>20915+10991+4900+3855+3433+1986+1329+1415+1032+399+409+237+591+657+312+1653+293+7+1605+687+1458+678+106+95+900+62+202+109+514+390+1783+238+720+1164+285+285+199+285+1426+119+1188+238+238</f>
        <v>69388</v>
      </c>
      <c r="P307" s="515">
        <f t="shared" si="10"/>
        <v>7.3514764800830115</v>
      </c>
      <c r="Q307" s="516">
        <v>41306</v>
      </c>
    </row>
    <row r="308" spans="1:17" ht="11.25">
      <c r="A308" s="453">
        <v>307</v>
      </c>
      <c r="B308" s="497"/>
      <c r="C308" s="518" t="s">
        <v>170</v>
      </c>
      <c r="D308" s="519" t="s">
        <v>381</v>
      </c>
      <c r="E308" s="519" t="s">
        <v>69</v>
      </c>
      <c r="F308" s="519" t="s">
        <v>173</v>
      </c>
      <c r="G308" s="508">
        <v>39878</v>
      </c>
      <c r="H308" s="499" t="s">
        <v>59</v>
      </c>
      <c r="I308" s="509">
        <v>39</v>
      </c>
      <c r="J308" s="517">
        <v>1</v>
      </c>
      <c r="K308" s="517">
        <v>46</v>
      </c>
      <c r="L308" s="529">
        <v>3325</v>
      </c>
      <c r="M308" s="514">
        <v>665</v>
      </c>
      <c r="N308" s="541">
        <f>143992.5+82756.5+42509+41229+27290.5+16668+27602+17675+4710+8504.5+2403+4164+2272+3469+1997+135+299+674+178+30+240+1413+1006+209+393+680+1780+4040+1780+1780+952+745+2376+2376+2376+4752+2376+708+2852+1780+8550+2850+2850+2850+7125+3325</f>
        <v>490722</v>
      </c>
      <c r="O308" s="547">
        <f>15320+9228+5096+5970+4485+3115+5134+3946+1139+2307+509+879+411+637+472+29+62+165+32+6+48+348+139+43+54+68+445+1010+445+445+238+149+594+594+594+1188+594+164+713+356+1710+570+570+570+1425+665</f>
        <v>72681</v>
      </c>
      <c r="P308" s="515">
        <f t="shared" si="10"/>
        <v>6.751723283939406</v>
      </c>
      <c r="Q308" s="516">
        <v>41355</v>
      </c>
    </row>
    <row r="309" spans="1:17" ht="11.25">
      <c r="A309" s="453">
        <v>308</v>
      </c>
      <c r="B309" s="497"/>
      <c r="C309" s="518" t="s">
        <v>170</v>
      </c>
      <c r="D309" s="519" t="s">
        <v>381</v>
      </c>
      <c r="E309" s="519" t="s">
        <v>69</v>
      </c>
      <c r="F309" s="519" t="s">
        <v>173</v>
      </c>
      <c r="G309" s="508">
        <v>39878</v>
      </c>
      <c r="H309" s="499" t="s">
        <v>59</v>
      </c>
      <c r="I309" s="509">
        <v>39</v>
      </c>
      <c r="J309" s="517">
        <v>1</v>
      </c>
      <c r="K309" s="517">
        <v>47</v>
      </c>
      <c r="L309" s="529">
        <v>3325</v>
      </c>
      <c r="M309" s="514">
        <v>665</v>
      </c>
      <c r="N309" s="541">
        <f>143992.5+82756.5+42509+41229+27290.5+16668+27602+17675+4710+8504.5+2403+4164+2272+3469+1997+135+299+674+178+30+240+1413+1006+209+393+680+1780+4040+1780+1780+952+745+2376+2376+2376+4752+2376+708+2852+1780+8550+2850+2850+2850+7125+3325+3325</f>
        <v>494047</v>
      </c>
      <c r="O309" s="547">
        <f>15320+9228+5096+5970+4485+3115+5134+3946+1139+2307+509+879+411+637+472+29+62+165+32+6+48+348+139+43+54+68+445+1010+445+445+238+149+594+594+594+1188+594+164+713+356+1710+570+570+570+1425+665+665</f>
        <v>73346</v>
      </c>
      <c r="P309" s="515">
        <f t="shared" si="10"/>
        <v>6.735841081994928</v>
      </c>
      <c r="Q309" s="516">
        <v>41376</v>
      </c>
    </row>
    <row r="310" spans="1:17" ht="11.25">
      <c r="A310" s="453">
        <v>309</v>
      </c>
      <c r="B310" s="497"/>
      <c r="C310" s="518" t="s">
        <v>170</v>
      </c>
      <c r="D310" s="519" t="s">
        <v>381</v>
      </c>
      <c r="E310" s="519" t="s">
        <v>69</v>
      </c>
      <c r="F310" s="519" t="s">
        <v>173</v>
      </c>
      <c r="G310" s="508">
        <v>39878</v>
      </c>
      <c r="H310" s="499" t="s">
        <v>59</v>
      </c>
      <c r="I310" s="509">
        <v>39</v>
      </c>
      <c r="J310" s="517">
        <v>1</v>
      </c>
      <c r="K310" s="517">
        <v>48</v>
      </c>
      <c r="L310" s="510">
        <v>3325</v>
      </c>
      <c r="M310" s="511">
        <v>665</v>
      </c>
      <c r="N310" s="535">
        <f>143992.5+82756.5+42509+41229+27290.5+16668+27602+17675+4710+8504.5+2403+4164+2272+3469+1997+135+299+674+178+30+240+1413+1006+209+393+680+1780+4040+1780+1780+952+745+2376+2376+2376+4752+2376+708+2852+1780+8550+2850+2850+2850+7125+3325+3325+3325</f>
        <v>497372</v>
      </c>
      <c r="O310" s="542">
        <f>15320+9228+5096+5970+4485+3115+5134+3946+1139+2307+509+879+411+637+472+29+62+165+32+6+48+348+139+43+54+68+445+1010+445+445+238+149+594+594+594+1188+594+164+713+356+1710+570+570+570+1425+665+665+665</f>
        <v>74011</v>
      </c>
      <c r="P310" s="512">
        <f t="shared" si="10"/>
        <v>6.720244288011242</v>
      </c>
      <c r="Q310" s="513">
        <v>41390</v>
      </c>
    </row>
    <row r="311" spans="1:17" ht="11.25">
      <c r="A311" s="453">
        <v>310</v>
      </c>
      <c r="B311" s="498" t="s">
        <v>48</v>
      </c>
      <c r="C311" s="549" t="s">
        <v>534</v>
      </c>
      <c r="D311" s="496" t="s">
        <v>535</v>
      </c>
      <c r="E311" s="492" t="s">
        <v>8</v>
      </c>
      <c r="F311" s="496" t="s">
        <v>534</v>
      </c>
      <c r="G311" s="495">
        <v>41243</v>
      </c>
      <c r="H311" s="499" t="s">
        <v>8</v>
      </c>
      <c r="I311" s="556">
        <v>63</v>
      </c>
      <c r="J311" s="423">
        <v>10</v>
      </c>
      <c r="K311" s="423">
        <v>6</v>
      </c>
      <c r="L311" s="529">
        <v>5257</v>
      </c>
      <c r="M311" s="514">
        <v>784</v>
      </c>
      <c r="N311" s="535">
        <v>309237</v>
      </c>
      <c r="O311" s="542">
        <v>35004</v>
      </c>
      <c r="P311" s="512">
        <f t="shared" si="10"/>
        <v>8.834333219060678</v>
      </c>
      <c r="Q311" s="513">
        <v>41278</v>
      </c>
    </row>
    <row r="312" spans="1:17" ht="11.25">
      <c r="A312" s="453">
        <v>311</v>
      </c>
      <c r="B312" s="498" t="s">
        <v>48</v>
      </c>
      <c r="C312" s="549" t="s">
        <v>534</v>
      </c>
      <c r="D312" s="496" t="s">
        <v>535</v>
      </c>
      <c r="E312" s="492" t="s">
        <v>8</v>
      </c>
      <c r="F312" s="496" t="s">
        <v>534</v>
      </c>
      <c r="G312" s="495">
        <v>41243</v>
      </c>
      <c r="H312" s="499" t="s">
        <v>8</v>
      </c>
      <c r="I312" s="556">
        <v>63</v>
      </c>
      <c r="J312" s="423">
        <v>3</v>
      </c>
      <c r="K312" s="423">
        <v>7</v>
      </c>
      <c r="L312" s="529">
        <v>2180</v>
      </c>
      <c r="M312" s="514">
        <v>317</v>
      </c>
      <c r="N312" s="541">
        <v>311417</v>
      </c>
      <c r="O312" s="547">
        <v>35321</v>
      </c>
      <c r="P312" s="512">
        <f t="shared" si="10"/>
        <v>8.816766229721695</v>
      </c>
      <c r="Q312" s="513">
        <v>41285</v>
      </c>
    </row>
    <row r="313" spans="1:17" ht="11.25">
      <c r="A313" s="453">
        <v>312</v>
      </c>
      <c r="B313" s="498" t="s">
        <v>48</v>
      </c>
      <c r="C313" s="549" t="s">
        <v>534</v>
      </c>
      <c r="D313" s="496" t="s">
        <v>535</v>
      </c>
      <c r="E313" s="492" t="s">
        <v>8</v>
      </c>
      <c r="F313" s="496" t="s">
        <v>534</v>
      </c>
      <c r="G313" s="495">
        <v>41243</v>
      </c>
      <c r="H313" s="499" t="s">
        <v>8</v>
      </c>
      <c r="I313" s="556">
        <v>63</v>
      </c>
      <c r="J313" s="423">
        <v>1</v>
      </c>
      <c r="K313" s="423">
        <v>8</v>
      </c>
      <c r="L313" s="529">
        <v>570</v>
      </c>
      <c r="M313" s="514">
        <v>95</v>
      </c>
      <c r="N313" s="541">
        <v>311987</v>
      </c>
      <c r="O313" s="547">
        <v>35416</v>
      </c>
      <c r="P313" s="512">
        <f t="shared" si="10"/>
        <v>8.80921052631579</v>
      </c>
      <c r="Q313" s="513">
        <v>41292</v>
      </c>
    </row>
    <row r="314" spans="1:17" ht="11.25">
      <c r="A314" s="453">
        <v>313</v>
      </c>
      <c r="B314" s="498" t="s">
        <v>48</v>
      </c>
      <c r="C314" s="549" t="s">
        <v>534</v>
      </c>
      <c r="D314" s="560" t="s">
        <v>535</v>
      </c>
      <c r="E314" s="506" t="s">
        <v>8</v>
      </c>
      <c r="F314" s="560" t="s">
        <v>534</v>
      </c>
      <c r="G314" s="508">
        <v>41243</v>
      </c>
      <c r="H314" s="499" t="s">
        <v>8</v>
      </c>
      <c r="I314" s="556">
        <v>63</v>
      </c>
      <c r="J314" s="423">
        <v>2</v>
      </c>
      <c r="K314" s="423">
        <v>12</v>
      </c>
      <c r="L314" s="658">
        <v>447</v>
      </c>
      <c r="M314" s="659">
        <v>83</v>
      </c>
      <c r="N314" s="660">
        <v>313717</v>
      </c>
      <c r="O314" s="661">
        <v>35710</v>
      </c>
      <c r="P314" s="512">
        <f t="shared" si="10"/>
        <v>8.785130215625875</v>
      </c>
      <c r="Q314" s="513">
        <v>41390</v>
      </c>
    </row>
    <row r="315" spans="1:17" ht="11.25">
      <c r="A315" s="453">
        <v>314</v>
      </c>
      <c r="B315" s="498" t="s">
        <v>48</v>
      </c>
      <c r="C315" s="549" t="s">
        <v>534</v>
      </c>
      <c r="D315" s="496" t="s">
        <v>535</v>
      </c>
      <c r="E315" s="492" t="s">
        <v>8</v>
      </c>
      <c r="F315" s="496" t="s">
        <v>534</v>
      </c>
      <c r="G315" s="495">
        <v>41243</v>
      </c>
      <c r="H315" s="499" t="s">
        <v>8</v>
      </c>
      <c r="I315" s="556">
        <v>63</v>
      </c>
      <c r="J315" s="423">
        <v>1</v>
      </c>
      <c r="K315" s="423">
        <v>9</v>
      </c>
      <c r="L315" s="510">
        <v>388</v>
      </c>
      <c r="M315" s="511">
        <v>61</v>
      </c>
      <c r="N315" s="535">
        <v>312375</v>
      </c>
      <c r="O315" s="542">
        <v>35477</v>
      </c>
      <c r="P315" s="512">
        <f t="shared" si="10"/>
        <v>8.805000422809144</v>
      </c>
      <c r="Q315" s="513">
        <v>41299</v>
      </c>
    </row>
    <row r="316" spans="1:17" ht="11.25">
      <c r="A316" s="453">
        <v>315</v>
      </c>
      <c r="B316" s="498" t="s">
        <v>48</v>
      </c>
      <c r="C316" s="549" t="s">
        <v>534</v>
      </c>
      <c r="D316" s="560" t="s">
        <v>535</v>
      </c>
      <c r="E316" s="506" t="s">
        <v>8</v>
      </c>
      <c r="F316" s="560" t="s">
        <v>534</v>
      </c>
      <c r="G316" s="508">
        <v>41243</v>
      </c>
      <c r="H316" s="499" t="s">
        <v>8</v>
      </c>
      <c r="I316" s="556">
        <v>63</v>
      </c>
      <c r="J316" s="423">
        <v>1</v>
      </c>
      <c r="K316" s="423">
        <v>10</v>
      </c>
      <c r="L316" s="658">
        <v>264</v>
      </c>
      <c r="M316" s="659">
        <v>44</v>
      </c>
      <c r="N316" s="660">
        <v>312639</v>
      </c>
      <c r="O316" s="661">
        <v>35521</v>
      </c>
      <c r="P316" s="512">
        <f t="shared" si="10"/>
        <v>8.801525857943188</v>
      </c>
      <c r="Q316" s="513">
        <v>41369</v>
      </c>
    </row>
    <row r="317" spans="1:17" ht="11.25">
      <c r="A317" s="453">
        <v>316</v>
      </c>
      <c r="B317" s="498" t="s">
        <v>48</v>
      </c>
      <c r="C317" s="549" t="s">
        <v>534</v>
      </c>
      <c r="D317" s="560" t="s">
        <v>535</v>
      </c>
      <c r="E317" s="506" t="s">
        <v>8</v>
      </c>
      <c r="F317" s="560" t="s">
        <v>534</v>
      </c>
      <c r="G317" s="508">
        <v>41243</v>
      </c>
      <c r="H317" s="499" t="s">
        <v>8</v>
      </c>
      <c r="I317" s="556">
        <v>63</v>
      </c>
      <c r="J317" s="423">
        <v>1</v>
      </c>
      <c r="K317" s="423">
        <v>11</v>
      </c>
      <c r="L317" s="558">
        <v>184</v>
      </c>
      <c r="M317" s="559">
        <v>23</v>
      </c>
      <c r="N317" s="440">
        <v>313007</v>
      </c>
      <c r="O317" s="441">
        <v>35567</v>
      </c>
      <c r="P317" s="515">
        <f t="shared" si="10"/>
        <v>8.800489217533107</v>
      </c>
      <c r="Q317" s="516">
        <v>41383</v>
      </c>
    </row>
    <row r="318" spans="1:17" ht="11.25">
      <c r="A318" s="453">
        <v>317</v>
      </c>
      <c r="B318" s="498" t="s">
        <v>48</v>
      </c>
      <c r="C318" s="549" t="s">
        <v>534</v>
      </c>
      <c r="D318" s="560" t="s">
        <v>535</v>
      </c>
      <c r="E318" s="506" t="s">
        <v>8</v>
      </c>
      <c r="F318" s="560" t="s">
        <v>534</v>
      </c>
      <c r="G318" s="508">
        <v>41243</v>
      </c>
      <c r="H318" s="499" t="s">
        <v>8</v>
      </c>
      <c r="I318" s="527">
        <v>63</v>
      </c>
      <c r="J318" s="560">
        <v>1</v>
      </c>
      <c r="K318" s="560">
        <v>14</v>
      </c>
      <c r="L318" s="510">
        <v>117</v>
      </c>
      <c r="M318" s="514">
        <v>23</v>
      </c>
      <c r="N318" s="535">
        <v>313504</v>
      </c>
      <c r="O318" s="547">
        <v>35673</v>
      </c>
      <c r="P318" s="515">
        <f t="shared" si="10"/>
        <v>8.788271241555238</v>
      </c>
      <c r="Q318" s="516">
        <v>41397</v>
      </c>
    </row>
    <row r="319" spans="1:17" ht="11.25">
      <c r="A319" s="453">
        <v>318</v>
      </c>
      <c r="B319" s="497" t="s">
        <v>48</v>
      </c>
      <c r="C319" s="518" t="s">
        <v>510</v>
      </c>
      <c r="D319" s="506" t="s">
        <v>515</v>
      </c>
      <c r="E319" s="500"/>
      <c r="F319" s="525" t="s">
        <v>510</v>
      </c>
      <c r="G319" s="526">
        <v>41229</v>
      </c>
      <c r="H319" s="499" t="s">
        <v>59</v>
      </c>
      <c r="I319" s="509">
        <v>15</v>
      </c>
      <c r="J319" s="509">
        <v>1</v>
      </c>
      <c r="K319" s="509">
        <v>11</v>
      </c>
      <c r="L319" s="648">
        <v>3921</v>
      </c>
      <c r="M319" s="649">
        <v>784</v>
      </c>
      <c r="N319" s="539">
        <f>44930.37+27438.82+9899+10198.42+8260+5467.1+1611+301+147+1782+3921</f>
        <v>113955.71</v>
      </c>
      <c r="O319" s="545">
        <f>4096+2682+1004+1480+1541+903+253+39+19+356+784</f>
        <v>13157</v>
      </c>
      <c r="P319" s="512">
        <f t="shared" si="10"/>
        <v>8.661222923158775</v>
      </c>
      <c r="Q319" s="513">
        <v>41348</v>
      </c>
    </row>
    <row r="320" spans="1:17" ht="11.25">
      <c r="A320" s="453">
        <v>319</v>
      </c>
      <c r="B320" s="497" t="s">
        <v>48</v>
      </c>
      <c r="C320" s="518" t="s">
        <v>510</v>
      </c>
      <c r="D320" s="506" t="s">
        <v>515</v>
      </c>
      <c r="E320" s="500"/>
      <c r="F320" s="525" t="s">
        <v>510</v>
      </c>
      <c r="G320" s="526">
        <v>41229</v>
      </c>
      <c r="H320" s="499" t="s">
        <v>59</v>
      </c>
      <c r="I320" s="506">
        <v>15</v>
      </c>
      <c r="J320" s="507">
        <v>2</v>
      </c>
      <c r="K320" s="507">
        <v>12</v>
      </c>
      <c r="L320" s="510">
        <v>3564</v>
      </c>
      <c r="M320" s="514">
        <v>713</v>
      </c>
      <c r="N320" s="535">
        <f>44930.37+27438.82+9899+10198.42+8260+5467.1+1611+301+147+1782+3921+3564</f>
        <v>117519.71</v>
      </c>
      <c r="O320" s="547">
        <f>4096+2682+1004+1480+1541+903+253+39+19+356+784+713</f>
        <v>13870</v>
      </c>
      <c r="P320" s="515">
        <f t="shared" si="10"/>
        <v>8.47294232155732</v>
      </c>
      <c r="Q320" s="516">
        <v>41397</v>
      </c>
    </row>
    <row r="321" spans="1:17" ht="11.25">
      <c r="A321" s="453">
        <v>320</v>
      </c>
      <c r="B321" s="497" t="s">
        <v>48</v>
      </c>
      <c r="C321" s="518" t="s">
        <v>510</v>
      </c>
      <c r="D321" s="506" t="s">
        <v>515</v>
      </c>
      <c r="E321" s="500"/>
      <c r="F321" s="525" t="s">
        <v>510</v>
      </c>
      <c r="G321" s="526">
        <v>41229</v>
      </c>
      <c r="H321" s="499" t="s">
        <v>59</v>
      </c>
      <c r="I321" s="509">
        <v>15</v>
      </c>
      <c r="J321" s="517">
        <v>1</v>
      </c>
      <c r="K321" s="517">
        <v>13</v>
      </c>
      <c r="L321" s="510">
        <v>2376</v>
      </c>
      <c r="M321" s="511">
        <v>475</v>
      </c>
      <c r="N321" s="535">
        <f>44930.37+27438.82+9899+10198.42+8260+5467.1+1611+301+147+1782+3921+3564+2376</f>
        <v>119895.71</v>
      </c>
      <c r="O321" s="542">
        <f>4096+2682+1004+1480+1541+903+253+39+19+356+784+713+475</f>
        <v>14345</v>
      </c>
      <c r="P321" s="512">
        <f t="shared" si="10"/>
        <v>8.358013942140119</v>
      </c>
      <c r="Q321" s="513">
        <v>41404</v>
      </c>
    </row>
    <row r="322" spans="1:17" ht="11.25">
      <c r="A322" s="453">
        <v>321</v>
      </c>
      <c r="B322" s="497" t="s">
        <v>48</v>
      </c>
      <c r="C322" s="518" t="s">
        <v>510</v>
      </c>
      <c r="D322" s="506" t="s">
        <v>515</v>
      </c>
      <c r="E322" s="500"/>
      <c r="F322" s="525" t="s">
        <v>510</v>
      </c>
      <c r="G322" s="526">
        <v>41229</v>
      </c>
      <c r="H322" s="499" t="s">
        <v>59</v>
      </c>
      <c r="I322" s="509">
        <v>15</v>
      </c>
      <c r="J322" s="517">
        <v>1</v>
      </c>
      <c r="K322" s="517">
        <v>14</v>
      </c>
      <c r="L322" s="510">
        <v>2376</v>
      </c>
      <c r="M322" s="511">
        <v>476</v>
      </c>
      <c r="N322" s="535">
        <f>44930.37+27438.82+9899+10198.42+8260+5467.1+1611+301+147+1782+3921+3564+2376+2376</f>
        <v>122271.71</v>
      </c>
      <c r="O322" s="542">
        <f>4096+2682+1004+1480+1541+903+253+39+19+356+784+713+475+476</f>
        <v>14821</v>
      </c>
      <c r="P322" s="512">
        <f t="shared" si="10"/>
        <v>8.249896093381015</v>
      </c>
      <c r="Q322" s="513">
        <v>41411</v>
      </c>
    </row>
    <row r="323" spans="1:17" ht="11.25">
      <c r="A323" s="453">
        <v>322</v>
      </c>
      <c r="B323" s="497" t="s">
        <v>48</v>
      </c>
      <c r="C323" s="518" t="s">
        <v>510</v>
      </c>
      <c r="D323" s="506" t="s">
        <v>515</v>
      </c>
      <c r="E323" s="500"/>
      <c r="F323" s="525" t="s">
        <v>510</v>
      </c>
      <c r="G323" s="526">
        <v>41229</v>
      </c>
      <c r="H323" s="499" t="s">
        <v>59</v>
      </c>
      <c r="I323" s="509">
        <v>15</v>
      </c>
      <c r="J323" s="507">
        <v>1</v>
      </c>
      <c r="K323" s="507">
        <v>15</v>
      </c>
      <c r="L323" s="529">
        <v>2376</v>
      </c>
      <c r="M323" s="514">
        <v>475</v>
      </c>
      <c r="N323" s="541">
        <f>44930.37+27438.82+9899+10198.42+8260+5467.1+1611+301+147+1782+3921+3564+2376+2376+2376</f>
        <v>124647.71</v>
      </c>
      <c r="O323" s="547">
        <f>4096+2682+1004+1480+1541+903+253+39+19+356+784+713+475+476+475</f>
        <v>15296</v>
      </c>
      <c r="P323" s="515">
        <f t="shared" si="10"/>
        <v>8.149039618200836</v>
      </c>
      <c r="Q323" s="516">
        <v>41418</v>
      </c>
    </row>
    <row r="324" spans="1:17" ht="11.25">
      <c r="A324" s="453">
        <v>323</v>
      </c>
      <c r="B324" s="497" t="s">
        <v>48</v>
      </c>
      <c r="C324" s="518" t="s">
        <v>510</v>
      </c>
      <c r="D324" s="506" t="s">
        <v>515</v>
      </c>
      <c r="E324" s="500"/>
      <c r="F324" s="525" t="s">
        <v>510</v>
      </c>
      <c r="G324" s="526">
        <v>41229</v>
      </c>
      <c r="H324" s="499" t="s">
        <v>59</v>
      </c>
      <c r="I324" s="509">
        <v>15</v>
      </c>
      <c r="J324" s="509">
        <v>1</v>
      </c>
      <c r="K324" s="509">
        <v>10</v>
      </c>
      <c r="L324" s="510">
        <v>1782</v>
      </c>
      <c r="M324" s="511">
        <v>356</v>
      </c>
      <c r="N324" s="535">
        <f>44930.37+27438.82+9899+10198.42+8260+5467.1+1611+301+147+1782</f>
        <v>110034.71</v>
      </c>
      <c r="O324" s="542">
        <f>4096+2682+1004+1480+1541+903+253+39+19+356</f>
        <v>12373</v>
      </c>
      <c r="P324" s="512">
        <f t="shared" si="10"/>
        <v>8.893131011072498</v>
      </c>
      <c r="Q324" s="513">
        <v>41341</v>
      </c>
    </row>
    <row r="325" spans="1:17" ht="11.25">
      <c r="A325" s="453">
        <v>324</v>
      </c>
      <c r="B325" s="497" t="s">
        <v>48</v>
      </c>
      <c r="C325" s="501" t="s">
        <v>510</v>
      </c>
      <c r="D325" s="492" t="s">
        <v>515</v>
      </c>
      <c r="E325" s="490"/>
      <c r="F325" s="494" t="s">
        <v>510</v>
      </c>
      <c r="G325" s="493">
        <v>41229</v>
      </c>
      <c r="H325" s="491" t="s">
        <v>59</v>
      </c>
      <c r="I325" s="506">
        <v>15</v>
      </c>
      <c r="J325" s="517">
        <v>1</v>
      </c>
      <c r="K325" s="517">
        <v>20</v>
      </c>
      <c r="L325" s="503">
        <v>1544.4</v>
      </c>
      <c r="M325" s="504">
        <v>309</v>
      </c>
      <c r="N325" s="503">
        <f>44930.37+27438.82+9899+10198.42+8260+5467.1+1611+301+147+1782+3921+3564+2376+2376+2376+316.5+527.5+1188+415+1544.4</f>
        <v>128639.11</v>
      </c>
      <c r="O325" s="504">
        <f>4096+2682+1004+1480+1541+903+253+39+19+356+784+713+475+476+475+48+80+238+43+309</f>
        <v>16014</v>
      </c>
      <c r="P325" s="512">
        <f t="shared" si="10"/>
        <v>8.032915573872861</v>
      </c>
      <c r="Q325" s="513">
        <v>41509</v>
      </c>
    </row>
    <row r="326" spans="1:17" ht="11.25">
      <c r="A326" s="453">
        <v>325</v>
      </c>
      <c r="B326" s="497" t="s">
        <v>48</v>
      </c>
      <c r="C326" s="518" t="s">
        <v>510</v>
      </c>
      <c r="D326" s="506" t="s">
        <v>515</v>
      </c>
      <c r="E326" s="500"/>
      <c r="F326" s="525" t="s">
        <v>510</v>
      </c>
      <c r="G326" s="526">
        <v>41229</v>
      </c>
      <c r="H326" s="499" t="s">
        <v>59</v>
      </c>
      <c r="I326" s="509">
        <v>15</v>
      </c>
      <c r="J326" s="517">
        <v>1</v>
      </c>
      <c r="K326" s="517">
        <v>18</v>
      </c>
      <c r="L326" s="503">
        <v>1188</v>
      </c>
      <c r="M326" s="504">
        <v>238</v>
      </c>
      <c r="N326" s="538">
        <f>44930.37+27438.82+9899+10198.42+8260+5467.1+1611+301+147+1782+3921+3564+2376+2376+2376+316.5+527.5+1188</f>
        <v>126679.71</v>
      </c>
      <c r="O326" s="544">
        <f>4096+2682+1004+1480+1541+903+253+39+19+356+784+713+475+476+475+48+80+238</f>
        <v>15662</v>
      </c>
      <c r="P326" s="512">
        <f t="shared" si="10"/>
        <v>8.088348231388073</v>
      </c>
      <c r="Q326" s="513">
        <v>41460</v>
      </c>
    </row>
    <row r="327" spans="1:17" ht="11.25">
      <c r="A327" s="453">
        <v>326</v>
      </c>
      <c r="B327" s="497" t="s">
        <v>48</v>
      </c>
      <c r="C327" s="518" t="s">
        <v>510</v>
      </c>
      <c r="D327" s="506" t="s">
        <v>515</v>
      </c>
      <c r="E327" s="500"/>
      <c r="F327" s="525" t="s">
        <v>510</v>
      </c>
      <c r="G327" s="526">
        <v>41229</v>
      </c>
      <c r="H327" s="499" t="s">
        <v>59</v>
      </c>
      <c r="I327" s="509">
        <v>15</v>
      </c>
      <c r="J327" s="517">
        <v>1</v>
      </c>
      <c r="K327" s="517">
        <v>17</v>
      </c>
      <c r="L327" s="503">
        <v>527.5</v>
      </c>
      <c r="M327" s="504">
        <v>80</v>
      </c>
      <c r="N327" s="538">
        <f>44930.37+27438.82+9899+10198.42+8260+5467.1+1611+301+147+1782+3921+3564+2376+2376+2376+316.5+527.5</f>
        <v>125491.71</v>
      </c>
      <c r="O327" s="544">
        <f>4096+2682+1004+1480+1541+903+253+39+19+356+784+713+475+476+475+48+80</f>
        <v>15424</v>
      </c>
      <c r="P327" s="512">
        <f t="shared" si="10"/>
        <v>8.136132650414938</v>
      </c>
      <c r="Q327" s="513">
        <v>41432</v>
      </c>
    </row>
    <row r="328" spans="1:17" ht="11.25">
      <c r="A328" s="453">
        <v>327</v>
      </c>
      <c r="B328" s="402" t="s">
        <v>48</v>
      </c>
      <c r="C328" s="501" t="s">
        <v>510</v>
      </c>
      <c r="D328" s="492" t="s">
        <v>515</v>
      </c>
      <c r="E328" s="490"/>
      <c r="F328" s="494" t="s">
        <v>510</v>
      </c>
      <c r="G328" s="493">
        <v>41229</v>
      </c>
      <c r="H328" s="491" t="s">
        <v>59</v>
      </c>
      <c r="I328" s="506">
        <v>15</v>
      </c>
      <c r="J328" s="517">
        <v>1</v>
      </c>
      <c r="K328" s="517">
        <v>19</v>
      </c>
      <c r="L328" s="528">
        <v>415</v>
      </c>
      <c r="M328" s="532">
        <v>43</v>
      </c>
      <c r="N328" s="537">
        <f>44930.37+27438.82+9899+10198.42+8260+5467.1+1611+301+147+1782+3921+3564+2376+2376+2376+316.5+527.5+1188+415</f>
        <v>127094.71</v>
      </c>
      <c r="O328" s="543">
        <f>4096+2682+1004+1480+1541+903+253+39+19+356+784+713+475+476+475+48+80+238+43</f>
        <v>15705</v>
      </c>
      <c r="P328" s="515">
        <f t="shared" si="10"/>
        <v>8.092627188793378</v>
      </c>
      <c r="Q328" s="516">
        <v>41502</v>
      </c>
    </row>
    <row r="329" spans="1:17" ht="11.25">
      <c r="A329" s="453">
        <v>328</v>
      </c>
      <c r="B329" s="477" t="s">
        <v>48</v>
      </c>
      <c r="C329" s="464" t="s">
        <v>510</v>
      </c>
      <c r="D329" s="364" t="s">
        <v>515</v>
      </c>
      <c r="E329" s="368"/>
      <c r="F329" s="370" t="s">
        <v>510</v>
      </c>
      <c r="G329" s="369">
        <v>41229</v>
      </c>
      <c r="H329" s="365" t="s">
        <v>59</v>
      </c>
      <c r="I329" s="395">
        <v>15</v>
      </c>
      <c r="J329" s="361">
        <v>1</v>
      </c>
      <c r="K329" s="361">
        <v>16</v>
      </c>
      <c r="L329" s="503">
        <v>316.5</v>
      </c>
      <c r="M329" s="504">
        <v>48</v>
      </c>
      <c r="N329" s="538">
        <v>124964.21</v>
      </c>
      <c r="O329" s="544">
        <v>15344</v>
      </c>
      <c r="P329" s="396">
        <v>8.144174270072993</v>
      </c>
      <c r="Q329" s="397">
        <v>41425</v>
      </c>
    </row>
    <row r="330" spans="1:17" ht="11.25">
      <c r="A330" s="453">
        <v>329</v>
      </c>
      <c r="B330" s="497" t="s">
        <v>48</v>
      </c>
      <c r="C330" s="518" t="s">
        <v>510</v>
      </c>
      <c r="D330" s="492" t="s">
        <v>515</v>
      </c>
      <c r="E330" s="490"/>
      <c r="F330" s="494" t="s">
        <v>510</v>
      </c>
      <c r="G330" s="493">
        <v>41229</v>
      </c>
      <c r="H330" s="499" t="s">
        <v>59</v>
      </c>
      <c r="I330" s="509">
        <v>15</v>
      </c>
      <c r="J330" s="575">
        <v>1</v>
      </c>
      <c r="K330" s="575">
        <v>8</v>
      </c>
      <c r="L330" s="529">
        <v>301</v>
      </c>
      <c r="M330" s="514">
        <v>39</v>
      </c>
      <c r="N330" s="535">
        <f>44930.37+27438.82+9899+10198.42+8260+5467.1+1611+301</f>
        <v>108105.71</v>
      </c>
      <c r="O330" s="542">
        <f>4096+2682+1004+1480+1541+903+253+39</f>
        <v>11998</v>
      </c>
      <c r="P330" s="512">
        <f aca="true" t="shared" si="11" ref="P330:P393">N330/O330</f>
        <v>9.010310885147526</v>
      </c>
      <c r="Q330" s="513">
        <v>41278</v>
      </c>
    </row>
    <row r="331" spans="1:17" ht="11.25">
      <c r="A331" s="453">
        <v>330</v>
      </c>
      <c r="B331" s="497" t="s">
        <v>48</v>
      </c>
      <c r="C331" s="518" t="s">
        <v>510</v>
      </c>
      <c r="D331" s="492" t="s">
        <v>515</v>
      </c>
      <c r="E331" s="490"/>
      <c r="F331" s="494" t="s">
        <v>510</v>
      </c>
      <c r="G331" s="493">
        <v>41229</v>
      </c>
      <c r="H331" s="499" t="s">
        <v>59</v>
      </c>
      <c r="I331" s="509">
        <v>15</v>
      </c>
      <c r="J331" s="509">
        <v>1</v>
      </c>
      <c r="K331" s="509">
        <v>9</v>
      </c>
      <c r="L331" s="529">
        <v>147</v>
      </c>
      <c r="M331" s="514">
        <v>19</v>
      </c>
      <c r="N331" s="541">
        <f>44930.37+27438.82+9899+10198.42+8260+5467.1+1611+301+147</f>
        <v>108252.71</v>
      </c>
      <c r="O331" s="547">
        <f>4096+2682+1004+1480+1541+903+253+39+19</f>
        <v>12017</v>
      </c>
      <c r="P331" s="512">
        <f t="shared" si="11"/>
        <v>9.008297411999667</v>
      </c>
      <c r="Q331" s="513">
        <v>41285</v>
      </c>
    </row>
    <row r="332" spans="1:17" ht="11.25">
      <c r="A332" s="453">
        <v>331</v>
      </c>
      <c r="B332" s="497"/>
      <c r="C332" s="501" t="s">
        <v>957</v>
      </c>
      <c r="D332" s="492" t="s">
        <v>958</v>
      </c>
      <c r="E332" s="490" t="s">
        <v>377</v>
      </c>
      <c r="F332" s="392" t="s">
        <v>959</v>
      </c>
      <c r="G332" s="493">
        <v>40657</v>
      </c>
      <c r="H332" s="491" t="s">
        <v>212</v>
      </c>
      <c r="I332" s="506">
        <v>10</v>
      </c>
      <c r="J332" s="423">
        <v>1</v>
      </c>
      <c r="K332" s="423">
        <v>15</v>
      </c>
      <c r="L332" s="454">
        <v>2398</v>
      </c>
      <c r="M332" s="455">
        <v>400</v>
      </c>
      <c r="N332" s="536">
        <v>119450.5</v>
      </c>
      <c r="O332" s="677">
        <v>11882</v>
      </c>
      <c r="P332" s="512">
        <f t="shared" si="11"/>
        <v>10.053063457330415</v>
      </c>
      <c r="Q332" s="513">
        <v>41509</v>
      </c>
    </row>
    <row r="333" spans="1:17" ht="11.25">
      <c r="A333" s="453">
        <v>332</v>
      </c>
      <c r="B333" s="497"/>
      <c r="C333" s="518" t="s">
        <v>957</v>
      </c>
      <c r="D333" s="506" t="s">
        <v>958</v>
      </c>
      <c r="E333" s="500" t="s">
        <v>377</v>
      </c>
      <c r="F333" s="519" t="s">
        <v>959</v>
      </c>
      <c r="G333" s="526">
        <v>40657</v>
      </c>
      <c r="H333" s="499" t="s">
        <v>212</v>
      </c>
      <c r="I333" s="509">
        <v>10</v>
      </c>
      <c r="J333" s="423">
        <v>1</v>
      </c>
      <c r="K333" s="423">
        <v>14</v>
      </c>
      <c r="L333" s="454">
        <v>1195</v>
      </c>
      <c r="M333" s="455">
        <v>171</v>
      </c>
      <c r="N333" s="538">
        <v>117052.5</v>
      </c>
      <c r="O333" s="544">
        <v>11482</v>
      </c>
      <c r="P333" s="512">
        <f t="shared" si="11"/>
        <v>10.194434767462115</v>
      </c>
      <c r="Q333" s="513">
        <v>41460</v>
      </c>
    </row>
    <row r="334" spans="1:17" ht="11.25">
      <c r="A334" s="453">
        <v>333</v>
      </c>
      <c r="B334" s="497"/>
      <c r="C334" s="520" t="s">
        <v>370</v>
      </c>
      <c r="D334" s="500" t="s">
        <v>371</v>
      </c>
      <c r="E334" s="506" t="s">
        <v>69</v>
      </c>
      <c r="F334" s="560" t="s">
        <v>372</v>
      </c>
      <c r="G334" s="508">
        <v>41131</v>
      </c>
      <c r="H334" s="499" t="s">
        <v>59</v>
      </c>
      <c r="I334" s="556">
        <v>67</v>
      </c>
      <c r="J334" s="509">
        <v>1</v>
      </c>
      <c r="K334" s="509">
        <v>28</v>
      </c>
      <c r="L334" s="648">
        <v>7380</v>
      </c>
      <c r="M334" s="649">
        <v>1494</v>
      </c>
      <c r="N334" s="535">
        <f>195847.27+85945.19+67186.35+18388+14296.55+7652.5+4441.5+3248.5+3720.25+2873+2066.5+5390.5+133+7174.6+527+1559+4226+102+1887.5+2017.5+2911.3+2860+93+4735+1782+1658+407.5</f>
        <v>443129.5099999999</v>
      </c>
      <c r="O334" s="542">
        <f>18796+8930+6307+1949+1879+1070+561+402+483+452+338+866+19+1301+96+545+859+34+197+203+462+542+15+1061+356+340+92</f>
        <v>48155</v>
      </c>
      <c r="P334" s="512">
        <f t="shared" si="11"/>
        <v>9.202149517184091</v>
      </c>
      <c r="Q334" s="513">
        <v>41327</v>
      </c>
    </row>
    <row r="335" spans="1:17" ht="11.25">
      <c r="A335" s="453">
        <v>334</v>
      </c>
      <c r="B335" s="498"/>
      <c r="C335" s="520" t="s">
        <v>370</v>
      </c>
      <c r="D335" s="500" t="s">
        <v>371</v>
      </c>
      <c r="E335" s="506" t="s">
        <v>69</v>
      </c>
      <c r="F335" s="560" t="s">
        <v>372</v>
      </c>
      <c r="G335" s="508">
        <v>41131</v>
      </c>
      <c r="H335" s="499" t="s">
        <v>59</v>
      </c>
      <c r="I335" s="556">
        <v>67</v>
      </c>
      <c r="J335" s="517">
        <v>3</v>
      </c>
      <c r="K335" s="517">
        <v>33</v>
      </c>
      <c r="L335" s="529">
        <v>5472</v>
      </c>
      <c r="M335" s="514">
        <v>1095</v>
      </c>
      <c r="N335" s="541">
        <f>195847.27+85945.19+67186.35+18388+14296.55+7652.5+4441.5+3248.5+3720.25+2873+2066.5+5390.5+133+7174.6+527+1559+4226+102+1887.5+2017.5+2911.3+2860+93+4735+1782+1658+407.5+7380+1188+2970+114+497+5472</f>
        <v>460750.5099999999</v>
      </c>
      <c r="O335" s="547">
        <f>18796+8930+6307+1949+1879+1070+561+402+483+452+338+866+19+1301+96+545+859+34+197+203+462+542+15+1061+356+340+92+1494+238+594+45+198+1095</f>
        <v>51819</v>
      </c>
      <c r="P335" s="515">
        <f t="shared" si="11"/>
        <v>8.891536116096411</v>
      </c>
      <c r="Q335" s="516">
        <v>41383</v>
      </c>
    </row>
    <row r="336" spans="1:17" ht="11.25">
      <c r="A336" s="453">
        <v>335</v>
      </c>
      <c r="B336" s="498"/>
      <c r="C336" s="520" t="s">
        <v>370</v>
      </c>
      <c r="D336" s="490" t="s">
        <v>371</v>
      </c>
      <c r="E336" s="492" t="s">
        <v>69</v>
      </c>
      <c r="F336" s="496" t="s">
        <v>372</v>
      </c>
      <c r="G336" s="495">
        <v>41131</v>
      </c>
      <c r="H336" s="499" t="s">
        <v>59</v>
      </c>
      <c r="I336" s="556">
        <v>67</v>
      </c>
      <c r="J336" s="509">
        <v>3</v>
      </c>
      <c r="K336" s="509">
        <v>24</v>
      </c>
      <c r="L336" s="529">
        <v>4735</v>
      </c>
      <c r="M336" s="514">
        <v>1061</v>
      </c>
      <c r="N336" s="539">
        <f>195847.27+85945.19+67186.35+18388+14296.55+7652.5+4441.5+3248.5+3720.25+2873+2066.5+5390.5+133+7174.6+527+1559+4226+102+1887.5+2017.5+2911.3+2860+93+4735</f>
        <v>439282.0099999999</v>
      </c>
      <c r="O336" s="545">
        <f>18796+8930+6307+1949+1879+1070+561+402+483+452+338+866+19+1301+96+545+859+34+197+203+462+542+15+1061</f>
        <v>47367</v>
      </c>
      <c r="P336" s="512">
        <f t="shared" si="11"/>
        <v>9.274009542508495</v>
      </c>
      <c r="Q336" s="513">
        <v>41292</v>
      </c>
    </row>
    <row r="337" spans="1:17" ht="11.25">
      <c r="A337" s="453">
        <v>336</v>
      </c>
      <c r="B337" s="498"/>
      <c r="C337" s="520" t="s">
        <v>370</v>
      </c>
      <c r="D337" s="500" t="s">
        <v>371</v>
      </c>
      <c r="E337" s="506" t="s">
        <v>69</v>
      </c>
      <c r="F337" s="560" t="s">
        <v>372</v>
      </c>
      <c r="G337" s="508">
        <v>41131</v>
      </c>
      <c r="H337" s="499" t="s">
        <v>59</v>
      </c>
      <c r="I337" s="556">
        <v>67</v>
      </c>
      <c r="J337" s="509">
        <v>1</v>
      </c>
      <c r="K337" s="509">
        <v>30</v>
      </c>
      <c r="L337" s="648">
        <v>2970</v>
      </c>
      <c r="M337" s="649">
        <v>594</v>
      </c>
      <c r="N337" s="539">
        <f>195847.27+85945.19+67186.35+18388+14296.55+7652.5+4441.5+3248.5+3720.25+2873+2066.5+5390.5+133+7174.6+527+1559+4226+102+1887.5+2017.5+2911.3+2860+93+4735+1782+1658+407.5+7380+1188+2970</f>
        <v>454667.5099999999</v>
      </c>
      <c r="O337" s="545">
        <f>18796+8930+6307+1949+1879+1070+561+402+483+452+338+866+19+1301+96+545+859+34+197+203+462+542+15+1061+356+340+92+1494+238+594</f>
        <v>50481</v>
      </c>
      <c r="P337" s="512">
        <f t="shared" si="11"/>
        <v>9.006705691250172</v>
      </c>
      <c r="Q337" s="513">
        <v>41348</v>
      </c>
    </row>
    <row r="338" spans="1:17" ht="11.25">
      <c r="A338" s="453">
        <v>337</v>
      </c>
      <c r="B338" s="498"/>
      <c r="C338" s="520" t="s">
        <v>370</v>
      </c>
      <c r="D338" s="490" t="s">
        <v>371</v>
      </c>
      <c r="E338" s="492" t="s">
        <v>69</v>
      </c>
      <c r="F338" s="496" t="s">
        <v>372</v>
      </c>
      <c r="G338" s="495">
        <v>41131</v>
      </c>
      <c r="H338" s="499" t="s">
        <v>59</v>
      </c>
      <c r="I338" s="556">
        <v>67</v>
      </c>
      <c r="J338" s="509">
        <v>3</v>
      </c>
      <c r="K338" s="509">
        <v>22</v>
      </c>
      <c r="L338" s="529">
        <v>2860</v>
      </c>
      <c r="M338" s="514">
        <v>542</v>
      </c>
      <c r="N338" s="535">
        <f>195847.27+85945.19+67186.35+18388+14296.55+7652.5+4441.5+3248.5+3720.25+2873+2066.5+5390.5+133+7174.6+527+1559+4226+102+1887.5+2017.5+2911.3+2860</f>
        <v>434454.0099999999</v>
      </c>
      <c r="O338" s="542">
        <f>18796+8930+6307+1949+1879+1070+561+402+483+452+338+866+19+1301+96+545+859+34+197+203+462+542</f>
        <v>46291</v>
      </c>
      <c r="P338" s="512">
        <f t="shared" si="11"/>
        <v>9.38528029206541</v>
      </c>
      <c r="Q338" s="513">
        <v>41278</v>
      </c>
    </row>
    <row r="339" spans="1:17" ht="11.25">
      <c r="A339" s="453">
        <v>338</v>
      </c>
      <c r="B339" s="498"/>
      <c r="C339" s="520" t="s">
        <v>370</v>
      </c>
      <c r="D339" s="490" t="s">
        <v>371</v>
      </c>
      <c r="E339" s="492" t="s">
        <v>69</v>
      </c>
      <c r="F339" s="496" t="s">
        <v>372</v>
      </c>
      <c r="G339" s="495">
        <v>41131</v>
      </c>
      <c r="H339" s="499" t="s">
        <v>59</v>
      </c>
      <c r="I339" s="556">
        <v>67</v>
      </c>
      <c r="J339" s="509">
        <v>5</v>
      </c>
      <c r="K339" s="509">
        <v>25</v>
      </c>
      <c r="L339" s="529">
        <v>1782</v>
      </c>
      <c r="M339" s="514">
        <v>356</v>
      </c>
      <c r="N339" s="541">
        <f>195847.27+85945.19+67186.35+18388+14296.55+7652.5+4441.5+3248.5+3720.25+2873+2066.5+5390.5+133+7174.6+527+1559+4226+102+1887.5+2017.5+2911.3+2860+93+4735+1782</f>
        <v>441064.0099999999</v>
      </c>
      <c r="O339" s="547">
        <f>18796+8930+6307+1949+1879+1070+561+402+483+452+338+866+19+1301+96+545+859+34+197+203+462+542+15+1061+356</f>
        <v>47723</v>
      </c>
      <c r="P339" s="512">
        <f t="shared" si="11"/>
        <v>9.242168556042158</v>
      </c>
      <c r="Q339" s="513">
        <v>41299</v>
      </c>
    </row>
    <row r="340" spans="1:17" ht="11.25">
      <c r="A340" s="453">
        <v>339</v>
      </c>
      <c r="B340" s="498"/>
      <c r="C340" s="520" t="s">
        <v>370</v>
      </c>
      <c r="D340" s="490" t="s">
        <v>371</v>
      </c>
      <c r="E340" s="492" t="s">
        <v>69</v>
      </c>
      <c r="F340" s="496" t="s">
        <v>372</v>
      </c>
      <c r="G340" s="508">
        <v>41131</v>
      </c>
      <c r="H340" s="499" t="s">
        <v>59</v>
      </c>
      <c r="I340" s="556">
        <v>67</v>
      </c>
      <c r="J340" s="509">
        <v>3</v>
      </c>
      <c r="K340" s="509">
        <v>26</v>
      </c>
      <c r="L340" s="510">
        <v>1658</v>
      </c>
      <c r="M340" s="514">
        <v>340</v>
      </c>
      <c r="N340" s="535">
        <f>195847.27+85945.19+67186.35+18388+14296.55+7652.5+4441.5+3248.5+3720.25+2873+2066.5+5390.5+133+7174.6+527+1559+4226+102+1887.5+2017.5+2911.3+2860+93+4735+1782+1658</f>
        <v>442722.0099999999</v>
      </c>
      <c r="O340" s="547">
        <f>18796+8930+6307+1949+1879+1070+561+402+483+452+338+866+19+1301+96+545+859+34+197+203+462+542+15+1061+356+340</f>
        <v>48063</v>
      </c>
      <c r="P340" s="515">
        <f t="shared" si="11"/>
        <v>9.211285396250751</v>
      </c>
      <c r="Q340" s="516">
        <v>41313</v>
      </c>
    </row>
    <row r="341" spans="1:17" ht="11.25">
      <c r="A341" s="453">
        <v>340</v>
      </c>
      <c r="B341" s="403"/>
      <c r="C341" s="502" t="s">
        <v>370</v>
      </c>
      <c r="D341" s="490" t="s">
        <v>371</v>
      </c>
      <c r="E341" s="492" t="s">
        <v>69</v>
      </c>
      <c r="F341" s="496" t="s">
        <v>372</v>
      </c>
      <c r="G341" s="495">
        <v>41131</v>
      </c>
      <c r="H341" s="491" t="s">
        <v>59</v>
      </c>
      <c r="I341" s="556">
        <v>67</v>
      </c>
      <c r="J341" s="509">
        <v>1</v>
      </c>
      <c r="K341" s="509">
        <v>37</v>
      </c>
      <c r="L341" s="503">
        <v>1425.6</v>
      </c>
      <c r="M341" s="504">
        <v>285</v>
      </c>
      <c r="N341" s="538">
        <f>195847.27+85945.19+67186.35+18388+14296.55+7652.5+4441.5+3248.5+3720.25+2873+2066.5+5390.5+133+7174.6+527+1559+4226+102+1887.5+2017.5+2911.3+2860+93+4735+1782+1658+407.5+7380+1188+2970+114+497+5472+34+1188+1188+1425.6</f>
        <v>464586.10999999987</v>
      </c>
      <c r="O341" s="544">
        <f>18796+8930+6307+1949+1879+1070+561+402+483+452+338+866+19+1301+96+545+859+34+197+203+462+542+15+1061+356+340+92+1494+238+594+45+198+1095+34+238+238+285</f>
        <v>52614</v>
      </c>
      <c r="P341" s="512">
        <f t="shared" si="11"/>
        <v>8.830085338503057</v>
      </c>
      <c r="Q341" s="513">
        <v>41516</v>
      </c>
    </row>
    <row r="342" spans="1:17" ht="11.25">
      <c r="A342" s="453">
        <v>341</v>
      </c>
      <c r="B342" s="498"/>
      <c r="C342" s="520" t="s">
        <v>370</v>
      </c>
      <c r="D342" s="500" t="s">
        <v>371</v>
      </c>
      <c r="E342" s="506" t="s">
        <v>69</v>
      </c>
      <c r="F342" s="560" t="s">
        <v>372</v>
      </c>
      <c r="G342" s="508">
        <v>41131</v>
      </c>
      <c r="H342" s="499" t="s">
        <v>59</v>
      </c>
      <c r="I342" s="556">
        <v>67</v>
      </c>
      <c r="J342" s="509">
        <v>1</v>
      </c>
      <c r="K342" s="509">
        <v>29</v>
      </c>
      <c r="L342" s="529">
        <v>1188</v>
      </c>
      <c r="M342" s="514">
        <v>238</v>
      </c>
      <c r="N342" s="541">
        <f>195847.27+85945.19+67186.35+18388+14296.55+7652.5+4441.5+3248.5+3720.25+2873+2066.5+5390.5+133+7174.6+527+1559+4226+102+1887.5+2017.5+2911.3+2860+93+4735+1782+1658+407.5+7380+1188</f>
        <v>451697.5099999999</v>
      </c>
      <c r="O342" s="547">
        <f>18796+8930+6307+1949+1879+1070+561+402+483+452+338+866+19+1301+96+545+859+34+197+203+462+542+15+1061+356+340+92+1494+238</f>
        <v>49887</v>
      </c>
      <c r="P342" s="512">
        <f t="shared" si="11"/>
        <v>9.054413173772724</v>
      </c>
      <c r="Q342" s="513">
        <v>41334</v>
      </c>
    </row>
    <row r="343" spans="1:17" ht="11.25">
      <c r="A343" s="453">
        <v>342</v>
      </c>
      <c r="B343" s="498"/>
      <c r="C343" s="520" t="s">
        <v>370</v>
      </c>
      <c r="D343" s="500" t="s">
        <v>371</v>
      </c>
      <c r="E343" s="506" t="s">
        <v>69</v>
      </c>
      <c r="F343" s="560" t="s">
        <v>372</v>
      </c>
      <c r="G343" s="508">
        <v>41131</v>
      </c>
      <c r="H343" s="499" t="s">
        <v>59</v>
      </c>
      <c r="I343" s="527">
        <v>67</v>
      </c>
      <c r="J343" s="506">
        <v>1</v>
      </c>
      <c r="K343" s="506">
        <v>36</v>
      </c>
      <c r="L343" s="510">
        <v>1188</v>
      </c>
      <c r="M343" s="514">
        <v>238</v>
      </c>
      <c r="N343" s="535">
        <f>195847.27+85945.19+67186.35+18388+14296.55+7652.5+4441.5+3248.5+3720.25+2873+2066.5+5390.5+133+7174.6+527+1559+4226+102+1887.5+2017.5+2911.3+2860+93+4735+1782+1658+407.5+7380+1188+2970+114+497+5472+34+1188</f>
        <v>461972.5099999999</v>
      </c>
      <c r="O343" s="547">
        <f>18796+8930+6307+1949+1879+1070+561+402+483+452+338+866+19+1301+96+545+859+34+197+203+462+542+15+1061+356+340+92+1494+238+594+45+198+1095+34+238</f>
        <v>52091</v>
      </c>
      <c r="P343" s="515">
        <f t="shared" si="11"/>
        <v>8.868566738976021</v>
      </c>
      <c r="Q343" s="516">
        <v>41397</v>
      </c>
    </row>
    <row r="344" spans="1:17" ht="11.25">
      <c r="A344" s="453">
        <v>343</v>
      </c>
      <c r="B344" s="498"/>
      <c r="C344" s="520" t="s">
        <v>370</v>
      </c>
      <c r="D344" s="500" t="s">
        <v>371</v>
      </c>
      <c r="E344" s="506" t="s">
        <v>69</v>
      </c>
      <c r="F344" s="560" t="s">
        <v>372</v>
      </c>
      <c r="G344" s="508">
        <v>41131</v>
      </c>
      <c r="H344" s="499" t="s">
        <v>59</v>
      </c>
      <c r="I344" s="556">
        <v>67</v>
      </c>
      <c r="J344" s="650">
        <v>1</v>
      </c>
      <c r="K344" s="650">
        <v>36</v>
      </c>
      <c r="L344" s="503">
        <v>1188</v>
      </c>
      <c r="M344" s="504">
        <v>238</v>
      </c>
      <c r="N344" s="538">
        <f>195847.27+85945.19+67186.35+18388+14296.55+7652.5+4441.5+3248.5+3720.25+2873+2066.5+5390.5+133+7174.6+527+1559+4226+102+1887.5+2017.5+2911.3+2860+93+4735+1782+1658+407.5+7380+1188+2970+114+497+5472+34+1188+1188</f>
        <v>463160.5099999999</v>
      </c>
      <c r="O344" s="544">
        <f>18796+8930+6307+1949+1879+1070+561+402+483+452+338+866+19+1301+96+545+859+34+197+203+462+542+15+1061+356+340+92+1494+238+594+45+198+1095+34+238+238</f>
        <v>52329</v>
      </c>
      <c r="P344" s="371">
        <f t="shared" si="11"/>
        <v>8.850933707886638</v>
      </c>
      <c r="Q344" s="372">
        <v>41446</v>
      </c>
    </row>
    <row r="345" spans="1:17" ht="11.25">
      <c r="A345" s="453">
        <v>344</v>
      </c>
      <c r="B345" s="498"/>
      <c r="C345" s="520" t="s">
        <v>370</v>
      </c>
      <c r="D345" s="500" t="s">
        <v>371</v>
      </c>
      <c r="E345" s="506" t="s">
        <v>69</v>
      </c>
      <c r="F345" s="560" t="s">
        <v>372</v>
      </c>
      <c r="G345" s="508">
        <v>41131</v>
      </c>
      <c r="H345" s="499" t="s">
        <v>59</v>
      </c>
      <c r="I345" s="556">
        <v>67</v>
      </c>
      <c r="J345" s="517">
        <v>1</v>
      </c>
      <c r="K345" s="517">
        <v>32</v>
      </c>
      <c r="L345" s="529">
        <v>497</v>
      </c>
      <c r="M345" s="514">
        <v>198</v>
      </c>
      <c r="N345" s="541">
        <f>195847.27+85945.19+67186.35+18388+14296.55+7652.5+4441.5+3248.5+3720.25+2873+2066.5+5390.5+133+7174.6+527+1559+4226+102+1887.5+2017.5+2911.3+2860+93+4735+1782+1658+407.5+7380+1188+2970+114+497</f>
        <v>455278.5099999999</v>
      </c>
      <c r="O345" s="547">
        <f>18796+8930+6307+1949+1879+1070+561+402+483+452+338+866+19+1301+96+545+859+34+197+203+462+542+15+1061+356+340+92+1494+238+594+45+198</f>
        <v>50724</v>
      </c>
      <c r="P345" s="515">
        <f t="shared" si="11"/>
        <v>8.97560346187209</v>
      </c>
      <c r="Q345" s="516">
        <v>41376</v>
      </c>
    </row>
    <row r="346" spans="1:17" ht="11.25">
      <c r="A346" s="453">
        <v>345</v>
      </c>
      <c r="B346" s="498"/>
      <c r="C346" s="520" t="s">
        <v>370</v>
      </c>
      <c r="D346" s="490" t="s">
        <v>371</v>
      </c>
      <c r="E346" s="492" t="s">
        <v>69</v>
      </c>
      <c r="F346" s="496" t="s">
        <v>372</v>
      </c>
      <c r="G346" s="508">
        <v>41131</v>
      </c>
      <c r="H346" s="499" t="s">
        <v>59</v>
      </c>
      <c r="I346" s="556">
        <v>67</v>
      </c>
      <c r="J346" s="506">
        <v>3</v>
      </c>
      <c r="K346" s="506">
        <v>37</v>
      </c>
      <c r="L346" s="510">
        <v>407.5</v>
      </c>
      <c r="M346" s="511">
        <v>92</v>
      </c>
      <c r="N346" s="535">
        <f>195847.27+85945.19+67186.35+18388+14296.55+7652.5+4441.5+3248.5+3720.25+2873+2066.5+5390.5+133+7174.6+527+1559+4226+102+1887.5+2017.5+2911.3+2860+93+4735+1782+1658+407.5</f>
        <v>443129.5099999999</v>
      </c>
      <c r="O346" s="542">
        <f>18796+8930+6307+1949+1879+1070+561+402+483+452+338+866+19+1301+96+545+859+34+197+203+462+542+15+1061+356+340+92</f>
        <v>48155</v>
      </c>
      <c r="P346" s="512">
        <f t="shared" si="11"/>
        <v>9.202149517184091</v>
      </c>
      <c r="Q346" s="513">
        <v>41320</v>
      </c>
    </row>
    <row r="347" spans="1:17" ht="11.25">
      <c r="A347" s="453">
        <v>346</v>
      </c>
      <c r="B347" s="498"/>
      <c r="C347" s="520" t="s">
        <v>370</v>
      </c>
      <c r="D347" s="500" t="s">
        <v>371</v>
      </c>
      <c r="E347" s="506" t="s">
        <v>69</v>
      </c>
      <c r="F347" s="560" t="s">
        <v>372</v>
      </c>
      <c r="G347" s="508">
        <v>41131</v>
      </c>
      <c r="H347" s="499" t="s">
        <v>59</v>
      </c>
      <c r="I347" s="556">
        <v>67</v>
      </c>
      <c r="J347" s="517">
        <v>1</v>
      </c>
      <c r="K347" s="517">
        <v>31</v>
      </c>
      <c r="L347" s="510">
        <v>114</v>
      </c>
      <c r="M347" s="511">
        <v>45</v>
      </c>
      <c r="N347" s="535">
        <f>195847.27+85945.19+67186.35+18388+14296.55+7652.5+4441.5+3248.5+3720.25+2873+2066.5+5390.5+133+7174.6+527+1559+4226+102+1887.5+2017.5+2911.3+2860+93+4735+1782+1658+407.5+7380+1188+2970+114</f>
        <v>454781.5099999999</v>
      </c>
      <c r="O347" s="542">
        <f>18796+8930+6307+1949+1879+1070+561+402+483+452+338+866+19+1301+96+545+859+34+197+203+462+542+15+1061+356+340+92+1494+238+594+45</f>
        <v>50526</v>
      </c>
      <c r="P347" s="512">
        <f t="shared" si="11"/>
        <v>9.000940307960256</v>
      </c>
      <c r="Q347" s="513">
        <v>41369</v>
      </c>
    </row>
    <row r="348" spans="1:17" ht="11.25">
      <c r="A348" s="453">
        <v>347</v>
      </c>
      <c r="B348" s="498"/>
      <c r="C348" s="520" t="s">
        <v>370</v>
      </c>
      <c r="D348" s="490" t="s">
        <v>371</v>
      </c>
      <c r="E348" s="492" t="s">
        <v>69</v>
      </c>
      <c r="F348" s="496" t="s">
        <v>372</v>
      </c>
      <c r="G348" s="495">
        <v>41131</v>
      </c>
      <c r="H348" s="499" t="s">
        <v>59</v>
      </c>
      <c r="I348" s="556">
        <v>67</v>
      </c>
      <c r="J348" s="509">
        <v>1</v>
      </c>
      <c r="K348" s="509">
        <v>23</v>
      </c>
      <c r="L348" s="529">
        <v>93</v>
      </c>
      <c r="M348" s="514">
        <v>15</v>
      </c>
      <c r="N348" s="541">
        <f>195847.27+85945.19+67186.35+18388+14296.55+7652.5+4441.5+3248.5+3720.25+2873+2066.5+5390.5+133+7174.6+527+1559+4226+102+1887.5+2017.5+2911.3+2860+93</f>
        <v>434547.0099999999</v>
      </c>
      <c r="O348" s="547">
        <f>18796+8930+6307+1949+1879+1070+561+402+483+452+338+866+19+1301+96+545+859+34+197+203+462+542+15</f>
        <v>46306</v>
      </c>
      <c r="P348" s="512">
        <f t="shared" si="11"/>
        <v>9.38424847751911</v>
      </c>
      <c r="Q348" s="513">
        <v>41285</v>
      </c>
    </row>
    <row r="349" spans="1:17" ht="11.25">
      <c r="A349" s="453">
        <v>348</v>
      </c>
      <c r="B349" s="498"/>
      <c r="C349" s="520" t="s">
        <v>370</v>
      </c>
      <c r="D349" s="500" t="s">
        <v>371</v>
      </c>
      <c r="E349" s="506" t="s">
        <v>69</v>
      </c>
      <c r="F349" s="560" t="s">
        <v>372</v>
      </c>
      <c r="G349" s="508">
        <v>41131</v>
      </c>
      <c r="H349" s="499" t="s">
        <v>59</v>
      </c>
      <c r="I349" s="556">
        <v>67</v>
      </c>
      <c r="J349" s="509">
        <v>1</v>
      </c>
      <c r="K349" s="509">
        <v>34</v>
      </c>
      <c r="L349" s="510">
        <v>34</v>
      </c>
      <c r="M349" s="511">
        <v>34</v>
      </c>
      <c r="N349" s="535">
        <f>195847.27+85945.19+67186.35+18388+14296.55+7652.5+4441.5+3248.5+3720.25+2873+2066.5+5390.5+133+7174.6+527+1559+4226+102+1887.5+2017.5+2911.3+2860+93+4735+1782+1658+407.5+7380+1188+2970+114+497+5472+34</f>
        <v>460784.5099999999</v>
      </c>
      <c r="O349" s="542">
        <f>18796+8930+6307+1949+1879+1070+561+402+483+452+338+866+19+1301+96+545+859+34+197+203+462+542+15+1061+356+340+92+1494+238+594+45+198+1095+34</f>
        <v>51853</v>
      </c>
      <c r="P349" s="512">
        <f t="shared" si="11"/>
        <v>8.886361637706592</v>
      </c>
      <c r="Q349" s="513">
        <v>41390</v>
      </c>
    </row>
    <row r="350" spans="1:17" ht="11.25">
      <c r="A350" s="453">
        <v>349</v>
      </c>
      <c r="B350" s="497"/>
      <c r="C350" s="518" t="s">
        <v>521</v>
      </c>
      <c r="D350" s="492" t="s">
        <v>266</v>
      </c>
      <c r="E350" s="490" t="s">
        <v>73</v>
      </c>
      <c r="F350" s="494" t="s">
        <v>522</v>
      </c>
      <c r="G350" s="493">
        <v>41236</v>
      </c>
      <c r="H350" s="499" t="s">
        <v>10</v>
      </c>
      <c r="I350" s="509">
        <v>122</v>
      </c>
      <c r="J350" s="391">
        <v>10</v>
      </c>
      <c r="K350" s="391">
        <v>7</v>
      </c>
      <c r="L350" s="529">
        <v>29272</v>
      </c>
      <c r="M350" s="514">
        <v>1989</v>
      </c>
      <c r="N350" s="535">
        <v>2295569</v>
      </c>
      <c r="O350" s="542">
        <v>189143</v>
      </c>
      <c r="P350" s="512">
        <f t="shared" si="11"/>
        <v>12.13668494208086</v>
      </c>
      <c r="Q350" s="513">
        <v>41278</v>
      </c>
    </row>
    <row r="351" spans="1:17" ht="11.25">
      <c r="A351" s="453">
        <v>350</v>
      </c>
      <c r="B351" s="497"/>
      <c r="C351" s="518" t="s">
        <v>521</v>
      </c>
      <c r="D351" s="492" t="s">
        <v>266</v>
      </c>
      <c r="E351" s="490" t="s">
        <v>73</v>
      </c>
      <c r="F351" s="494" t="s">
        <v>522</v>
      </c>
      <c r="G351" s="493">
        <v>41236</v>
      </c>
      <c r="H351" s="499" t="s">
        <v>10</v>
      </c>
      <c r="I351" s="509">
        <v>122</v>
      </c>
      <c r="J351" s="391">
        <v>6</v>
      </c>
      <c r="K351" s="391">
        <v>8</v>
      </c>
      <c r="L351" s="529">
        <v>6771</v>
      </c>
      <c r="M351" s="514">
        <v>497</v>
      </c>
      <c r="N351" s="541">
        <v>2302340</v>
      </c>
      <c r="O351" s="547">
        <v>189640</v>
      </c>
      <c r="P351" s="512">
        <f t="shared" si="11"/>
        <v>12.140582155663362</v>
      </c>
      <c r="Q351" s="513">
        <v>41285</v>
      </c>
    </row>
    <row r="352" spans="1:17" ht="11.25">
      <c r="A352" s="453">
        <v>351</v>
      </c>
      <c r="B352" s="497" t="s">
        <v>48</v>
      </c>
      <c r="C352" s="520" t="s">
        <v>582</v>
      </c>
      <c r="D352" s="491" t="s">
        <v>583</v>
      </c>
      <c r="E352" s="491"/>
      <c r="F352" s="491" t="s">
        <v>582</v>
      </c>
      <c r="G352" s="495">
        <v>41271</v>
      </c>
      <c r="H352" s="499" t="s">
        <v>46</v>
      </c>
      <c r="I352" s="509">
        <v>104</v>
      </c>
      <c r="J352" s="640">
        <v>104</v>
      </c>
      <c r="K352" s="640">
        <v>2</v>
      </c>
      <c r="L352" s="554">
        <v>102070.22</v>
      </c>
      <c r="M352" s="555">
        <v>11917</v>
      </c>
      <c r="N352" s="646">
        <v>351840.14</v>
      </c>
      <c r="O352" s="645">
        <v>39460</v>
      </c>
      <c r="P352" s="512">
        <f t="shared" si="11"/>
        <v>8.916374556512924</v>
      </c>
      <c r="Q352" s="513">
        <v>41278</v>
      </c>
    </row>
    <row r="353" spans="1:17" ht="11.25">
      <c r="A353" s="453">
        <v>352</v>
      </c>
      <c r="B353" s="497" t="s">
        <v>48</v>
      </c>
      <c r="C353" s="520" t="s">
        <v>582</v>
      </c>
      <c r="D353" s="491" t="s">
        <v>583</v>
      </c>
      <c r="E353" s="491"/>
      <c r="F353" s="491" t="s">
        <v>582</v>
      </c>
      <c r="G353" s="495">
        <v>41271</v>
      </c>
      <c r="H353" s="499" t="s">
        <v>46</v>
      </c>
      <c r="I353" s="509">
        <v>104</v>
      </c>
      <c r="J353" s="640">
        <v>28</v>
      </c>
      <c r="K353" s="640">
        <v>3</v>
      </c>
      <c r="L353" s="554">
        <v>17759.64</v>
      </c>
      <c r="M353" s="555">
        <v>2303</v>
      </c>
      <c r="N353" s="438">
        <v>369599.78</v>
      </c>
      <c r="O353" s="439">
        <v>41763</v>
      </c>
      <c r="P353" s="512">
        <f t="shared" si="11"/>
        <v>8.849933673347222</v>
      </c>
      <c r="Q353" s="513">
        <v>41285</v>
      </c>
    </row>
    <row r="354" spans="1:17" ht="11.25">
      <c r="A354" s="453">
        <v>353</v>
      </c>
      <c r="B354" s="497" t="s">
        <v>48</v>
      </c>
      <c r="C354" s="520" t="s">
        <v>582</v>
      </c>
      <c r="D354" s="491" t="s">
        <v>583</v>
      </c>
      <c r="E354" s="491"/>
      <c r="F354" s="491" t="s">
        <v>582</v>
      </c>
      <c r="G354" s="495">
        <v>41271</v>
      </c>
      <c r="H354" s="499" t="s">
        <v>46</v>
      </c>
      <c r="I354" s="509">
        <v>104</v>
      </c>
      <c r="J354" s="667">
        <v>10</v>
      </c>
      <c r="K354" s="667">
        <v>4</v>
      </c>
      <c r="L354" s="642">
        <v>5078</v>
      </c>
      <c r="M354" s="651">
        <v>775</v>
      </c>
      <c r="N354" s="644">
        <v>374677.78</v>
      </c>
      <c r="O354" s="652">
        <v>42538</v>
      </c>
      <c r="P354" s="512">
        <f t="shared" si="11"/>
        <v>8.80807231181532</v>
      </c>
      <c r="Q354" s="513">
        <v>41292</v>
      </c>
    </row>
    <row r="355" spans="1:17" ht="11.25">
      <c r="A355" s="453">
        <v>354</v>
      </c>
      <c r="B355" s="497" t="s">
        <v>48</v>
      </c>
      <c r="C355" s="520" t="s">
        <v>582</v>
      </c>
      <c r="D355" s="491" t="s">
        <v>583</v>
      </c>
      <c r="E355" s="491"/>
      <c r="F355" s="491" t="s">
        <v>582</v>
      </c>
      <c r="G355" s="495">
        <v>41271</v>
      </c>
      <c r="H355" s="499" t="s">
        <v>46</v>
      </c>
      <c r="I355" s="509">
        <v>104</v>
      </c>
      <c r="J355" s="509">
        <v>8</v>
      </c>
      <c r="K355" s="509">
        <v>5</v>
      </c>
      <c r="L355" s="531">
        <v>4460</v>
      </c>
      <c r="M355" s="534">
        <v>750</v>
      </c>
      <c r="N355" s="550">
        <v>379137.78</v>
      </c>
      <c r="O355" s="552">
        <v>43288</v>
      </c>
      <c r="P355" s="512">
        <f t="shared" si="11"/>
        <v>8.758496119016819</v>
      </c>
      <c r="Q355" s="513">
        <v>41299</v>
      </c>
    </row>
    <row r="356" spans="1:17" ht="11.25">
      <c r="A356" s="453">
        <v>355</v>
      </c>
      <c r="B356" s="497" t="s">
        <v>48</v>
      </c>
      <c r="C356" s="520" t="s">
        <v>582</v>
      </c>
      <c r="D356" s="491" t="s">
        <v>583</v>
      </c>
      <c r="E356" s="491"/>
      <c r="F356" s="491" t="s">
        <v>582</v>
      </c>
      <c r="G356" s="495">
        <v>41271</v>
      </c>
      <c r="H356" s="499" t="s">
        <v>46</v>
      </c>
      <c r="I356" s="509">
        <v>104</v>
      </c>
      <c r="J356" s="641">
        <v>5</v>
      </c>
      <c r="K356" s="641">
        <v>6</v>
      </c>
      <c r="L356" s="642">
        <v>2675.8</v>
      </c>
      <c r="M356" s="643">
        <v>448</v>
      </c>
      <c r="N356" s="644">
        <v>381813.58</v>
      </c>
      <c r="O356" s="645">
        <v>43736</v>
      </c>
      <c r="P356" s="515">
        <f t="shared" si="11"/>
        <v>8.729961130418877</v>
      </c>
      <c r="Q356" s="516">
        <v>41306</v>
      </c>
    </row>
    <row r="357" spans="1:17" ht="11.25">
      <c r="A357" s="453">
        <v>356</v>
      </c>
      <c r="B357" s="497" t="s">
        <v>48</v>
      </c>
      <c r="C357" s="520" t="s">
        <v>582</v>
      </c>
      <c r="D357" s="491" t="s">
        <v>583</v>
      </c>
      <c r="E357" s="491"/>
      <c r="F357" s="491" t="s">
        <v>582</v>
      </c>
      <c r="G357" s="508">
        <v>41271</v>
      </c>
      <c r="H357" s="499" t="s">
        <v>46</v>
      </c>
      <c r="I357" s="509">
        <v>104</v>
      </c>
      <c r="J357" s="506">
        <v>1</v>
      </c>
      <c r="K357" s="506">
        <v>8</v>
      </c>
      <c r="L357" s="531">
        <v>1637.03</v>
      </c>
      <c r="M357" s="534">
        <v>327</v>
      </c>
      <c r="N357" s="550">
        <v>383751.61</v>
      </c>
      <c r="O357" s="552">
        <v>44109</v>
      </c>
      <c r="P357" s="512">
        <f t="shared" si="11"/>
        <v>8.700075041374776</v>
      </c>
      <c r="Q357" s="513">
        <v>41320</v>
      </c>
    </row>
    <row r="358" spans="1:17" ht="11.25">
      <c r="A358" s="453">
        <v>357</v>
      </c>
      <c r="B358" s="497" t="s">
        <v>48</v>
      </c>
      <c r="C358" s="520" t="s">
        <v>582</v>
      </c>
      <c r="D358" s="491" t="s">
        <v>583</v>
      </c>
      <c r="E358" s="491"/>
      <c r="F358" s="491" t="s">
        <v>582</v>
      </c>
      <c r="G358" s="508">
        <v>41271</v>
      </c>
      <c r="H358" s="499" t="s">
        <v>46</v>
      </c>
      <c r="I358" s="509">
        <v>104</v>
      </c>
      <c r="J358" s="509">
        <v>2</v>
      </c>
      <c r="K358" s="509">
        <v>7</v>
      </c>
      <c r="L358" s="531">
        <v>301</v>
      </c>
      <c r="M358" s="555">
        <v>46</v>
      </c>
      <c r="N358" s="550">
        <v>382114.58</v>
      </c>
      <c r="O358" s="439">
        <v>43782</v>
      </c>
      <c r="P358" s="515">
        <f t="shared" si="11"/>
        <v>8.727663880133388</v>
      </c>
      <c r="Q358" s="516">
        <v>41313</v>
      </c>
    </row>
    <row r="359" spans="1:17" ht="11.25">
      <c r="A359" s="453">
        <v>358</v>
      </c>
      <c r="B359" s="497" t="s">
        <v>48</v>
      </c>
      <c r="C359" s="520" t="s">
        <v>582</v>
      </c>
      <c r="D359" s="499" t="s">
        <v>583</v>
      </c>
      <c r="E359" s="499"/>
      <c r="F359" s="499" t="s">
        <v>582</v>
      </c>
      <c r="G359" s="508">
        <v>41271</v>
      </c>
      <c r="H359" s="499" t="s">
        <v>46</v>
      </c>
      <c r="I359" s="509">
        <v>104</v>
      </c>
      <c r="J359" s="509">
        <v>1</v>
      </c>
      <c r="K359" s="509">
        <v>9</v>
      </c>
      <c r="L359" s="680">
        <v>160</v>
      </c>
      <c r="M359" s="681">
        <v>26</v>
      </c>
      <c r="N359" s="682">
        <v>383911.61</v>
      </c>
      <c r="O359" s="683">
        <v>44135</v>
      </c>
      <c r="P359" s="512">
        <f t="shared" si="11"/>
        <v>8.698575053812167</v>
      </c>
      <c r="Q359" s="513">
        <v>41327</v>
      </c>
    </row>
    <row r="360" spans="1:17" ht="11.25">
      <c r="A360" s="453">
        <v>359</v>
      </c>
      <c r="B360" s="497" t="s">
        <v>48</v>
      </c>
      <c r="C360" s="520" t="s">
        <v>582</v>
      </c>
      <c r="D360" s="499" t="s">
        <v>583</v>
      </c>
      <c r="E360" s="499"/>
      <c r="F360" s="499" t="s">
        <v>582</v>
      </c>
      <c r="G360" s="508">
        <v>41271</v>
      </c>
      <c r="H360" s="499" t="s">
        <v>46</v>
      </c>
      <c r="I360" s="509">
        <v>104</v>
      </c>
      <c r="J360" s="509">
        <v>1</v>
      </c>
      <c r="K360" s="509">
        <v>10</v>
      </c>
      <c r="L360" s="554">
        <v>133</v>
      </c>
      <c r="M360" s="555">
        <v>19</v>
      </c>
      <c r="N360" s="438">
        <v>384044.61</v>
      </c>
      <c r="O360" s="439">
        <v>44154</v>
      </c>
      <c r="P360" s="515">
        <f t="shared" si="11"/>
        <v>8.69784413643158</v>
      </c>
      <c r="Q360" s="516">
        <v>41376</v>
      </c>
    </row>
    <row r="361" spans="1:17" ht="11.25">
      <c r="A361" s="453">
        <v>360</v>
      </c>
      <c r="B361" s="497" t="s">
        <v>48</v>
      </c>
      <c r="C361" s="465" t="s">
        <v>960</v>
      </c>
      <c r="D361" s="382"/>
      <c r="E361" s="382"/>
      <c r="F361" s="382" t="s">
        <v>960</v>
      </c>
      <c r="G361" s="508">
        <v>40550</v>
      </c>
      <c r="H361" s="499" t="s">
        <v>47</v>
      </c>
      <c r="I361" s="556">
        <v>238</v>
      </c>
      <c r="J361" s="586">
        <v>1</v>
      </c>
      <c r="K361" s="586">
        <v>25</v>
      </c>
      <c r="L361" s="531">
        <v>1201</v>
      </c>
      <c r="M361" s="534">
        <v>240</v>
      </c>
      <c r="N361" s="550">
        <f>3050831.5+2178855.5+1196710.5+496983-200+210922.5+72277.5+4+43197.5+17348.5+5963-21+911+2090+3211+288+13851+660+6810+66+156+103+3603+1201+2402+1921.5+6657+1201</f>
        <v>7318004</v>
      </c>
      <c r="O361" s="552">
        <f>393137+282255+156413+64920+60+27548+10641+7089+3227+1196+161+455+643+72+2547+132+1127+11+26+25+720+240+481+384+1330+240</f>
        <v>955080</v>
      </c>
      <c r="P361" s="512">
        <f t="shared" si="11"/>
        <v>7.662189554801692</v>
      </c>
      <c r="Q361" s="513">
        <v>41467</v>
      </c>
    </row>
    <row r="362" spans="1:17" ht="11.25">
      <c r="A362" s="453">
        <v>361</v>
      </c>
      <c r="B362" s="497"/>
      <c r="C362" s="548" t="s">
        <v>479</v>
      </c>
      <c r="D362" s="492" t="s">
        <v>482</v>
      </c>
      <c r="E362" s="491" t="s">
        <v>387</v>
      </c>
      <c r="F362" s="491" t="s">
        <v>480</v>
      </c>
      <c r="G362" s="508">
        <v>41201</v>
      </c>
      <c r="H362" s="499" t="s">
        <v>139</v>
      </c>
      <c r="I362" s="509">
        <v>10</v>
      </c>
      <c r="J362" s="506">
        <v>1</v>
      </c>
      <c r="K362" s="506">
        <v>8</v>
      </c>
      <c r="L362" s="531">
        <v>85</v>
      </c>
      <c r="M362" s="534">
        <v>17</v>
      </c>
      <c r="N362" s="550">
        <v>82014.63</v>
      </c>
      <c r="O362" s="552">
        <v>6536</v>
      </c>
      <c r="P362" s="512">
        <f t="shared" si="11"/>
        <v>12.54813800489596</v>
      </c>
      <c r="Q362" s="513">
        <v>41320</v>
      </c>
    </row>
    <row r="363" spans="1:17" ht="11.25">
      <c r="A363" s="453">
        <v>362</v>
      </c>
      <c r="B363" s="497"/>
      <c r="C363" s="548" t="s">
        <v>90</v>
      </c>
      <c r="D363" s="519" t="s">
        <v>383</v>
      </c>
      <c r="E363" s="519" t="s">
        <v>65</v>
      </c>
      <c r="F363" s="499" t="s">
        <v>91</v>
      </c>
      <c r="G363" s="526">
        <v>40886</v>
      </c>
      <c r="H363" s="499" t="s">
        <v>139</v>
      </c>
      <c r="I363" s="509">
        <v>3</v>
      </c>
      <c r="J363" s="509">
        <v>1</v>
      </c>
      <c r="K363" s="509">
        <v>19</v>
      </c>
      <c r="L363" s="642">
        <v>115</v>
      </c>
      <c r="M363" s="651">
        <v>23</v>
      </c>
      <c r="N363" s="644">
        <v>29344</v>
      </c>
      <c r="O363" s="652">
        <v>4503</v>
      </c>
      <c r="P363" s="512">
        <f t="shared" si="11"/>
        <v>6.516544525871641</v>
      </c>
      <c r="Q363" s="513">
        <v>41334</v>
      </c>
    </row>
    <row r="364" spans="1:17" ht="11.25">
      <c r="A364" s="453">
        <v>363</v>
      </c>
      <c r="B364" s="497"/>
      <c r="C364" s="548" t="s">
        <v>90</v>
      </c>
      <c r="D364" s="519" t="s">
        <v>383</v>
      </c>
      <c r="E364" s="519" t="s">
        <v>65</v>
      </c>
      <c r="F364" s="499" t="s">
        <v>91</v>
      </c>
      <c r="G364" s="526">
        <v>40886</v>
      </c>
      <c r="H364" s="499" t="s">
        <v>139</v>
      </c>
      <c r="I364" s="509">
        <v>3</v>
      </c>
      <c r="J364" s="656">
        <v>1</v>
      </c>
      <c r="K364" s="656">
        <v>20</v>
      </c>
      <c r="L364" s="531">
        <v>105</v>
      </c>
      <c r="M364" s="534">
        <v>21</v>
      </c>
      <c r="N364" s="646">
        <v>29449</v>
      </c>
      <c r="O364" s="645">
        <v>4524</v>
      </c>
      <c r="P364" s="512">
        <f t="shared" si="11"/>
        <v>6.509504862953139</v>
      </c>
      <c r="Q364" s="513">
        <v>41341</v>
      </c>
    </row>
    <row r="365" spans="1:17" ht="11.25">
      <c r="A365" s="453">
        <v>364</v>
      </c>
      <c r="B365" s="498"/>
      <c r="C365" s="520" t="s">
        <v>311</v>
      </c>
      <c r="D365" s="490" t="s">
        <v>312</v>
      </c>
      <c r="E365" s="492" t="s">
        <v>69</v>
      </c>
      <c r="F365" s="496" t="s">
        <v>310</v>
      </c>
      <c r="G365" s="495">
        <v>41089</v>
      </c>
      <c r="H365" s="499" t="s">
        <v>59</v>
      </c>
      <c r="I365" s="556">
        <v>195</v>
      </c>
      <c r="J365" s="509">
        <v>7</v>
      </c>
      <c r="K365" s="509">
        <v>31</v>
      </c>
      <c r="L365" s="529">
        <v>13862.5</v>
      </c>
      <c r="M365" s="514">
        <v>2479</v>
      </c>
      <c r="N365" s="541">
        <f>4988788.67+3719997.12+2853563.94+1895998.95+1351969.36+1037493.06+726296.32+560110.4+416274.54+252327.74+177011.57+93167.06+82248.27+56440.1+54720.36+35557.57+23647.04+46192.16+13416.47+11431.21+17466.34+14755.94+8625.41+9174.41+8839.9+3273.5+5406+2261.5+6112.5+4483+13862.5</f>
        <v>18490912.909999993</v>
      </c>
      <c r="O365" s="547">
        <f>493525+372934+287472+184674+133834+103411+71574+58323+43294+27220+20315+12357+10204+8023+8189+5199+3120+5590+2524+2569+3234+2751+1831+1487+1457+541+911+321+1041+734+2479</f>
        <v>1871138</v>
      </c>
      <c r="P365" s="512">
        <f t="shared" si="11"/>
        <v>9.88217486363913</v>
      </c>
      <c r="Q365" s="513">
        <v>41299</v>
      </c>
    </row>
    <row r="366" spans="1:17" ht="11.25">
      <c r="A366" s="453">
        <v>365</v>
      </c>
      <c r="B366" s="498"/>
      <c r="C366" s="520" t="s">
        <v>311</v>
      </c>
      <c r="D366" s="490" t="s">
        <v>312</v>
      </c>
      <c r="E366" s="492" t="s">
        <v>69</v>
      </c>
      <c r="F366" s="496" t="s">
        <v>310</v>
      </c>
      <c r="G366" s="508">
        <v>41089</v>
      </c>
      <c r="H366" s="499" t="s">
        <v>59</v>
      </c>
      <c r="I366" s="556">
        <v>195</v>
      </c>
      <c r="J366" s="506">
        <v>4</v>
      </c>
      <c r="K366" s="506">
        <v>34</v>
      </c>
      <c r="L366" s="510">
        <v>9694</v>
      </c>
      <c r="M366" s="511">
        <v>1934</v>
      </c>
      <c r="N366" s="535">
        <f>4988788.67+3719997.12+2853563.94+1895998.95+1351969.36+1037493.06+726296.32+560110.4+416274.54+252327.74+177011.57+93167.06+82248.27+56440.1+54720.36+35557.57+23647.04+46192.16+13416.47+11431.21+17466.34+14755.94+8625.41+9174.41+8839.9+3273.5+5406+2261.5+6112.5+4483+13862.5+1809.6+1578.6+9694</f>
        <v>18503995.109999996</v>
      </c>
      <c r="O366" s="542">
        <f>493525+372934+287472+184674+133834+103411+71574+58323+43294+27220+20315+12357+10204+8023+8189+5199+3120+5590+2524+2569+3234+2751+1831+1487+1457+541+911+321+1041+734+2479+348+314+1934</f>
        <v>1873734</v>
      </c>
      <c r="P366" s="512">
        <f t="shared" si="11"/>
        <v>9.875465306174727</v>
      </c>
      <c r="Q366" s="513">
        <v>41320</v>
      </c>
    </row>
    <row r="367" spans="1:17" ht="11.25">
      <c r="A367" s="453">
        <v>366</v>
      </c>
      <c r="B367" s="498"/>
      <c r="C367" s="502" t="s">
        <v>311</v>
      </c>
      <c r="D367" s="490" t="s">
        <v>312</v>
      </c>
      <c r="E367" s="492" t="s">
        <v>69</v>
      </c>
      <c r="F367" s="496" t="s">
        <v>310</v>
      </c>
      <c r="G367" s="495">
        <v>41089</v>
      </c>
      <c r="H367" s="491" t="s">
        <v>59</v>
      </c>
      <c r="I367" s="527">
        <v>195</v>
      </c>
      <c r="J367" s="509">
        <v>2</v>
      </c>
      <c r="K367" s="509">
        <v>51</v>
      </c>
      <c r="L367" s="503">
        <v>7128</v>
      </c>
      <c r="M367" s="504">
        <v>1425</v>
      </c>
      <c r="N367" s="503">
        <f>4988788.67+3719997.12+2853563.94+1895998.95+1351969.36+1037493.06+726296.32+560110.4+416274.54+252327.74+177011.57+93167.06+82248.27+56440.1+54720.36+35557.57+23647.04+46192.16+13416.47+11431.21+17466.34+14755.94+8625.41+9174.41+8839.9+3273.5+5406+2261.5+6112.5+4483+13862.5+1809.6+1578.6+9694+600+285+2428.5+2324.5+2453.4+1012.4+1076.4+2858.5+1451.6+1188+831.6+831.6+950.4+950.4+1425.6+1188+7128</f>
        <v>18532979.009999994</v>
      </c>
      <c r="O367" s="504">
        <f>493525+372934+287472+184674+133834+103411+71574+58323+43294+27220+20315+12357+10204+8023+8189+5199+3120+5590+2524+2569+3234+2751+1831+1487+1457+541+911+321+1041+734+2479+348+314+1934+120+57+484+367+447+195+203+572+311+238+166+166+190+190+285+238+1425</f>
        <v>1879388</v>
      </c>
      <c r="P367" s="512">
        <f t="shared" si="11"/>
        <v>9.86117768656605</v>
      </c>
      <c r="Q367" s="513">
        <v>41509</v>
      </c>
    </row>
    <row r="368" spans="1:17" ht="11.25">
      <c r="A368" s="453">
        <v>367</v>
      </c>
      <c r="B368" s="498"/>
      <c r="C368" s="520" t="s">
        <v>311</v>
      </c>
      <c r="D368" s="490" t="s">
        <v>312</v>
      </c>
      <c r="E368" s="492" t="s">
        <v>69</v>
      </c>
      <c r="F368" s="496" t="s">
        <v>310</v>
      </c>
      <c r="G368" s="495">
        <v>41089</v>
      </c>
      <c r="H368" s="499" t="s">
        <v>59</v>
      </c>
      <c r="I368" s="556">
        <v>195</v>
      </c>
      <c r="J368" s="509">
        <v>13</v>
      </c>
      <c r="K368" s="509">
        <v>29</v>
      </c>
      <c r="L368" s="529">
        <v>6112.5</v>
      </c>
      <c r="M368" s="514">
        <v>1041</v>
      </c>
      <c r="N368" s="541">
        <f>4988788.67+3719997.12+2853563.94+1895998.95+1351969.36+1037493.06+726296.32+560110.4+416274.54+252327.74+177011.57+93167.06+82248.27+56440.1+54720.36+35557.57+23647.04+46192.16+13416.47+11431.21+17466.34+14755.94+8625.41+9174.41+8839.9+3273.5+5406+2261.5+6112.5</f>
        <v>18472567.409999993</v>
      </c>
      <c r="O368" s="547">
        <f>493525+372934+287472+184674+133834+103411+71574+58323+43294+27220+20315+12357+10204+8023+8189+5199+3120+5590+2524+2569+3234+2751+1831+1487+1457+541+911+321+1041</f>
        <v>1867925</v>
      </c>
      <c r="P368" s="512">
        <f t="shared" si="11"/>
        <v>9.889351772688942</v>
      </c>
      <c r="Q368" s="513">
        <v>41285</v>
      </c>
    </row>
    <row r="369" spans="1:17" ht="11.25">
      <c r="A369" s="453">
        <v>368</v>
      </c>
      <c r="B369" s="498"/>
      <c r="C369" s="520" t="s">
        <v>311</v>
      </c>
      <c r="D369" s="490" t="s">
        <v>312</v>
      </c>
      <c r="E369" s="492" t="s">
        <v>69</v>
      </c>
      <c r="F369" s="496" t="s">
        <v>310</v>
      </c>
      <c r="G369" s="495">
        <v>41089</v>
      </c>
      <c r="H369" s="499" t="s">
        <v>59</v>
      </c>
      <c r="I369" s="556">
        <v>195</v>
      </c>
      <c r="J369" s="666">
        <v>9</v>
      </c>
      <c r="K369" s="666">
        <v>30</v>
      </c>
      <c r="L369" s="529">
        <v>4483</v>
      </c>
      <c r="M369" s="514">
        <v>734</v>
      </c>
      <c r="N369" s="539">
        <f>4988788.67+3719997.12+2853563.94+1895998.95+1351969.36+1037493.06+726296.32+560110.4+416274.54+252327.74+177011.57+93167.06+82248.27+56440.1+54720.36+35557.57+23647.04+46192.16+13416.47+11431.21+17466.34+14755.94+8625.41+9174.41+8839.9+3273.5+5406+2261.5+6112.5+4483</f>
        <v>18477050.409999993</v>
      </c>
      <c r="O369" s="545">
        <f>493525+372934+287472+184674+133834+103411+71574+58323+43294+27220+20315+12357+10204+8023+8189+5199+3120+5590+2524+2569+3234+2751+1831+1487+1457+541+911+321+1041+734</f>
        <v>1868659</v>
      </c>
      <c r="P369" s="512">
        <f t="shared" si="11"/>
        <v>9.887866330882195</v>
      </c>
      <c r="Q369" s="513">
        <v>41292</v>
      </c>
    </row>
    <row r="370" spans="1:17" ht="11.25">
      <c r="A370" s="453">
        <v>369</v>
      </c>
      <c r="B370" s="498"/>
      <c r="C370" s="520" t="s">
        <v>311</v>
      </c>
      <c r="D370" s="500" t="s">
        <v>312</v>
      </c>
      <c r="E370" s="506" t="s">
        <v>69</v>
      </c>
      <c r="F370" s="560" t="s">
        <v>310</v>
      </c>
      <c r="G370" s="508">
        <v>41089</v>
      </c>
      <c r="H370" s="499" t="s">
        <v>59</v>
      </c>
      <c r="I370" s="556">
        <v>195</v>
      </c>
      <c r="J370" s="509">
        <v>3</v>
      </c>
      <c r="K370" s="509">
        <v>42</v>
      </c>
      <c r="L370" s="529">
        <v>2858.5</v>
      </c>
      <c r="M370" s="514">
        <v>572</v>
      </c>
      <c r="N370" s="541">
        <f>4988788.67+3719997.12+2853563.94+1895998.95+1351969.36+1037493.06+726296.32+560110.4+416274.54+252327.74+177011.57+93167.06+82248.27+56440.1+54720.36+35557.57+23647.04+46192.16+13416.47+11431.21+17466.34+14755.94+8625.41+9174.41+8839.9+3273.5+5406+2261.5+6112.5+4483+13862.5+1809.6+1578.6+9694+600+285+2428.5+2324.5+2453.4+1012.4+1076.4+2858.5</f>
        <v>18517033.80999999</v>
      </c>
      <c r="O370" s="547">
        <f>493525+372934+287472+184674+133834+103411+71574+58323+43294+27220+20315+12357+10204+8023+8189+5199+3120+5590+2524+2569+3234+2751+1831+1487+1457+541+911+321+1041+734+2479+348+314+1934+120+57+484+367+447+195+203+572</f>
        <v>1876179</v>
      </c>
      <c r="P370" s="515">
        <f t="shared" si="11"/>
        <v>9.869545395188833</v>
      </c>
      <c r="Q370" s="516">
        <v>41383</v>
      </c>
    </row>
    <row r="371" spans="1:17" ht="11.25">
      <c r="A371" s="453">
        <v>370</v>
      </c>
      <c r="B371" s="498"/>
      <c r="C371" s="520" t="s">
        <v>311</v>
      </c>
      <c r="D371" s="500" t="s">
        <v>312</v>
      </c>
      <c r="E371" s="506" t="s">
        <v>69</v>
      </c>
      <c r="F371" s="560" t="s">
        <v>310</v>
      </c>
      <c r="G371" s="508">
        <v>41089</v>
      </c>
      <c r="H371" s="499" t="s">
        <v>59</v>
      </c>
      <c r="I371" s="556">
        <v>195</v>
      </c>
      <c r="J371" s="684">
        <v>3</v>
      </c>
      <c r="K371" s="684">
        <v>35</v>
      </c>
      <c r="L371" s="558">
        <v>2453.4</v>
      </c>
      <c r="M371" s="559">
        <v>447</v>
      </c>
      <c r="N371" s="438">
        <v>18510691.61</v>
      </c>
      <c r="O371" s="547">
        <v>1874930</v>
      </c>
      <c r="P371" s="515">
        <f t="shared" si="11"/>
        <v>9.872737440864459</v>
      </c>
      <c r="Q371" s="516">
        <v>41355</v>
      </c>
    </row>
    <row r="372" spans="1:17" ht="11.25">
      <c r="A372" s="453">
        <v>371</v>
      </c>
      <c r="B372" s="498"/>
      <c r="C372" s="520" t="s">
        <v>311</v>
      </c>
      <c r="D372" s="500" t="s">
        <v>312</v>
      </c>
      <c r="E372" s="506" t="s">
        <v>69</v>
      </c>
      <c r="F372" s="560" t="s">
        <v>310</v>
      </c>
      <c r="G372" s="508">
        <v>41089</v>
      </c>
      <c r="H372" s="499" t="s">
        <v>59</v>
      </c>
      <c r="I372" s="556">
        <v>195</v>
      </c>
      <c r="J372" s="509">
        <v>3</v>
      </c>
      <c r="K372" s="509">
        <v>37</v>
      </c>
      <c r="L372" s="510">
        <v>2428.5</v>
      </c>
      <c r="M372" s="511">
        <v>484</v>
      </c>
      <c r="N372" s="535">
        <f>4988788.67+3719997.12+2853563.94+1895998.95+1351969.36+1037493.06+726296.32+560110.4+416274.54+252327.74+177011.57+93167.06+82248.27+56440.1+54720.36+35557.57+23647.04+46192.16+13416.47+11431.21+17466.34+14755.94+8625.41+9174.41+8839.9+3273.5+5406+2261.5+6112.5+4483+13862.5+1809.6+1578.6+9694+600+285+2428.5</f>
        <v>18507308.609999996</v>
      </c>
      <c r="O372" s="542">
        <f>493525+372934+287472+184674+133834+103411+71574+58323+43294+27220+20315+12357+10204+8023+8189+5199+3120+5590+2524+2569+3234+2751+1831+1487+1457+541+911+321+1041+734+2479+348+314+1934+120+57+484</f>
        <v>1874395</v>
      </c>
      <c r="P372" s="512">
        <f t="shared" si="11"/>
        <v>9.873750522168484</v>
      </c>
      <c r="Q372" s="513">
        <v>41341</v>
      </c>
    </row>
    <row r="373" spans="1:17" ht="11.25">
      <c r="A373" s="453">
        <v>372</v>
      </c>
      <c r="B373" s="498"/>
      <c r="C373" s="520" t="s">
        <v>311</v>
      </c>
      <c r="D373" s="500" t="s">
        <v>312</v>
      </c>
      <c r="E373" s="506" t="s">
        <v>69</v>
      </c>
      <c r="F373" s="560" t="s">
        <v>310</v>
      </c>
      <c r="G373" s="508">
        <v>41089</v>
      </c>
      <c r="H373" s="499" t="s">
        <v>59</v>
      </c>
      <c r="I373" s="556">
        <v>195</v>
      </c>
      <c r="J373" s="509">
        <v>3</v>
      </c>
      <c r="K373" s="509">
        <v>38</v>
      </c>
      <c r="L373" s="510">
        <v>2324.5</v>
      </c>
      <c r="M373" s="511">
        <v>367</v>
      </c>
      <c r="N373" s="535">
        <f>4988788.67+3719997.12+2853563.94+1895998.95+1351969.36+1037493.06+726296.32+560110.4+416274.54+252327.74+177011.57+93167.06+82248.27+56440.1+54720.36+35557.57+23647.04+46192.16+13416.47+11431.21+17466.34+14755.94+8625.41+9174.41+8839.9+3273.5+5406+2261.5+6112.5+4483+13862.5+1809.6+1578.6+9694+600+285+2428.5+2324.5</f>
        <v>18509633.109999996</v>
      </c>
      <c r="O373" s="542">
        <f>493525+372934+287472+184674+133834+103411+71574+58323+43294+27220+20315+12357+10204+8023+8189+5199+3120+5590+2524+2569+3234+2751+1831+1487+1457+541+911+321+1041+734+2479+348+314+1934+120+57+484+367</f>
        <v>1874762</v>
      </c>
      <c r="P373" s="512">
        <f t="shared" si="11"/>
        <v>9.873057545437765</v>
      </c>
      <c r="Q373" s="513">
        <v>41348</v>
      </c>
    </row>
    <row r="374" spans="1:17" ht="11.25">
      <c r="A374" s="453">
        <v>373</v>
      </c>
      <c r="B374" s="498"/>
      <c r="C374" s="520" t="s">
        <v>311</v>
      </c>
      <c r="D374" s="490" t="s">
        <v>312</v>
      </c>
      <c r="E374" s="492" t="s">
        <v>69</v>
      </c>
      <c r="F374" s="496" t="s">
        <v>310</v>
      </c>
      <c r="G374" s="495">
        <v>41089</v>
      </c>
      <c r="H374" s="499" t="s">
        <v>59</v>
      </c>
      <c r="I374" s="556">
        <v>195</v>
      </c>
      <c r="J374" s="509">
        <v>9</v>
      </c>
      <c r="K374" s="509">
        <v>28</v>
      </c>
      <c r="L374" s="529">
        <v>2261.5</v>
      </c>
      <c r="M374" s="514">
        <v>321</v>
      </c>
      <c r="N374" s="535">
        <f>4988788.67+3719997.12+2853563.94+1895998.95+1351969.36+1037493.06+726296.32+560110.4+416274.54+252327.74+177011.57+93167.06+82248.27+56440.1+54720.36+35557.57+23647.04+46192.16+13416.47+11431.21+17466.34+14755.94+8625.41+9174.41+8839.9+3273.5+5406+2261.5</f>
        <v>18466454.909999993</v>
      </c>
      <c r="O374" s="542">
        <f>493525+372934+287472+184674+133834+103411+71574+58323+43294+27220+20315+12357+10204+8023+8189+5199+3120+5590+2524+2569+3234+2751+1831+1487+1457+541+911+321</f>
        <v>1866884</v>
      </c>
      <c r="P374" s="512">
        <f t="shared" si="11"/>
        <v>9.891592037855588</v>
      </c>
      <c r="Q374" s="513">
        <v>41278</v>
      </c>
    </row>
    <row r="375" spans="1:17" ht="11.25">
      <c r="A375" s="453">
        <v>374</v>
      </c>
      <c r="B375" s="498"/>
      <c r="C375" s="520" t="s">
        <v>311</v>
      </c>
      <c r="D375" s="490" t="s">
        <v>312</v>
      </c>
      <c r="E375" s="492" t="s">
        <v>69</v>
      </c>
      <c r="F375" s="496" t="s">
        <v>310</v>
      </c>
      <c r="G375" s="495">
        <v>41089</v>
      </c>
      <c r="H375" s="499" t="s">
        <v>59</v>
      </c>
      <c r="I375" s="556">
        <v>195</v>
      </c>
      <c r="J375" s="506">
        <v>3</v>
      </c>
      <c r="K375" s="506">
        <v>32</v>
      </c>
      <c r="L375" s="529">
        <v>1809.6</v>
      </c>
      <c r="M375" s="511">
        <v>348</v>
      </c>
      <c r="N375" s="541">
        <f>4988788.67+3719997.12+2853563.94+1895998.95+1351969.36+1037493.06+726296.32+560110.4+416274.54+252327.74+177011.57+93167.06+82248.27+56440.1+54720.36+35557.57+23647.04+46192.16+13416.47+11431.21+17466.34+14755.94+8625.41+9174.41+8839.9+3273.5+5406+2261.5+6112.5+4483+13862.5+1809.6</f>
        <v>18492722.509999994</v>
      </c>
      <c r="O375" s="542">
        <f>493525+372934+287472+184674+133834+103411+71574+58323+43294+27220+20315+12357+10204+8023+8189+5199+3120+5590+2524+2569+3234+2751+1831+1487+1457+541+911+321+1041+734+2479+348</f>
        <v>1871486</v>
      </c>
      <c r="P375" s="515">
        <f t="shared" si="11"/>
        <v>9.881304220282702</v>
      </c>
      <c r="Q375" s="516">
        <v>41306</v>
      </c>
    </row>
    <row r="376" spans="1:17" ht="11.25">
      <c r="A376" s="453">
        <v>375</v>
      </c>
      <c r="B376" s="498"/>
      <c r="C376" s="520" t="s">
        <v>311</v>
      </c>
      <c r="D376" s="490" t="s">
        <v>312</v>
      </c>
      <c r="E376" s="492" t="s">
        <v>69</v>
      </c>
      <c r="F376" s="496" t="s">
        <v>310</v>
      </c>
      <c r="G376" s="508">
        <v>41089</v>
      </c>
      <c r="H376" s="499" t="s">
        <v>59</v>
      </c>
      <c r="I376" s="556">
        <v>195</v>
      </c>
      <c r="J376" s="509">
        <v>2</v>
      </c>
      <c r="K376" s="509">
        <v>33</v>
      </c>
      <c r="L376" s="510">
        <v>1578.6</v>
      </c>
      <c r="M376" s="514">
        <v>314</v>
      </c>
      <c r="N376" s="535">
        <f>4988788.67+3719997.12+2853563.94+1895998.95+1351969.36+1037493.06+726296.32+560110.4+416274.54+252327.74+177011.57+93167.06+82248.27+56440.1+54720.36+35557.57+23647.04+46192.16+13416.47+11431.21+17466.34+14755.94+8625.41+9174.41+8839.9+3273.5+5406+2261.5+6112.5+4483+13862.5+1809.6+1578.6</f>
        <v>18494301.109999996</v>
      </c>
      <c r="O376" s="547">
        <f>493525+372934+287472+184674+133834+103411+71574+58323+43294+27220+20315+12357+10204+8023+8189+5199+3120+5590+2524+2569+3234+2751+1831+1487+1457+541+911+321+1041+734+2479+348+314</f>
        <v>1871800</v>
      </c>
      <c r="P376" s="515">
        <f t="shared" si="11"/>
        <v>9.88048996153435</v>
      </c>
      <c r="Q376" s="516">
        <v>41313</v>
      </c>
    </row>
    <row r="377" spans="1:17" ht="11.25">
      <c r="A377" s="453">
        <v>376</v>
      </c>
      <c r="B377" s="498"/>
      <c r="C377" s="520" t="s">
        <v>311</v>
      </c>
      <c r="D377" s="500" t="s">
        <v>312</v>
      </c>
      <c r="E377" s="506" t="s">
        <v>69</v>
      </c>
      <c r="F377" s="560" t="s">
        <v>310</v>
      </c>
      <c r="G377" s="508">
        <v>41089</v>
      </c>
      <c r="H377" s="499" t="s">
        <v>59</v>
      </c>
      <c r="I377" s="556">
        <v>195</v>
      </c>
      <c r="J377" s="509">
        <v>2</v>
      </c>
      <c r="K377" s="509">
        <v>43</v>
      </c>
      <c r="L377" s="510">
        <v>1451.6</v>
      </c>
      <c r="M377" s="511">
        <v>311</v>
      </c>
      <c r="N377" s="535">
        <f>4988788.67+3719997.12+2853563.94+1895998.95+1351969.36+1037493.06+726296.32+560110.4+416274.54+252327.74+177011.57+93167.06+82248.27+56440.1+54720.36+35557.57+23647.04+46192.16+13416.47+11431.21+17466.34+14755.94+8625.41+9174.41+8839.9+3273.5+5406+2261.5+6112.5+4483+13862.5+1809.6+1578.6+9694+600+285+2428.5+2324.5+2453.4+1012.4+1076.4+2858.5+1451.6</f>
        <v>18518485.409999993</v>
      </c>
      <c r="O377" s="542">
        <f>493525+372934+287472+184674+133834+103411+71574+58323+43294+27220+20315+12357+10204+8023+8189+5199+3120+5590+2524+2569+3234+2751+1831+1487+1457+541+911+321+1041+734+2479+348+314+1934+120+57+484+367+447+195+203+572+311</f>
        <v>1876490</v>
      </c>
      <c r="P377" s="512">
        <f t="shared" si="11"/>
        <v>9.868683238386557</v>
      </c>
      <c r="Q377" s="513">
        <v>41390</v>
      </c>
    </row>
    <row r="378" spans="1:17" ht="11.25">
      <c r="A378" s="453">
        <v>377</v>
      </c>
      <c r="B378" s="498"/>
      <c r="C378" s="520" t="s">
        <v>311</v>
      </c>
      <c r="D378" s="500" t="s">
        <v>312</v>
      </c>
      <c r="E378" s="506" t="s">
        <v>69</v>
      </c>
      <c r="F378" s="560" t="s">
        <v>310</v>
      </c>
      <c r="G378" s="495">
        <v>41089</v>
      </c>
      <c r="H378" s="499" t="s">
        <v>59</v>
      </c>
      <c r="I378" s="556">
        <v>195</v>
      </c>
      <c r="J378" s="509">
        <v>1</v>
      </c>
      <c r="K378" s="509">
        <v>49</v>
      </c>
      <c r="L378" s="528">
        <v>1425.6</v>
      </c>
      <c r="M378" s="532">
        <v>285</v>
      </c>
      <c r="N378" s="537">
        <f>4988788.67+3719997.12+2853563.94+1895998.95+1351969.36+1037493.06+726296.32+560110.4+416274.54+252327.74+177011.57+93167.06+82248.27+56440.1+54720.36+35557.57+23647.04+46192.16+13416.47+11431.21+17466.34+14755.94+8625.41+9174.41+8839.9+3273.5+5406+2261.5+6112.5+4483+13862.5+1809.6+1578.6+9694+600+285+2428.5+2324.5+2453.4+1012.4+1076.4+2858.5+1451.6+1188+831.6+831.6+950.4+950.4+1425.6</f>
        <v>18524663.009999994</v>
      </c>
      <c r="O378" s="543">
        <f>493525+372934+287472+184674+133834+103411+71574+58323+43294+27220+20315+12357+10204+8023+8189+5199+3120+5590+2524+2569+3234+2751+1831+1487+1457+541+911+321+1041+734+2479+348+314+1934+120+57+484+367+447+195+203+572+311+238+166+166+190+190+285</f>
        <v>1877725</v>
      </c>
      <c r="P378" s="515">
        <f t="shared" si="11"/>
        <v>9.865482437524129</v>
      </c>
      <c r="Q378" s="516">
        <v>41474</v>
      </c>
    </row>
    <row r="379" spans="1:17" ht="11.25">
      <c r="A379" s="453">
        <v>378</v>
      </c>
      <c r="B379" s="498"/>
      <c r="C379" s="520" t="s">
        <v>311</v>
      </c>
      <c r="D379" s="500" t="s">
        <v>312</v>
      </c>
      <c r="E379" s="506" t="s">
        <v>69</v>
      </c>
      <c r="F379" s="560" t="s">
        <v>310</v>
      </c>
      <c r="G379" s="508">
        <v>41089</v>
      </c>
      <c r="H379" s="499" t="s">
        <v>59</v>
      </c>
      <c r="I379" s="556">
        <v>195</v>
      </c>
      <c r="J379" s="506">
        <v>1</v>
      </c>
      <c r="K379" s="506">
        <v>44</v>
      </c>
      <c r="L379" s="528">
        <v>1188</v>
      </c>
      <c r="M379" s="532">
        <v>238</v>
      </c>
      <c r="N379" s="537">
        <f>4988788.67+3719997.12+2853563.94+1895998.95+1351969.36+1037493.06+726296.32+560110.4+416274.54+252327.74+177011.57+93167.06+82248.27+56440.1+54720.36+35557.57+23647.04+46192.16+13416.47+11431.21+17466.34+14755.94+8625.41+9174.41+8839.9+3273.5+5406+2261.5+6112.5+4483+13862.5+1809.6+1578.6+9694+600+285+2428.5+2324.5+2453.4+1012.4+1076.4+2858.5+1451.6+1188</f>
        <v>18519673.409999993</v>
      </c>
      <c r="O379" s="543">
        <f>493525+372934+287472+184674+133834+103411+71574+58323+43294+27220+20315+12357+10204+8023+8189+5199+3120+5590+2524+2569+3234+2751+1831+1487+1457+541+911+321+1041+734+2479+348+314+1934+120+57+484+367+447+195+203+572+311+238</f>
        <v>1876728</v>
      </c>
      <c r="P379" s="515">
        <f t="shared" si="11"/>
        <v>9.868064743532356</v>
      </c>
      <c r="Q379" s="516">
        <v>41439</v>
      </c>
    </row>
    <row r="380" spans="1:17" ht="11.25">
      <c r="A380" s="453">
        <v>379</v>
      </c>
      <c r="B380" s="403"/>
      <c r="C380" s="502" t="s">
        <v>311</v>
      </c>
      <c r="D380" s="490" t="s">
        <v>312</v>
      </c>
      <c r="E380" s="492" t="s">
        <v>69</v>
      </c>
      <c r="F380" s="496" t="s">
        <v>310</v>
      </c>
      <c r="G380" s="495">
        <v>41089</v>
      </c>
      <c r="H380" s="491" t="s">
        <v>59</v>
      </c>
      <c r="I380" s="527">
        <v>195</v>
      </c>
      <c r="J380" s="509">
        <v>1</v>
      </c>
      <c r="K380" s="509">
        <v>50</v>
      </c>
      <c r="L380" s="528">
        <v>1188</v>
      </c>
      <c r="M380" s="532">
        <v>238</v>
      </c>
      <c r="N380" s="537">
        <f>4988788.67+3719997.12+2853563.94+1895998.95+1351969.36+1037493.06+726296.32+560110.4+416274.54+252327.74+177011.57+93167.06+82248.27+56440.1+54720.36+35557.57+23647.04+46192.16+13416.47+11431.21+17466.34+14755.94+8625.41+9174.41+8839.9+3273.5+5406+2261.5+6112.5+4483+13862.5+1809.6+1578.6+9694+600+285+2428.5+2324.5+2453.4+1012.4+1076.4+2858.5+1451.6+1188+831.6+831.6+950.4+950.4+1425.6+1188</f>
        <v>18525851.009999994</v>
      </c>
      <c r="O380" s="543">
        <f>493525+372934+287472+184674+133834+103411+71574+58323+43294+27220+20315+12357+10204+8023+8189+5199+3120+5590+2524+2569+3234+2751+1831+1487+1457+541+911+321+1041+734+2479+348+314+1934+120+57+484+367+447+195+203+572+311+238+166+166+190+190+285+238</f>
        <v>1877963</v>
      </c>
      <c r="P380" s="515">
        <f t="shared" si="11"/>
        <v>9.864864755056406</v>
      </c>
      <c r="Q380" s="516">
        <v>41502</v>
      </c>
    </row>
    <row r="381" spans="1:17" ht="11.25">
      <c r="A381" s="453">
        <v>380</v>
      </c>
      <c r="B381" s="498"/>
      <c r="C381" s="520" t="s">
        <v>311</v>
      </c>
      <c r="D381" s="500" t="s">
        <v>312</v>
      </c>
      <c r="E381" s="506" t="s">
        <v>69</v>
      </c>
      <c r="F381" s="560" t="s">
        <v>310</v>
      </c>
      <c r="G381" s="508">
        <v>41089</v>
      </c>
      <c r="H381" s="499" t="s">
        <v>59</v>
      </c>
      <c r="I381" s="556">
        <v>195</v>
      </c>
      <c r="J381" s="666">
        <v>3</v>
      </c>
      <c r="K381" s="666">
        <v>37</v>
      </c>
      <c r="L381" s="510">
        <v>1076.4</v>
      </c>
      <c r="M381" s="511">
        <v>203</v>
      </c>
      <c r="N381" s="535">
        <f>4988788.67+3719997.12+2853563.94+1895998.95+1351969.36+1037493.06+726296.32+560110.4+416274.54+252327.74+177011.57+93167.06+82248.27+56440.1+54720.36+35557.57+23647.04+46192.16+13416.47+11431.21+17466.34+14755.94+8625.41+9174.41+8839.9+3273.5+5406+2261.5+6112.5+4483+13862.5+1809.6+1578.6+9694+600+285+2428.5+2324.5+2453.4+1012.4+1076.4</f>
        <v>18514175.30999999</v>
      </c>
      <c r="O381" s="542">
        <f>493525+372934+287472+184674+133834+103411+71574+58323+43294+27220+20315+12357+10204+8023+8189+5199+3120+5590+2524+2569+3234+2751+1831+1487+1457+541+911+321+1041+734+2479+348+314+1934+120+57+484+367+447+195+203</f>
        <v>1875607</v>
      </c>
      <c r="P381" s="512">
        <f t="shared" si="11"/>
        <v>9.871031250149947</v>
      </c>
      <c r="Q381" s="513">
        <v>41369</v>
      </c>
    </row>
    <row r="382" spans="1:17" ht="11.25">
      <c r="A382" s="453">
        <v>381</v>
      </c>
      <c r="B382" s="498"/>
      <c r="C382" s="520" t="s">
        <v>311</v>
      </c>
      <c r="D382" s="500" t="s">
        <v>312</v>
      </c>
      <c r="E382" s="506" t="s">
        <v>69</v>
      </c>
      <c r="F382" s="560" t="s">
        <v>310</v>
      </c>
      <c r="G382" s="508">
        <v>41089</v>
      </c>
      <c r="H382" s="499" t="s">
        <v>59</v>
      </c>
      <c r="I382" s="556">
        <v>195</v>
      </c>
      <c r="J382" s="509">
        <v>3</v>
      </c>
      <c r="K382" s="509">
        <v>36</v>
      </c>
      <c r="L382" s="510">
        <v>1012.4</v>
      </c>
      <c r="M382" s="511">
        <v>195</v>
      </c>
      <c r="N382" s="535">
        <f>4988788.67+3719997.12+2853563.94+1895998.95+1351969.36+1037493.06+726296.32+560110.4+416274.54+252327.74+177011.57+93167.06+82248.27+56440.1+54720.36+35557.57+23647.04+46192.16+13416.47+11431.21+17466.34+14755.94+8625.41+9174.41+8839.9+3273.5+5406+2261.5+6112.5+4483+13862.5+1809.6+1578.6+9694+600+285+2428.5+2324.5+2453.4+1012.4</f>
        <v>18513098.909999993</v>
      </c>
      <c r="O382" s="542">
        <f>493525+372934+287472+184674+133834+103411+71574+58323+43294+27220+20315+12357+10204+8023+8189+5199+3120+5590+2524+2569+3234+2751+1831+1487+1457+541+911+321+1041+734+2479+348+314+1934+120+57+484+367+447+195</f>
        <v>1875404</v>
      </c>
      <c r="P382" s="512">
        <f t="shared" si="11"/>
        <v>9.871525767248013</v>
      </c>
      <c r="Q382" s="513">
        <v>41362</v>
      </c>
    </row>
    <row r="383" spans="1:17" ht="11.25">
      <c r="A383" s="453">
        <v>382</v>
      </c>
      <c r="B383" s="498"/>
      <c r="C383" s="520" t="s">
        <v>311</v>
      </c>
      <c r="D383" s="500" t="s">
        <v>312</v>
      </c>
      <c r="E383" s="506" t="s">
        <v>69</v>
      </c>
      <c r="F383" s="560" t="s">
        <v>310</v>
      </c>
      <c r="G383" s="508">
        <v>41089</v>
      </c>
      <c r="H383" s="499" t="s">
        <v>59</v>
      </c>
      <c r="I383" s="556">
        <v>195</v>
      </c>
      <c r="J383" s="509">
        <v>1</v>
      </c>
      <c r="K383" s="509">
        <v>47</v>
      </c>
      <c r="L383" s="503">
        <v>950.4</v>
      </c>
      <c r="M383" s="504">
        <v>190</v>
      </c>
      <c r="N383" s="538">
        <f>4988788.67+3719997.12+2853563.94+1895998.95+1351969.36+1037493.06+726296.32+560110.4+416274.54+252327.74+177011.57+93167.06+82248.27+56440.1+54720.36+35557.57+23647.04+46192.16+13416.47+11431.21+17466.34+14755.94+8625.41+9174.41+8839.9+3273.5+5406+2261.5+6112.5+4483+13862.5+1809.6+1578.6+9694+600+285+2428.5+2324.5+2453.4+1012.4+1076.4+2858.5+1451.6+1188+831.6+831.6+950.4</f>
        <v>18522287.009999994</v>
      </c>
      <c r="O383" s="544">
        <f>493525+372934+287472+184674+133834+103411+71574+58323+43294+27220+20315+12357+10204+8023+8189+5199+3120+5590+2524+2569+3234+2751+1831+1487+1457+541+911+321+1041+734+2479+348+314+1934+120+57+484+367+447+195+203+572+311+238+166+166+190</f>
        <v>1877250</v>
      </c>
      <c r="P383" s="512">
        <f t="shared" si="11"/>
        <v>9.866713016380341</v>
      </c>
      <c r="Q383" s="513">
        <v>41460</v>
      </c>
    </row>
    <row r="384" spans="1:17" ht="11.25">
      <c r="A384" s="453">
        <v>383</v>
      </c>
      <c r="B384" s="498"/>
      <c r="C384" s="520" t="s">
        <v>311</v>
      </c>
      <c r="D384" s="500" t="s">
        <v>312</v>
      </c>
      <c r="E384" s="506" t="s">
        <v>69</v>
      </c>
      <c r="F384" s="560" t="s">
        <v>310</v>
      </c>
      <c r="G384" s="508">
        <v>41089</v>
      </c>
      <c r="H384" s="499" t="s">
        <v>59</v>
      </c>
      <c r="I384" s="556">
        <v>195</v>
      </c>
      <c r="J384" s="509">
        <v>1</v>
      </c>
      <c r="K384" s="509">
        <v>48</v>
      </c>
      <c r="L384" s="503">
        <v>950.4</v>
      </c>
      <c r="M384" s="504">
        <v>190</v>
      </c>
      <c r="N384" s="538">
        <f>4988788.67+3719997.12+2853563.94+1895998.95+1351969.36+1037493.06+726296.32+560110.4+416274.54+252327.74+177011.57+93167.06+82248.27+56440.1+54720.36+35557.57+23647.04+46192.16+13416.47+11431.21+17466.34+14755.94+8625.41+9174.41+8839.9+3273.5+5406+2261.5+6112.5+4483+13862.5+1809.6+1578.6+9694+600+285+2428.5+2324.5+2453.4+1012.4+1076.4+2858.5+1451.6+1188+831.6+831.6+950.4+950.4</f>
        <v>18523237.409999993</v>
      </c>
      <c r="O384" s="544">
        <f>493525+372934+287472+184674+133834+103411+71574+58323+43294+27220+20315+12357+10204+8023+8189+5199+3120+5590+2524+2569+3234+2751+1831+1487+1457+541+911+321+1041+734+2479+348+314+1934+120+57+484+367+447+195+203+572+311+238+166+166+190+190</f>
        <v>1877440</v>
      </c>
      <c r="P384" s="512">
        <f t="shared" si="11"/>
        <v>9.866220710115899</v>
      </c>
      <c r="Q384" s="513">
        <v>41467</v>
      </c>
    </row>
    <row r="385" spans="1:17" ht="11.25">
      <c r="A385" s="453">
        <v>384</v>
      </c>
      <c r="B385" s="498"/>
      <c r="C385" s="520" t="s">
        <v>311</v>
      </c>
      <c r="D385" s="500" t="s">
        <v>312</v>
      </c>
      <c r="E385" s="506" t="s">
        <v>69</v>
      </c>
      <c r="F385" s="560" t="s">
        <v>310</v>
      </c>
      <c r="G385" s="508">
        <v>41089</v>
      </c>
      <c r="H385" s="499" t="s">
        <v>59</v>
      </c>
      <c r="I385" s="556">
        <v>195</v>
      </c>
      <c r="J385" s="650">
        <v>1</v>
      </c>
      <c r="K385" s="650">
        <v>45</v>
      </c>
      <c r="L385" s="503">
        <v>831.6</v>
      </c>
      <c r="M385" s="504">
        <v>166</v>
      </c>
      <c r="N385" s="538">
        <f>4988788.67+3719997.12+2853563.94+1895998.95+1351969.36+1037493.06+726296.32+560110.4+416274.54+252327.74+177011.57+93167.06+82248.27+56440.1+54720.36+35557.57+23647.04+46192.16+13416.47+11431.21+17466.34+14755.94+8625.41+9174.41+8839.9+3273.5+5406+2261.5+6112.5+4483+13862.5+1809.6+1578.6+9694+600+285+2428.5+2324.5+2453.4+1012.4+1076.4+2858.5+1451.6+1188+831.6</f>
        <v>18520505.009999994</v>
      </c>
      <c r="O385" s="544">
        <f>493525+372934+287472+184674+133834+103411+71574+58323+43294+27220+20315+12357+10204+8023+8189+5199+3120+5590+2524+2569+3234+2751+1831+1487+1457+541+911+321+1041+734+2479+348+314+1934+120+57+484+367+447+195+203+572+311+238+166</f>
        <v>1876894</v>
      </c>
      <c r="P385" s="371">
        <f t="shared" si="11"/>
        <v>9.867635044919956</v>
      </c>
      <c r="Q385" s="372">
        <v>41446</v>
      </c>
    </row>
    <row r="386" spans="1:17" ht="11.25">
      <c r="A386" s="453">
        <v>385</v>
      </c>
      <c r="B386" s="498"/>
      <c r="C386" s="520" t="s">
        <v>311</v>
      </c>
      <c r="D386" s="500" t="s">
        <v>312</v>
      </c>
      <c r="E386" s="506" t="s">
        <v>69</v>
      </c>
      <c r="F386" s="560" t="s">
        <v>310</v>
      </c>
      <c r="G386" s="508">
        <v>41089</v>
      </c>
      <c r="H386" s="499" t="s">
        <v>59</v>
      </c>
      <c r="I386" s="556">
        <v>195</v>
      </c>
      <c r="J386" s="509">
        <v>1</v>
      </c>
      <c r="K386" s="509">
        <v>46</v>
      </c>
      <c r="L386" s="503">
        <v>831.6</v>
      </c>
      <c r="M386" s="504">
        <v>166</v>
      </c>
      <c r="N386" s="538">
        <f>4988788.67+3719997.12+2853563.94+1895998.95+1351969.36+1037493.06+726296.32+560110.4+416274.54+252327.74+177011.57+93167.06+82248.27+56440.1+54720.36+35557.57+23647.04+46192.16+13416.47+11431.21+17466.34+14755.94+8625.41+9174.41+8839.9+3273.5+5406+2261.5+6112.5+4483+13862.5+1809.6+1578.6+9694+600+285+2428.5+2324.5+2453.4+1012.4+1076.4+2858.5+1451.6+1188+831.6+831.6</f>
        <v>18521336.609999996</v>
      </c>
      <c r="O386" s="544">
        <f>493525+372934+287472+184674+133834+103411+71574+58323+43294+27220+20315+12357+10204+8023+8189+5199+3120+5590+2524+2569+3234+2751+1831+1487+1457+541+911+321+1041+734+2479+348+314+1934+120+57+484+367+447+195+203+572+311+238+166+166</f>
        <v>1877060</v>
      </c>
      <c r="P386" s="512">
        <f t="shared" si="11"/>
        <v>9.867205422309354</v>
      </c>
      <c r="Q386" s="513">
        <v>41453</v>
      </c>
    </row>
    <row r="387" spans="1:17" ht="11.25">
      <c r="A387" s="453">
        <v>386</v>
      </c>
      <c r="B387" s="497"/>
      <c r="C387" s="520" t="s">
        <v>311</v>
      </c>
      <c r="D387" s="500" t="s">
        <v>312</v>
      </c>
      <c r="E387" s="506" t="s">
        <v>69</v>
      </c>
      <c r="F387" s="560" t="s">
        <v>310</v>
      </c>
      <c r="G387" s="508">
        <v>41089</v>
      </c>
      <c r="H387" s="499" t="s">
        <v>59</v>
      </c>
      <c r="I387" s="556">
        <v>195</v>
      </c>
      <c r="J387" s="509">
        <v>1</v>
      </c>
      <c r="K387" s="509">
        <v>35</v>
      </c>
      <c r="L387" s="648">
        <v>600</v>
      </c>
      <c r="M387" s="649">
        <v>120</v>
      </c>
      <c r="N387" s="539">
        <f>4988788.67+3719997.12+2853563.94+1895998.95+1351969.36+1037493.06+726296.32+560110.4+416274.54+252327.74+177011.57+93167.06+82248.27+56440.1+54720.36+35557.57+23647.04+46192.16+13416.47+11431.21+17466.34+14755.94+8625.41+9174.41+8839.9+3273.5+5406+2261.5+6112.5+4483+13862.5+1809.6+1578.6+9694+600</f>
        <v>18504595.109999996</v>
      </c>
      <c r="O387" s="545">
        <f>493525+372934+287472+184674+133834+103411+71574+58323+43294+27220+20315+12357+10204+8023+8189+5199+3120+5590+2524+2569+3234+2751+1831+1487+1457+541+911+321+1041+734+2479+348+314+1934+120</f>
        <v>1873854</v>
      </c>
      <c r="P387" s="512">
        <f t="shared" si="11"/>
        <v>9.875153085565895</v>
      </c>
      <c r="Q387" s="513">
        <v>41327</v>
      </c>
    </row>
    <row r="388" spans="1:17" ht="11.25">
      <c r="A388" s="453">
        <v>387</v>
      </c>
      <c r="B388" s="498"/>
      <c r="C388" s="520" t="s">
        <v>311</v>
      </c>
      <c r="D388" s="500" t="s">
        <v>312</v>
      </c>
      <c r="E388" s="506" t="s">
        <v>69</v>
      </c>
      <c r="F388" s="560" t="s">
        <v>310</v>
      </c>
      <c r="G388" s="508">
        <v>41089</v>
      </c>
      <c r="H388" s="499" t="s">
        <v>59</v>
      </c>
      <c r="I388" s="556">
        <v>195</v>
      </c>
      <c r="J388" s="509">
        <v>1</v>
      </c>
      <c r="K388" s="509">
        <v>36</v>
      </c>
      <c r="L388" s="529">
        <v>285</v>
      </c>
      <c r="M388" s="514">
        <v>57</v>
      </c>
      <c r="N388" s="541">
        <f>4988788.67+3719997.12+2853563.94+1895998.95+1351969.36+1037493.06+726296.32+560110.4+416274.54+252327.74+177011.57+93167.06+82248.27+56440.1+54720.36+35557.57+23647.04+46192.16+13416.47+11431.21+17466.34+14755.94+8625.41+9174.41+8839.9+3273.5+5406+2261.5+6112.5+4483+13862.5+1809.6+1578.6+9694+600+285</f>
        <v>18504880.109999996</v>
      </c>
      <c r="O388" s="547">
        <f>493525+372934+287472+184674+133834+103411+71574+58323+43294+27220+20315+12357+10204+8023+8189+5199+3120+5590+2524+2569+3234+2751+1831+1487+1457+541+911+321+1041+734+2479+348+314+1934+120+57</f>
        <v>1873911</v>
      </c>
      <c r="P388" s="512">
        <f t="shared" si="11"/>
        <v>9.87500479478481</v>
      </c>
      <c r="Q388" s="513">
        <v>41334</v>
      </c>
    </row>
    <row r="389" spans="1:17" ht="11.25">
      <c r="A389" s="453">
        <v>388</v>
      </c>
      <c r="B389" s="497"/>
      <c r="C389" s="518" t="s">
        <v>167</v>
      </c>
      <c r="D389" s="492" t="s">
        <v>143</v>
      </c>
      <c r="E389" s="339"/>
      <c r="F389" s="392" t="s">
        <v>175</v>
      </c>
      <c r="G389" s="495">
        <v>39738</v>
      </c>
      <c r="H389" s="499" t="s">
        <v>59</v>
      </c>
      <c r="I389" s="506">
        <v>67</v>
      </c>
      <c r="J389" s="509">
        <v>1</v>
      </c>
      <c r="K389" s="509">
        <v>59</v>
      </c>
      <c r="L389" s="529">
        <v>4750</v>
      </c>
      <c r="M389" s="514">
        <v>950</v>
      </c>
      <c r="N389" s="541">
        <f>575413.5+2968+2376+2737+2376+2376+4752+2376+952+1780+226+286+162+6416+4040+1780+1780+1192+3102+1425+8550+2850+7130+2850+2850+4750</f>
        <v>647495.5</v>
      </c>
      <c r="O389" s="547">
        <f>83313+742+594+635+594+594+1188+594+238+445+36+42+39+1604+1010+356+356+571+1512+285+1710+570+1426+570+570+950</f>
        <v>100544</v>
      </c>
      <c r="P389" s="512">
        <f t="shared" si="11"/>
        <v>6.439921825270528</v>
      </c>
      <c r="Q389" s="513">
        <v>41299</v>
      </c>
    </row>
    <row r="390" spans="1:17" ht="11.25">
      <c r="A390" s="453">
        <v>389</v>
      </c>
      <c r="B390" s="497"/>
      <c r="C390" s="518" t="s">
        <v>167</v>
      </c>
      <c r="D390" s="506" t="s">
        <v>143</v>
      </c>
      <c r="E390" s="507"/>
      <c r="F390" s="519" t="s">
        <v>175</v>
      </c>
      <c r="G390" s="508">
        <v>39738</v>
      </c>
      <c r="H390" s="499" t="s">
        <v>59</v>
      </c>
      <c r="I390" s="509">
        <v>67</v>
      </c>
      <c r="J390" s="517">
        <v>1</v>
      </c>
      <c r="K390" s="517">
        <v>61</v>
      </c>
      <c r="L390" s="529">
        <v>3325</v>
      </c>
      <c r="M390" s="514">
        <v>665</v>
      </c>
      <c r="N390" s="541">
        <f>575413.5+2968+2376+2737+2376+2376+4752+2376+952+1780+226+286+162+6416+4040+1780+1780+1192+3102+1425+8550+2850+7130+2850+2850+4750+3325</f>
        <v>650820.5</v>
      </c>
      <c r="O390" s="547">
        <f>83313+742+594+635+594+594+1188+594+238+445+36+42+39+1604+1010+356+356+571+1512+285+1710+570+1426+570+570+950+665</f>
        <v>101209</v>
      </c>
      <c r="P390" s="515">
        <f t="shared" si="11"/>
        <v>6.430460729776996</v>
      </c>
      <c r="Q390" s="516">
        <v>41355</v>
      </c>
    </row>
    <row r="391" spans="1:17" ht="11.25">
      <c r="A391" s="453">
        <v>390</v>
      </c>
      <c r="B391" s="497"/>
      <c r="C391" s="518" t="s">
        <v>167</v>
      </c>
      <c r="D391" s="506" t="s">
        <v>143</v>
      </c>
      <c r="E391" s="507"/>
      <c r="F391" s="519" t="s">
        <v>175</v>
      </c>
      <c r="G391" s="508">
        <v>39738</v>
      </c>
      <c r="H391" s="499" t="s">
        <v>59</v>
      </c>
      <c r="I391" s="509">
        <v>67</v>
      </c>
      <c r="J391" s="517">
        <v>1</v>
      </c>
      <c r="K391" s="517">
        <v>62</v>
      </c>
      <c r="L391" s="529">
        <v>3325</v>
      </c>
      <c r="M391" s="514">
        <v>665</v>
      </c>
      <c r="N391" s="541">
        <f>575413.5+2968+2376+2737+2376+2376+4752+2376+952+1780+226+286+162+6416+4040+1780+1780+1192+3102+1425+8550+2850+7130+2850+2850+4750+3325+3325</f>
        <v>654145.5</v>
      </c>
      <c r="O391" s="547">
        <f>83313+742+594+635+594+594+1188+594+238+445+36+42+39+1604+1010+356+356+571+1512+285+1710+570+1426+570+570+950+665+665</f>
        <v>101874</v>
      </c>
      <c r="P391" s="515">
        <f t="shared" si="11"/>
        <v>6.421123152129101</v>
      </c>
      <c r="Q391" s="516">
        <v>41376</v>
      </c>
    </row>
    <row r="392" spans="1:17" ht="11.25">
      <c r="A392" s="453">
        <v>391</v>
      </c>
      <c r="B392" s="497"/>
      <c r="C392" s="518" t="s">
        <v>167</v>
      </c>
      <c r="D392" s="506" t="s">
        <v>143</v>
      </c>
      <c r="E392" s="507"/>
      <c r="F392" s="519" t="s">
        <v>175</v>
      </c>
      <c r="G392" s="508">
        <v>39738</v>
      </c>
      <c r="H392" s="499" t="s">
        <v>59</v>
      </c>
      <c r="I392" s="509">
        <v>67</v>
      </c>
      <c r="J392" s="517">
        <v>1</v>
      </c>
      <c r="K392" s="517">
        <v>63</v>
      </c>
      <c r="L392" s="510">
        <v>3325</v>
      </c>
      <c r="M392" s="511">
        <v>665</v>
      </c>
      <c r="N392" s="535">
        <f>575413.5+2968+2376+2737+2376+2376+4752+2376+952+1780+226+286+162+6416+4040+1780+1780+1192+3102+1425+8550+2850+7130+2850+2850+4750+3325+3325+3325</f>
        <v>657470.5</v>
      </c>
      <c r="O392" s="542">
        <f>83313+742+594+635+594+594+1188+594+238+445+36+42+39+1604+1010+356+356+571+1512+285+1710+570+1426+570+570+950+665+665+665</f>
        <v>102539</v>
      </c>
      <c r="P392" s="512">
        <f t="shared" si="11"/>
        <v>6.411906689162173</v>
      </c>
      <c r="Q392" s="513">
        <v>41390</v>
      </c>
    </row>
    <row r="393" spans="1:17" ht="11.25">
      <c r="A393" s="453">
        <v>392</v>
      </c>
      <c r="B393" s="497" t="s">
        <v>48</v>
      </c>
      <c r="C393" s="518" t="s">
        <v>849</v>
      </c>
      <c r="D393" s="506" t="s">
        <v>850</v>
      </c>
      <c r="E393" s="500"/>
      <c r="F393" s="525" t="s">
        <v>849</v>
      </c>
      <c r="G393" s="526">
        <v>40109</v>
      </c>
      <c r="H393" s="499" t="s">
        <v>59</v>
      </c>
      <c r="I393" s="509">
        <v>25</v>
      </c>
      <c r="J393" s="517">
        <v>1</v>
      </c>
      <c r="K393" s="517">
        <v>29</v>
      </c>
      <c r="L393" s="510">
        <v>3800</v>
      </c>
      <c r="M393" s="511">
        <v>760</v>
      </c>
      <c r="N393" s="535">
        <f>601657.24+2020+2376+2375+3800</f>
        <v>612228.24</v>
      </c>
      <c r="O393" s="542">
        <f>90424+505+594+475+760</f>
        <v>92758</v>
      </c>
      <c r="P393" s="512">
        <f t="shared" si="11"/>
        <v>6.600274262058259</v>
      </c>
      <c r="Q393" s="513">
        <v>41404</v>
      </c>
    </row>
    <row r="394" spans="1:17" ht="11.25">
      <c r="A394" s="453">
        <v>393</v>
      </c>
      <c r="B394" s="497" t="s">
        <v>48</v>
      </c>
      <c r="C394" s="518" t="s">
        <v>849</v>
      </c>
      <c r="D394" s="506" t="s">
        <v>850</v>
      </c>
      <c r="E394" s="500"/>
      <c r="F394" s="525" t="s">
        <v>849</v>
      </c>
      <c r="G394" s="526">
        <v>40109</v>
      </c>
      <c r="H394" s="499" t="s">
        <v>59</v>
      </c>
      <c r="I394" s="506">
        <v>25</v>
      </c>
      <c r="J394" s="507">
        <v>1</v>
      </c>
      <c r="K394" s="507">
        <v>28</v>
      </c>
      <c r="L394" s="510">
        <v>2375</v>
      </c>
      <c r="M394" s="514">
        <v>475</v>
      </c>
      <c r="N394" s="535">
        <f>601657.24+2020+2376+2375</f>
        <v>608428.24</v>
      </c>
      <c r="O394" s="547">
        <f>90424+505+594+475</f>
        <v>91998</v>
      </c>
      <c r="P394" s="515">
        <f aca="true" t="shared" si="12" ref="P394:P457">N394/O394</f>
        <v>6.613494206395791</v>
      </c>
      <c r="Q394" s="516">
        <v>41397</v>
      </c>
    </row>
    <row r="395" spans="1:17" ht="11.25">
      <c r="A395" s="453">
        <v>394</v>
      </c>
      <c r="B395" s="497" t="s">
        <v>48</v>
      </c>
      <c r="C395" s="518" t="s">
        <v>849</v>
      </c>
      <c r="D395" s="506" t="s">
        <v>850</v>
      </c>
      <c r="E395" s="500"/>
      <c r="F395" s="525" t="s">
        <v>849</v>
      </c>
      <c r="G395" s="526">
        <v>40109</v>
      </c>
      <c r="H395" s="499" t="s">
        <v>59</v>
      </c>
      <c r="I395" s="509">
        <v>25</v>
      </c>
      <c r="J395" s="517">
        <v>1</v>
      </c>
      <c r="K395" s="517">
        <v>30</v>
      </c>
      <c r="L395" s="510">
        <v>2375</v>
      </c>
      <c r="M395" s="511">
        <v>475</v>
      </c>
      <c r="N395" s="535">
        <f>601657.24+2020+2376+2375+3800+2375</f>
        <v>614603.24</v>
      </c>
      <c r="O395" s="542">
        <f>90424+505+594+475+760+475</f>
        <v>93233</v>
      </c>
      <c r="P395" s="512">
        <f t="shared" si="12"/>
        <v>6.5921212446236845</v>
      </c>
      <c r="Q395" s="513">
        <v>41411</v>
      </c>
    </row>
    <row r="396" spans="1:17" ht="11.25">
      <c r="A396" s="453">
        <v>395</v>
      </c>
      <c r="B396" s="497" t="s">
        <v>48</v>
      </c>
      <c r="C396" s="518" t="s">
        <v>849</v>
      </c>
      <c r="D396" s="506" t="s">
        <v>850</v>
      </c>
      <c r="E396" s="500"/>
      <c r="F396" s="525" t="s">
        <v>849</v>
      </c>
      <c r="G396" s="526">
        <v>40109</v>
      </c>
      <c r="H396" s="499" t="s">
        <v>59</v>
      </c>
      <c r="I396" s="509">
        <v>25</v>
      </c>
      <c r="J396" s="507">
        <v>1</v>
      </c>
      <c r="K396" s="507">
        <v>31</v>
      </c>
      <c r="L396" s="529">
        <v>2375</v>
      </c>
      <c r="M396" s="514">
        <v>475</v>
      </c>
      <c r="N396" s="541">
        <f>601657.24+2020+2376+2375+3800+2375+2375</f>
        <v>616978.24</v>
      </c>
      <c r="O396" s="547">
        <f>90424+505+594+475+760+475+475</f>
        <v>93708</v>
      </c>
      <c r="P396" s="515">
        <f t="shared" si="12"/>
        <v>6.584050881461561</v>
      </c>
      <c r="Q396" s="516">
        <v>41418</v>
      </c>
    </row>
    <row r="397" spans="1:17" ht="11.25">
      <c r="A397" s="453">
        <v>396</v>
      </c>
      <c r="B397" s="497"/>
      <c r="C397" s="518" t="s">
        <v>570</v>
      </c>
      <c r="D397" s="492" t="s">
        <v>70</v>
      </c>
      <c r="E397" s="490" t="s">
        <v>72</v>
      </c>
      <c r="F397" s="392" t="s">
        <v>570</v>
      </c>
      <c r="G397" s="493">
        <v>41264</v>
      </c>
      <c r="H397" s="499" t="s">
        <v>12</v>
      </c>
      <c r="I397" s="509">
        <v>120</v>
      </c>
      <c r="J397" s="509">
        <v>128</v>
      </c>
      <c r="K397" s="509">
        <v>3</v>
      </c>
      <c r="L397" s="554">
        <v>362830</v>
      </c>
      <c r="M397" s="555">
        <v>33392</v>
      </c>
      <c r="N397" s="550">
        <v>2207090</v>
      </c>
      <c r="O397" s="552">
        <v>203506</v>
      </c>
      <c r="P397" s="512">
        <f t="shared" si="12"/>
        <v>10.845331341582066</v>
      </c>
      <c r="Q397" s="513">
        <v>41278</v>
      </c>
    </row>
    <row r="398" spans="1:17" ht="11.25">
      <c r="A398" s="453">
        <v>397</v>
      </c>
      <c r="B398" s="497"/>
      <c r="C398" s="518" t="s">
        <v>570</v>
      </c>
      <c r="D398" s="492" t="s">
        <v>70</v>
      </c>
      <c r="E398" s="490" t="s">
        <v>72</v>
      </c>
      <c r="F398" s="392" t="s">
        <v>570</v>
      </c>
      <c r="G398" s="493">
        <v>41264</v>
      </c>
      <c r="H398" s="499" t="s">
        <v>12</v>
      </c>
      <c r="I398" s="509">
        <v>120</v>
      </c>
      <c r="J398" s="509">
        <v>116</v>
      </c>
      <c r="K398" s="509">
        <v>4</v>
      </c>
      <c r="L398" s="530">
        <v>174683</v>
      </c>
      <c r="M398" s="533">
        <v>16232</v>
      </c>
      <c r="N398" s="551">
        <v>2381854</v>
      </c>
      <c r="O398" s="553">
        <v>219745</v>
      </c>
      <c r="P398" s="512">
        <f t="shared" si="12"/>
        <v>10.839172677421557</v>
      </c>
      <c r="Q398" s="513">
        <v>41285</v>
      </c>
    </row>
    <row r="399" spans="1:17" ht="11.25">
      <c r="A399" s="453">
        <v>398</v>
      </c>
      <c r="B399" s="497"/>
      <c r="C399" s="518" t="s">
        <v>570</v>
      </c>
      <c r="D399" s="492" t="s">
        <v>70</v>
      </c>
      <c r="E399" s="490" t="s">
        <v>72</v>
      </c>
      <c r="F399" s="392" t="s">
        <v>570</v>
      </c>
      <c r="G399" s="493">
        <v>41264</v>
      </c>
      <c r="H399" s="499" t="s">
        <v>12</v>
      </c>
      <c r="I399" s="509">
        <v>120</v>
      </c>
      <c r="J399" s="509">
        <v>19</v>
      </c>
      <c r="K399" s="509">
        <v>6</v>
      </c>
      <c r="L399" s="531">
        <v>17539</v>
      </c>
      <c r="M399" s="534">
        <v>2656</v>
      </c>
      <c r="N399" s="550">
        <v>2430916</v>
      </c>
      <c r="O399" s="552">
        <v>226613</v>
      </c>
      <c r="P399" s="512">
        <f t="shared" si="12"/>
        <v>10.727169226831647</v>
      </c>
      <c r="Q399" s="513">
        <v>41299</v>
      </c>
    </row>
    <row r="400" spans="1:17" ht="11.25">
      <c r="A400" s="453">
        <v>399</v>
      </c>
      <c r="B400" s="497"/>
      <c r="C400" s="518" t="s">
        <v>570</v>
      </c>
      <c r="D400" s="492" t="s">
        <v>70</v>
      </c>
      <c r="E400" s="490" t="s">
        <v>72</v>
      </c>
      <c r="F400" s="392" t="s">
        <v>570</v>
      </c>
      <c r="G400" s="493">
        <v>41264</v>
      </c>
      <c r="H400" s="499" t="s">
        <v>12</v>
      </c>
      <c r="I400" s="509">
        <v>120</v>
      </c>
      <c r="J400" s="509">
        <v>16</v>
      </c>
      <c r="K400" s="509">
        <v>5</v>
      </c>
      <c r="L400" s="554">
        <v>17079</v>
      </c>
      <c r="M400" s="555">
        <v>2162</v>
      </c>
      <c r="N400" s="438">
        <v>2413377</v>
      </c>
      <c r="O400" s="439">
        <v>223957</v>
      </c>
      <c r="P400" s="512">
        <f t="shared" si="12"/>
        <v>10.77607308545837</v>
      </c>
      <c r="Q400" s="513">
        <v>41292</v>
      </c>
    </row>
    <row r="401" spans="1:17" ht="11.25">
      <c r="A401" s="453">
        <v>400</v>
      </c>
      <c r="B401" s="497"/>
      <c r="C401" s="518" t="s">
        <v>570</v>
      </c>
      <c r="D401" s="492" t="s">
        <v>70</v>
      </c>
      <c r="E401" s="490" t="s">
        <v>72</v>
      </c>
      <c r="F401" s="392" t="s">
        <v>570</v>
      </c>
      <c r="G401" s="493">
        <v>41264</v>
      </c>
      <c r="H401" s="499" t="s">
        <v>12</v>
      </c>
      <c r="I401" s="509">
        <v>120</v>
      </c>
      <c r="J401" s="506">
        <v>5</v>
      </c>
      <c r="K401" s="506">
        <v>7</v>
      </c>
      <c r="L401" s="554">
        <v>3466</v>
      </c>
      <c r="M401" s="534">
        <v>456</v>
      </c>
      <c r="N401" s="438">
        <v>2443853</v>
      </c>
      <c r="O401" s="552">
        <v>228637</v>
      </c>
      <c r="P401" s="515">
        <f t="shared" si="12"/>
        <v>10.688790528217218</v>
      </c>
      <c r="Q401" s="516">
        <v>41306</v>
      </c>
    </row>
    <row r="402" spans="1:17" ht="11.25">
      <c r="A402" s="453">
        <v>401</v>
      </c>
      <c r="B402" s="497"/>
      <c r="C402" s="518" t="s">
        <v>570</v>
      </c>
      <c r="D402" s="492" t="s">
        <v>70</v>
      </c>
      <c r="E402" s="490" t="s">
        <v>72</v>
      </c>
      <c r="F402" s="392" t="s">
        <v>570</v>
      </c>
      <c r="G402" s="526">
        <v>41264</v>
      </c>
      <c r="H402" s="499" t="s">
        <v>12</v>
      </c>
      <c r="I402" s="509">
        <v>120</v>
      </c>
      <c r="J402" s="509">
        <v>3</v>
      </c>
      <c r="K402" s="509">
        <v>8</v>
      </c>
      <c r="L402" s="531">
        <v>3370</v>
      </c>
      <c r="M402" s="555">
        <v>552</v>
      </c>
      <c r="N402" s="550">
        <v>2447223</v>
      </c>
      <c r="O402" s="439">
        <v>229189</v>
      </c>
      <c r="P402" s="515">
        <f t="shared" si="12"/>
        <v>10.67775067738853</v>
      </c>
      <c r="Q402" s="516">
        <v>41313</v>
      </c>
    </row>
    <row r="403" spans="1:17" ht="11.25">
      <c r="A403" s="453">
        <v>402</v>
      </c>
      <c r="B403" s="497"/>
      <c r="C403" s="518" t="s">
        <v>570</v>
      </c>
      <c r="D403" s="492" t="s">
        <v>70</v>
      </c>
      <c r="E403" s="490" t="s">
        <v>72</v>
      </c>
      <c r="F403" s="392" t="s">
        <v>570</v>
      </c>
      <c r="G403" s="526">
        <v>41264</v>
      </c>
      <c r="H403" s="499" t="s">
        <v>12</v>
      </c>
      <c r="I403" s="509">
        <v>120</v>
      </c>
      <c r="J403" s="506">
        <v>1</v>
      </c>
      <c r="K403" s="506">
        <v>9</v>
      </c>
      <c r="L403" s="531">
        <v>1197</v>
      </c>
      <c r="M403" s="534">
        <v>189</v>
      </c>
      <c r="N403" s="550">
        <v>2448420</v>
      </c>
      <c r="O403" s="552">
        <v>229378</v>
      </c>
      <c r="P403" s="512">
        <f t="shared" si="12"/>
        <v>10.674171019016645</v>
      </c>
      <c r="Q403" s="513">
        <v>41320</v>
      </c>
    </row>
    <row r="404" spans="1:17" ht="11.25">
      <c r="A404" s="453">
        <v>403</v>
      </c>
      <c r="B404" s="497"/>
      <c r="C404" s="518" t="s">
        <v>570</v>
      </c>
      <c r="D404" s="506" t="s">
        <v>70</v>
      </c>
      <c r="E404" s="500" t="s">
        <v>72</v>
      </c>
      <c r="F404" s="519" t="s">
        <v>570</v>
      </c>
      <c r="G404" s="526">
        <v>41264</v>
      </c>
      <c r="H404" s="499" t="s">
        <v>12</v>
      </c>
      <c r="I404" s="509">
        <v>120</v>
      </c>
      <c r="J404" s="509">
        <v>1</v>
      </c>
      <c r="K404" s="509">
        <v>10</v>
      </c>
      <c r="L404" s="530">
        <v>621</v>
      </c>
      <c r="M404" s="533">
        <v>92</v>
      </c>
      <c r="N404" s="551">
        <v>2449041</v>
      </c>
      <c r="O404" s="553">
        <v>229470</v>
      </c>
      <c r="P404" s="512">
        <f t="shared" si="12"/>
        <v>10.672597725192835</v>
      </c>
      <c r="Q404" s="513">
        <v>41327</v>
      </c>
    </row>
    <row r="405" spans="1:17" ht="11.25">
      <c r="A405" s="453">
        <v>404</v>
      </c>
      <c r="B405" s="497"/>
      <c r="C405" s="518" t="s">
        <v>570</v>
      </c>
      <c r="D405" s="506" t="s">
        <v>70</v>
      </c>
      <c r="E405" s="500" t="s">
        <v>72</v>
      </c>
      <c r="F405" s="519" t="s">
        <v>570</v>
      </c>
      <c r="G405" s="526">
        <v>41264</v>
      </c>
      <c r="H405" s="499" t="s">
        <v>12</v>
      </c>
      <c r="I405" s="509">
        <v>120</v>
      </c>
      <c r="J405" s="509">
        <v>1</v>
      </c>
      <c r="K405" s="509">
        <v>11</v>
      </c>
      <c r="L405" s="554">
        <v>437</v>
      </c>
      <c r="M405" s="555">
        <v>67</v>
      </c>
      <c r="N405" s="438">
        <v>2449478</v>
      </c>
      <c r="O405" s="439">
        <v>229537</v>
      </c>
      <c r="P405" s="512">
        <f t="shared" si="12"/>
        <v>10.671386312446359</v>
      </c>
      <c r="Q405" s="513">
        <v>41334</v>
      </c>
    </row>
    <row r="406" spans="1:17" ht="11.25">
      <c r="A406" s="453">
        <v>405</v>
      </c>
      <c r="B406" s="497"/>
      <c r="C406" s="518" t="s">
        <v>163</v>
      </c>
      <c r="D406" s="519" t="s">
        <v>385</v>
      </c>
      <c r="E406" s="519" t="s">
        <v>69</v>
      </c>
      <c r="F406" s="519" t="s">
        <v>163</v>
      </c>
      <c r="G406" s="508">
        <v>40886</v>
      </c>
      <c r="H406" s="499" t="s">
        <v>59</v>
      </c>
      <c r="I406" s="509">
        <v>9</v>
      </c>
      <c r="J406" s="517">
        <v>1</v>
      </c>
      <c r="K406" s="517">
        <v>12</v>
      </c>
      <c r="L406" s="529">
        <v>950.4</v>
      </c>
      <c r="M406" s="514">
        <v>190</v>
      </c>
      <c r="N406" s="541">
        <f>55869.5+42730+1422+522+1782+4115.4+1188+1188+1575+892+1425.6+950.4</f>
        <v>113659.9</v>
      </c>
      <c r="O406" s="547">
        <f>3902+3837+240+87+356+563+238+238+156+111+285+190</f>
        <v>10203</v>
      </c>
      <c r="P406" s="515">
        <f t="shared" si="12"/>
        <v>11.139851024208566</v>
      </c>
      <c r="Q406" s="516">
        <v>41355</v>
      </c>
    </row>
    <row r="407" spans="1:17" ht="11.25">
      <c r="A407" s="453">
        <v>406</v>
      </c>
      <c r="B407" s="497"/>
      <c r="C407" s="520" t="s">
        <v>104</v>
      </c>
      <c r="D407" s="491" t="s">
        <v>386</v>
      </c>
      <c r="E407" s="491" t="s">
        <v>387</v>
      </c>
      <c r="F407" s="491" t="s">
        <v>103</v>
      </c>
      <c r="G407" s="495">
        <v>40725</v>
      </c>
      <c r="H407" s="499" t="s">
        <v>139</v>
      </c>
      <c r="I407" s="506">
        <v>3</v>
      </c>
      <c r="J407" s="509">
        <v>1</v>
      </c>
      <c r="K407" s="509">
        <v>33</v>
      </c>
      <c r="L407" s="531">
        <v>1188</v>
      </c>
      <c r="M407" s="534">
        <v>237</v>
      </c>
      <c r="N407" s="550">
        <v>100061</v>
      </c>
      <c r="O407" s="552">
        <v>13725</v>
      </c>
      <c r="P407" s="512">
        <f t="shared" si="12"/>
        <v>7.290418943533697</v>
      </c>
      <c r="Q407" s="513">
        <v>41299</v>
      </c>
    </row>
    <row r="408" spans="1:17" ht="11.25">
      <c r="A408" s="453">
        <v>407</v>
      </c>
      <c r="B408" s="497" t="s">
        <v>48</v>
      </c>
      <c r="C408" s="520" t="s">
        <v>961</v>
      </c>
      <c r="D408" s="499" t="s">
        <v>962</v>
      </c>
      <c r="E408" s="499"/>
      <c r="F408" s="560" t="s">
        <v>961</v>
      </c>
      <c r="G408" s="508">
        <v>40998</v>
      </c>
      <c r="H408" s="499" t="s">
        <v>59</v>
      </c>
      <c r="I408" s="556">
        <v>109</v>
      </c>
      <c r="J408" s="517">
        <v>1</v>
      </c>
      <c r="K408" s="517">
        <v>13</v>
      </c>
      <c r="L408" s="503">
        <v>1900.8</v>
      </c>
      <c r="M408" s="504">
        <v>380</v>
      </c>
      <c r="N408" s="538">
        <f>141737.5+69212.99+17385.27+12661+9645+4953+1221.5+3966.58+167+2770+1782+1782+1900.8</f>
        <v>269184.63999999996</v>
      </c>
      <c r="O408" s="544">
        <f>15777+8169+2548+1919+1615+842+213+916+29+522+356+356+380</f>
        <v>33642</v>
      </c>
      <c r="P408" s="512">
        <f t="shared" si="12"/>
        <v>8.001445811782888</v>
      </c>
      <c r="Q408" s="513">
        <v>41453</v>
      </c>
    </row>
    <row r="409" spans="1:17" ht="11.25">
      <c r="A409" s="453">
        <v>408</v>
      </c>
      <c r="B409" s="497" t="s">
        <v>48</v>
      </c>
      <c r="C409" s="520" t="s">
        <v>961</v>
      </c>
      <c r="D409" s="499" t="s">
        <v>962</v>
      </c>
      <c r="E409" s="499"/>
      <c r="F409" s="560" t="s">
        <v>961</v>
      </c>
      <c r="G409" s="508">
        <v>40998</v>
      </c>
      <c r="H409" s="499" t="s">
        <v>59</v>
      </c>
      <c r="I409" s="556">
        <v>109</v>
      </c>
      <c r="J409" s="517">
        <v>1</v>
      </c>
      <c r="K409" s="517">
        <v>14</v>
      </c>
      <c r="L409" s="503">
        <v>1900.8</v>
      </c>
      <c r="M409" s="504">
        <v>380</v>
      </c>
      <c r="N409" s="538">
        <f>141737.5+69212.99+17385.27+12661+9645+4953+1221.5+3966.58+167+2770+1782+1782+1900.8+1900.8</f>
        <v>271085.43999999994</v>
      </c>
      <c r="O409" s="544">
        <f>15777+8169+2548+1919+1615+842+213+916+29+522+356+356+380+380</f>
        <v>34022</v>
      </c>
      <c r="P409" s="512">
        <f t="shared" si="12"/>
        <v>7.967945447063663</v>
      </c>
      <c r="Q409" s="513">
        <v>41460</v>
      </c>
    </row>
    <row r="410" spans="1:17" ht="11.25">
      <c r="A410" s="453">
        <v>409</v>
      </c>
      <c r="B410" s="497" t="s">
        <v>48</v>
      </c>
      <c r="C410" s="518" t="s">
        <v>145</v>
      </c>
      <c r="D410" s="519" t="s">
        <v>149</v>
      </c>
      <c r="E410" s="500"/>
      <c r="F410" s="519" t="s">
        <v>145</v>
      </c>
      <c r="G410" s="508">
        <v>40676</v>
      </c>
      <c r="H410" s="499" t="s">
        <v>59</v>
      </c>
      <c r="I410" s="509">
        <v>11</v>
      </c>
      <c r="J410" s="517">
        <v>1</v>
      </c>
      <c r="K410" s="517">
        <v>25</v>
      </c>
      <c r="L410" s="510">
        <v>3267</v>
      </c>
      <c r="M410" s="511">
        <v>656</v>
      </c>
      <c r="N410" s="535">
        <f>19776.5+5289.5+3941.5+4149+6030.5+491+2263+886+669+235+576+182+578+116+1188+1782+1782+1782+1782+3801.5+2138.5+357+1188+1188+3267</f>
        <v>65439</v>
      </c>
      <c r="O410" s="542">
        <f>2214+710+772+646+1024+103+434+139+105+46+100+16+62+13+297+446+446+446+446+950+535+158+238+238+656</f>
        <v>11240</v>
      </c>
      <c r="P410" s="512">
        <f t="shared" si="12"/>
        <v>5.821975088967972</v>
      </c>
      <c r="Q410" s="513">
        <v>41390</v>
      </c>
    </row>
    <row r="411" spans="1:17" ht="11.25">
      <c r="A411" s="453">
        <v>410</v>
      </c>
      <c r="B411" s="497" t="s">
        <v>48</v>
      </c>
      <c r="C411" s="518" t="s">
        <v>145</v>
      </c>
      <c r="D411" s="519" t="s">
        <v>149</v>
      </c>
      <c r="E411" s="500"/>
      <c r="F411" s="519" t="s">
        <v>145</v>
      </c>
      <c r="G411" s="508">
        <v>40676</v>
      </c>
      <c r="H411" s="499" t="s">
        <v>59</v>
      </c>
      <c r="I411" s="509">
        <v>11</v>
      </c>
      <c r="J411" s="517">
        <v>1</v>
      </c>
      <c r="K411" s="517">
        <v>24</v>
      </c>
      <c r="L411" s="529">
        <v>1188</v>
      </c>
      <c r="M411" s="514">
        <v>238</v>
      </c>
      <c r="N411" s="541">
        <f>19776.5+5289.5+3941.5+4149+6030.5+491+2263+886+669+235+576+182+578+116+1188+1782+1782+1782+1782+3801.5+2138.5+357+1188+1188</f>
        <v>62172</v>
      </c>
      <c r="O411" s="547">
        <f>2214+710+772+646+1024+103+434+139+105+46+100+16+62+13+297+446+446+446+446+950+535+158+238+238</f>
        <v>10584</v>
      </c>
      <c r="P411" s="515">
        <f t="shared" si="12"/>
        <v>5.874149659863946</v>
      </c>
      <c r="Q411" s="516">
        <v>41376</v>
      </c>
    </row>
    <row r="412" spans="1:17" ht="11.25">
      <c r="A412" s="453">
        <v>411</v>
      </c>
      <c r="B412" s="497"/>
      <c r="C412" s="518" t="s">
        <v>150</v>
      </c>
      <c r="D412" s="519" t="s">
        <v>388</v>
      </c>
      <c r="E412" s="519" t="s">
        <v>81</v>
      </c>
      <c r="F412" s="519" t="s">
        <v>148</v>
      </c>
      <c r="G412" s="508">
        <v>40746</v>
      </c>
      <c r="H412" s="499" t="s">
        <v>59</v>
      </c>
      <c r="I412" s="509">
        <v>1</v>
      </c>
      <c r="J412" s="507">
        <v>1</v>
      </c>
      <c r="K412" s="507">
        <v>13</v>
      </c>
      <c r="L412" s="529">
        <v>2376</v>
      </c>
      <c r="M412" s="514">
        <v>385</v>
      </c>
      <c r="N412" s="541">
        <f>5298+3611+922.5+907+181+268.5+2138.5+2138.5+2138.5+2138.5+594+1782+2376</f>
        <v>24494</v>
      </c>
      <c r="O412" s="547">
        <f>334+225+67+122+18+21+535+535+535+535+119+356+385</f>
        <v>3787</v>
      </c>
      <c r="P412" s="515">
        <f t="shared" si="12"/>
        <v>6.467916556641141</v>
      </c>
      <c r="Q412" s="516">
        <v>41418</v>
      </c>
    </row>
    <row r="413" spans="1:17" ht="11.25">
      <c r="A413" s="453">
        <v>412</v>
      </c>
      <c r="B413" s="497"/>
      <c r="C413" s="518" t="s">
        <v>150</v>
      </c>
      <c r="D413" s="519" t="s">
        <v>388</v>
      </c>
      <c r="E413" s="519" t="s">
        <v>81</v>
      </c>
      <c r="F413" s="519" t="s">
        <v>148</v>
      </c>
      <c r="G413" s="508">
        <v>40746</v>
      </c>
      <c r="H413" s="499" t="s">
        <v>59</v>
      </c>
      <c r="I413" s="509">
        <v>1</v>
      </c>
      <c r="J413" s="509">
        <v>1</v>
      </c>
      <c r="K413" s="509">
        <v>12</v>
      </c>
      <c r="L413" s="648">
        <v>1782</v>
      </c>
      <c r="M413" s="649">
        <v>356</v>
      </c>
      <c r="N413" s="539">
        <f>5298+3611+922.5+907+181+268.5+2138.5+2138.5+2138.5+2138.5+594+1782</f>
        <v>22118</v>
      </c>
      <c r="O413" s="545">
        <f>334+225+67+122+18+21+535+535+535+535+119+356</f>
        <v>3402</v>
      </c>
      <c r="P413" s="512">
        <f t="shared" si="12"/>
        <v>6.501469723691946</v>
      </c>
      <c r="Q413" s="513">
        <v>41327</v>
      </c>
    </row>
    <row r="414" spans="1:17" ht="11.25">
      <c r="A414" s="453">
        <v>413</v>
      </c>
      <c r="B414" s="497"/>
      <c r="C414" s="548" t="s">
        <v>561</v>
      </c>
      <c r="D414" s="492" t="s">
        <v>563</v>
      </c>
      <c r="E414" s="492" t="s">
        <v>236</v>
      </c>
      <c r="F414" s="393" t="s">
        <v>562</v>
      </c>
      <c r="G414" s="493">
        <v>41264</v>
      </c>
      <c r="H414" s="499" t="s">
        <v>151</v>
      </c>
      <c r="I414" s="517">
        <v>42</v>
      </c>
      <c r="J414" s="509">
        <v>29</v>
      </c>
      <c r="K414" s="509">
        <v>3</v>
      </c>
      <c r="L414" s="602">
        <v>99289</v>
      </c>
      <c r="M414" s="603">
        <v>7673</v>
      </c>
      <c r="N414" s="671">
        <v>709887.27</v>
      </c>
      <c r="O414" s="672">
        <v>55290</v>
      </c>
      <c r="P414" s="512">
        <f t="shared" si="12"/>
        <v>12.839342919153554</v>
      </c>
      <c r="Q414" s="513">
        <v>41278</v>
      </c>
    </row>
    <row r="415" spans="1:17" ht="11.25">
      <c r="A415" s="453">
        <v>414</v>
      </c>
      <c r="B415" s="497"/>
      <c r="C415" s="548" t="s">
        <v>561</v>
      </c>
      <c r="D415" s="492" t="s">
        <v>563</v>
      </c>
      <c r="E415" s="492" t="s">
        <v>236</v>
      </c>
      <c r="F415" s="393" t="s">
        <v>562</v>
      </c>
      <c r="G415" s="493">
        <v>41264</v>
      </c>
      <c r="H415" s="499" t="s">
        <v>151</v>
      </c>
      <c r="I415" s="517">
        <v>42</v>
      </c>
      <c r="J415" s="509">
        <v>19</v>
      </c>
      <c r="K415" s="509">
        <v>4</v>
      </c>
      <c r="L415" s="602">
        <v>32955</v>
      </c>
      <c r="M415" s="603">
        <v>3372</v>
      </c>
      <c r="N415" s="673">
        <v>743025.77</v>
      </c>
      <c r="O415" s="674">
        <v>58675</v>
      </c>
      <c r="P415" s="512">
        <f t="shared" si="12"/>
        <v>12.663413208351086</v>
      </c>
      <c r="Q415" s="513">
        <v>41285</v>
      </c>
    </row>
    <row r="416" spans="1:17" ht="11.25">
      <c r="A416" s="453">
        <v>415</v>
      </c>
      <c r="B416" s="497"/>
      <c r="C416" s="548" t="s">
        <v>561</v>
      </c>
      <c r="D416" s="492" t="s">
        <v>563</v>
      </c>
      <c r="E416" s="492" t="s">
        <v>236</v>
      </c>
      <c r="F416" s="393" t="s">
        <v>562</v>
      </c>
      <c r="G416" s="493">
        <v>41264</v>
      </c>
      <c r="H416" s="499" t="s">
        <v>151</v>
      </c>
      <c r="I416" s="517">
        <v>42</v>
      </c>
      <c r="J416" s="509">
        <v>1</v>
      </c>
      <c r="K416" s="509">
        <v>5</v>
      </c>
      <c r="L416" s="602">
        <v>2638</v>
      </c>
      <c r="M416" s="603">
        <v>502</v>
      </c>
      <c r="N416" s="673">
        <v>745663.77</v>
      </c>
      <c r="O416" s="674">
        <v>59177</v>
      </c>
      <c r="P416" s="512">
        <f t="shared" si="12"/>
        <v>12.600567281207226</v>
      </c>
      <c r="Q416" s="513">
        <v>41292</v>
      </c>
    </row>
    <row r="417" spans="1:17" ht="11.25">
      <c r="A417" s="453">
        <v>416</v>
      </c>
      <c r="B417" s="497"/>
      <c r="C417" s="548" t="s">
        <v>561</v>
      </c>
      <c r="D417" s="506" t="s">
        <v>563</v>
      </c>
      <c r="E417" s="506" t="s">
        <v>236</v>
      </c>
      <c r="F417" s="557" t="s">
        <v>562</v>
      </c>
      <c r="G417" s="526">
        <v>41264</v>
      </c>
      <c r="H417" s="499" t="s">
        <v>151</v>
      </c>
      <c r="I417" s="517">
        <v>42</v>
      </c>
      <c r="J417" s="509">
        <v>1</v>
      </c>
      <c r="K417" s="509">
        <v>12</v>
      </c>
      <c r="L417" s="669">
        <v>773.74</v>
      </c>
      <c r="M417" s="670">
        <v>80</v>
      </c>
      <c r="N417" s="675">
        <v>748038.51</v>
      </c>
      <c r="O417" s="676">
        <v>59555</v>
      </c>
      <c r="P417" s="512">
        <f t="shared" si="12"/>
        <v>12.560465284191084</v>
      </c>
      <c r="Q417" s="513">
        <v>41369</v>
      </c>
    </row>
    <row r="418" spans="1:17" ht="11.25">
      <c r="A418" s="453">
        <v>417</v>
      </c>
      <c r="B418" s="497"/>
      <c r="C418" s="548" t="s">
        <v>561</v>
      </c>
      <c r="D418" s="506" t="s">
        <v>563</v>
      </c>
      <c r="E418" s="506" t="s">
        <v>236</v>
      </c>
      <c r="F418" s="557" t="s">
        <v>562</v>
      </c>
      <c r="G418" s="526">
        <v>41264</v>
      </c>
      <c r="H418" s="499" t="s">
        <v>151</v>
      </c>
      <c r="I418" s="517">
        <v>42</v>
      </c>
      <c r="J418" s="509">
        <v>1</v>
      </c>
      <c r="K418" s="509">
        <v>7</v>
      </c>
      <c r="L418" s="602">
        <v>452</v>
      </c>
      <c r="M418" s="603">
        <v>90</v>
      </c>
      <c r="N418" s="673">
        <v>746347.77</v>
      </c>
      <c r="O418" s="674">
        <v>59292</v>
      </c>
      <c r="P418" s="512">
        <f t="shared" si="12"/>
        <v>12.58766393442623</v>
      </c>
      <c r="Q418" s="513">
        <v>41334</v>
      </c>
    </row>
    <row r="419" spans="1:17" ht="11.25">
      <c r="A419" s="453">
        <v>418</v>
      </c>
      <c r="B419" s="497"/>
      <c r="C419" s="548" t="s">
        <v>561</v>
      </c>
      <c r="D419" s="506" t="s">
        <v>563</v>
      </c>
      <c r="E419" s="506" t="s">
        <v>236</v>
      </c>
      <c r="F419" s="557" t="s">
        <v>562</v>
      </c>
      <c r="G419" s="526">
        <v>41264</v>
      </c>
      <c r="H419" s="499" t="s">
        <v>151</v>
      </c>
      <c r="I419" s="517">
        <v>42</v>
      </c>
      <c r="J419" s="509">
        <v>1</v>
      </c>
      <c r="K419" s="509">
        <v>8</v>
      </c>
      <c r="L419" s="669">
        <v>342</v>
      </c>
      <c r="M419" s="670">
        <v>68</v>
      </c>
      <c r="N419" s="671">
        <v>746689.77</v>
      </c>
      <c r="O419" s="672">
        <v>59360</v>
      </c>
      <c r="P419" s="512">
        <f t="shared" si="12"/>
        <v>12.579005559299192</v>
      </c>
      <c r="Q419" s="513">
        <v>41341</v>
      </c>
    </row>
    <row r="420" spans="1:17" ht="11.25">
      <c r="A420" s="453">
        <v>419</v>
      </c>
      <c r="B420" s="497"/>
      <c r="C420" s="548" t="s">
        <v>561</v>
      </c>
      <c r="D420" s="506" t="s">
        <v>563</v>
      </c>
      <c r="E420" s="506" t="s">
        <v>236</v>
      </c>
      <c r="F420" s="557" t="s">
        <v>562</v>
      </c>
      <c r="G420" s="526">
        <v>41264</v>
      </c>
      <c r="H420" s="499" t="s">
        <v>151</v>
      </c>
      <c r="I420" s="517">
        <v>42</v>
      </c>
      <c r="J420" s="509">
        <v>1</v>
      </c>
      <c r="K420" s="509">
        <v>9</v>
      </c>
      <c r="L420" s="669">
        <v>265</v>
      </c>
      <c r="M420" s="670">
        <v>53</v>
      </c>
      <c r="N420" s="675">
        <v>746954.77</v>
      </c>
      <c r="O420" s="676">
        <v>59413</v>
      </c>
      <c r="P420" s="512">
        <f t="shared" si="12"/>
        <v>12.572244626596873</v>
      </c>
      <c r="Q420" s="513">
        <v>41348</v>
      </c>
    </row>
    <row r="421" spans="1:17" ht="11.25">
      <c r="A421" s="453">
        <v>420</v>
      </c>
      <c r="B421" s="497"/>
      <c r="C421" s="548" t="s">
        <v>561</v>
      </c>
      <c r="D421" s="492" t="s">
        <v>563</v>
      </c>
      <c r="E421" s="492" t="s">
        <v>236</v>
      </c>
      <c r="F421" s="393" t="s">
        <v>562</v>
      </c>
      <c r="G421" s="493">
        <v>41264</v>
      </c>
      <c r="H421" s="499" t="s">
        <v>151</v>
      </c>
      <c r="I421" s="517">
        <v>42</v>
      </c>
      <c r="J421" s="506">
        <v>1</v>
      </c>
      <c r="K421" s="506">
        <v>6</v>
      </c>
      <c r="L421" s="602">
        <v>232</v>
      </c>
      <c r="M421" s="670">
        <v>25</v>
      </c>
      <c r="N421" s="673">
        <v>745895.77</v>
      </c>
      <c r="O421" s="672">
        <v>59202</v>
      </c>
      <c r="P421" s="515">
        <f t="shared" si="12"/>
        <v>12.59916506199115</v>
      </c>
      <c r="Q421" s="516">
        <v>41306</v>
      </c>
    </row>
    <row r="422" spans="1:17" ht="11.25">
      <c r="A422" s="453">
        <v>421</v>
      </c>
      <c r="B422" s="497"/>
      <c r="C422" s="548" t="s">
        <v>561</v>
      </c>
      <c r="D422" s="506" t="s">
        <v>563</v>
      </c>
      <c r="E422" s="506" t="s">
        <v>236</v>
      </c>
      <c r="F422" s="557" t="s">
        <v>562</v>
      </c>
      <c r="G422" s="526">
        <v>41264</v>
      </c>
      <c r="H422" s="499" t="s">
        <v>151</v>
      </c>
      <c r="I422" s="517">
        <v>42</v>
      </c>
      <c r="J422" s="517">
        <v>1</v>
      </c>
      <c r="K422" s="517">
        <v>10</v>
      </c>
      <c r="L422" s="602">
        <v>180</v>
      </c>
      <c r="M422" s="603">
        <v>36</v>
      </c>
      <c r="N422" s="685">
        <v>747134.77</v>
      </c>
      <c r="O422" s="686">
        <v>59449</v>
      </c>
      <c r="P422" s="515">
        <f t="shared" si="12"/>
        <v>12.567659170044912</v>
      </c>
      <c r="Q422" s="516">
        <v>41355</v>
      </c>
    </row>
    <row r="423" spans="1:17" ht="11.25">
      <c r="A423" s="453">
        <v>422</v>
      </c>
      <c r="B423" s="497"/>
      <c r="C423" s="548" t="s">
        <v>561</v>
      </c>
      <c r="D423" s="506" t="s">
        <v>563</v>
      </c>
      <c r="E423" s="506" t="s">
        <v>236</v>
      </c>
      <c r="F423" s="557" t="s">
        <v>562</v>
      </c>
      <c r="G423" s="526">
        <v>41264</v>
      </c>
      <c r="H423" s="499" t="s">
        <v>151</v>
      </c>
      <c r="I423" s="517">
        <v>42</v>
      </c>
      <c r="J423" s="509">
        <v>1</v>
      </c>
      <c r="K423" s="509">
        <v>11</v>
      </c>
      <c r="L423" s="669">
        <v>130</v>
      </c>
      <c r="M423" s="670">
        <v>26</v>
      </c>
      <c r="N423" s="675">
        <v>747264.77</v>
      </c>
      <c r="O423" s="676">
        <v>59475</v>
      </c>
      <c r="P423" s="512">
        <f t="shared" si="12"/>
        <v>12.564350903741069</v>
      </c>
      <c r="Q423" s="513">
        <v>41362</v>
      </c>
    </row>
    <row r="424" spans="1:17" ht="11.25">
      <c r="A424" s="453">
        <v>423</v>
      </c>
      <c r="B424" s="497"/>
      <c r="C424" s="548" t="s">
        <v>561</v>
      </c>
      <c r="D424" s="506" t="s">
        <v>563</v>
      </c>
      <c r="E424" s="506" t="s">
        <v>236</v>
      </c>
      <c r="F424" s="557" t="s">
        <v>562</v>
      </c>
      <c r="G424" s="526">
        <v>41264</v>
      </c>
      <c r="H424" s="499" t="s">
        <v>151</v>
      </c>
      <c r="I424" s="517">
        <v>42</v>
      </c>
      <c r="J424" s="509">
        <v>1</v>
      </c>
      <c r="K424" s="509">
        <v>13</v>
      </c>
      <c r="L424" s="602">
        <v>60</v>
      </c>
      <c r="M424" s="603">
        <v>10</v>
      </c>
      <c r="N424" s="685">
        <v>748098.51</v>
      </c>
      <c r="O424" s="686">
        <v>59565</v>
      </c>
      <c r="P424" s="515">
        <f t="shared" si="12"/>
        <v>12.559363888189374</v>
      </c>
      <c r="Q424" s="516">
        <v>41376</v>
      </c>
    </row>
    <row r="425" spans="1:17" ht="11.25">
      <c r="A425" s="453">
        <v>424</v>
      </c>
      <c r="B425" s="497" t="s">
        <v>48</v>
      </c>
      <c r="C425" s="548" t="s">
        <v>565</v>
      </c>
      <c r="D425" s="491" t="s">
        <v>567</v>
      </c>
      <c r="E425" s="491"/>
      <c r="F425" s="491" t="s">
        <v>565</v>
      </c>
      <c r="G425" s="493">
        <v>41264</v>
      </c>
      <c r="H425" s="499" t="s">
        <v>47</v>
      </c>
      <c r="I425" s="509">
        <v>13</v>
      </c>
      <c r="J425" s="556">
        <v>6</v>
      </c>
      <c r="K425" s="556">
        <v>3</v>
      </c>
      <c r="L425" s="554">
        <v>4583.42</v>
      </c>
      <c r="M425" s="555">
        <v>414</v>
      </c>
      <c r="N425" s="550">
        <f>20286.21+13645.34+4583.42</f>
        <v>38514.97</v>
      </c>
      <c r="O425" s="552">
        <f>1899+1245+414</f>
        <v>3558</v>
      </c>
      <c r="P425" s="512">
        <f t="shared" si="12"/>
        <v>10.824893198426082</v>
      </c>
      <c r="Q425" s="513">
        <v>41278</v>
      </c>
    </row>
    <row r="426" spans="1:17" ht="11.25">
      <c r="A426" s="453">
        <v>425</v>
      </c>
      <c r="B426" s="497" t="s">
        <v>48</v>
      </c>
      <c r="C426" s="548" t="s">
        <v>565</v>
      </c>
      <c r="D426" s="491" t="s">
        <v>567</v>
      </c>
      <c r="E426" s="491"/>
      <c r="F426" s="491" t="s">
        <v>565</v>
      </c>
      <c r="G426" s="493">
        <v>41264</v>
      </c>
      <c r="H426" s="499" t="s">
        <v>47</v>
      </c>
      <c r="I426" s="509">
        <v>13</v>
      </c>
      <c r="J426" s="556">
        <v>6</v>
      </c>
      <c r="K426" s="556">
        <v>4</v>
      </c>
      <c r="L426" s="554">
        <v>924</v>
      </c>
      <c r="M426" s="555">
        <v>144</v>
      </c>
      <c r="N426" s="438">
        <f>20286.21+13645.34+4583.42+924</f>
        <v>39438.97</v>
      </c>
      <c r="O426" s="439">
        <f>1899+1245+414+144</f>
        <v>3702</v>
      </c>
      <c r="P426" s="512">
        <f t="shared" si="12"/>
        <v>10.653422474338196</v>
      </c>
      <c r="Q426" s="513">
        <v>41285</v>
      </c>
    </row>
    <row r="427" spans="1:17" ht="11.25">
      <c r="A427" s="453">
        <v>426</v>
      </c>
      <c r="B427" s="497" t="s">
        <v>48</v>
      </c>
      <c r="C427" s="548" t="s">
        <v>565</v>
      </c>
      <c r="D427" s="491" t="s">
        <v>567</v>
      </c>
      <c r="E427" s="491"/>
      <c r="F427" s="491" t="s">
        <v>565</v>
      </c>
      <c r="G427" s="493">
        <v>41264</v>
      </c>
      <c r="H427" s="499" t="s">
        <v>47</v>
      </c>
      <c r="I427" s="509">
        <v>13</v>
      </c>
      <c r="J427" s="527">
        <v>1</v>
      </c>
      <c r="K427" s="527">
        <v>6</v>
      </c>
      <c r="L427" s="554">
        <v>70</v>
      </c>
      <c r="M427" s="534">
        <v>14</v>
      </c>
      <c r="N427" s="438">
        <f>20286.21+13645.34+4583.42+924+110+70</f>
        <v>39618.97</v>
      </c>
      <c r="O427" s="552">
        <f>1899+1245+414+144+22+14</f>
        <v>3738</v>
      </c>
      <c r="P427" s="515">
        <f t="shared" si="12"/>
        <v>10.598975387907972</v>
      </c>
      <c r="Q427" s="516">
        <v>41306</v>
      </c>
    </row>
    <row r="428" spans="1:17" ht="11.25">
      <c r="A428" s="453">
        <v>427</v>
      </c>
      <c r="B428" s="497" t="s">
        <v>48</v>
      </c>
      <c r="C428" s="548" t="s">
        <v>565</v>
      </c>
      <c r="D428" s="491" t="s">
        <v>567</v>
      </c>
      <c r="E428" s="491"/>
      <c r="F428" s="491" t="s">
        <v>565</v>
      </c>
      <c r="G428" s="493">
        <v>41264</v>
      </c>
      <c r="H428" s="499" t="s">
        <v>47</v>
      </c>
      <c r="I428" s="509">
        <v>13</v>
      </c>
      <c r="J428" s="556">
        <v>1</v>
      </c>
      <c r="K428" s="556">
        <v>5</v>
      </c>
      <c r="L428" s="531">
        <v>55</v>
      </c>
      <c r="M428" s="534">
        <v>11</v>
      </c>
      <c r="N428" s="550">
        <v>39493.97</v>
      </c>
      <c r="O428" s="552">
        <v>3713</v>
      </c>
      <c r="P428" s="512">
        <f t="shared" si="12"/>
        <v>10.636673848639914</v>
      </c>
      <c r="Q428" s="513">
        <v>41299</v>
      </c>
    </row>
    <row r="429" spans="1:17" ht="11.25">
      <c r="A429" s="453">
        <v>428</v>
      </c>
      <c r="B429" s="498"/>
      <c r="C429" s="520" t="s">
        <v>362</v>
      </c>
      <c r="D429" s="490" t="s">
        <v>364</v>
      </c>
      <c r="E429" s="492" t="s">
        <v>81</v>
      </c>
      <c r="F429" s="496" t="s">
        <v>363</v>
      </c>
      <c r="G429" s="508">
        <v>41124</v>
      </c>
      <c r="H429" s="499" t="s">
        <v>59</v>
      </c>
      <c r="I429" s="509">
        <v>1</v>
      </c>
      <c r="J429" s="509">
        <v>1</v>
      </c>
      <c r="K429" s="509">
        <v>7</v>
      </c>
      <c r="L429" s="510">
        <v>1782</v>
      </c>
      <c r="M429" s="514">
        <v>356</v>
      </c>
      <c r="N429" s="535">
        <f>2910+1946+844+614+16+345+1782</f>
        <v>8457</v>
      </c>
      <c r="O429" s="547">
        <f>275+184+79+99+2+34+356</f>
        <v>1029</v>
      </c>
      <c r="P429" s="515">
        <f t="shared" si="12"/>
        <v>8.21865889212828</v>
      </c>
      <c r="Q429" s="516">
        <v>41313</v>
      </c>
    </row>
    <row r="430" spans="1:17" ht="11.25">
      <c r="A430" s="453">
        <v>429</v>
      </c>
      <c r="B430" s="497" t="s">
        <v>48</v>
      </c>
      <c r="C430" s="518" t="s">
        <v>89</v>
      </c>
      <c r="D430" s="519" t="s">
        <v>93</v>
      </c>
      <c r="E430" s="500"/>
      <c r="F430" s="519" t="s">
        <v>89</v>
      </c>
      <c r="G430" s="508">
        <v>40900</v>
      </c>
      <c r="H430" s="499" t="s">
        <v>59</v>
      </c>
      <c r="I430" s="509">
        <v>197</v>
      </c>
      <c r="J430" s="509">
        <v>1</v>
      </c>
      <c r="K430" s="509">
        <v>25</v>
      </c>
      <c r="L430" s="529">
        <v>8553.6</v>
      </c>
      <c r="M430" s="514">
        <v>1712</v>
      </c>
      <c r="N430" s="541">
        <f>985836.5+657011.5+454728.5+206461+72029+16105.51+5902+3599+438+1782+3564+1782+2376+3564+43346.95+3177.35+178.95+252+1188+8316+1188+1188+1188+2376+8553.6</f>
        <v>2486131.8600000003</v>
      </c>
      <c r="O430" s="547">
        <f>106718+73176+50608+29114+10776+3413+1375+639+190+356+712+356+475+712+5787+437+21+44+238+1666+238+238+237+475+1712</f>
        <v>289713</v>
      </c>
      <c r="P430" s="512">
        <f t="shared" si="12"/>
        <v>8.581361071129015</v>
      </c>
      <c r="Q430" s="513">
        <v>41334</v>
      </c>
    </row>
    <row r="431" spans="1:17" ht="11.25">
      <c r="A431" s="453">
        <v>430</v>
      </c>
      <c r="B431" s="497" t="s">
        <v>48</v>
      </c>
      <c r="C431" s="518" t="s">
        <v>89</v>
      </c>
      <c r="D431" s="392" t="s">
        <v>93</v>
      </c>
      <c r="E431" s="490"/>
      <c r="F431" s="392" t="s">
        <v>89</v>
      </c>
      <c r="G431" s="495">
        <v>40900</v>
      </c>
      <c r="H431" s="499" t="s">
        <v>59</v>
      </c>
      <c r="I431" s="506">
        <v>197</v>
      </c>
      <c r="J431" s="509">
        <v>1</v>
      </c>
      <c r="K431" s="509">
        <v>24</v>
      </c>
      <c r="L431" s="529">
        <v>2376</v>
      </c>
      <c r="M431" s="514">
        <v>475</v>
      </c>
      <c r="N431" s="541">
        <f>985836.5+657011.5+454728.5+206461+72029+16105.51+5902+3599+438+1782+3564+1782+2376+3564+43346.95+3177.35+178.95+252+1188+8316+1188+1188+1188+2376</f>
        <v>2477578.2600000002</v>
      </c>
      <c r="O431" s="547">
        <f>106718+73176+50608+29114+10776+3413+1375+639+190+356+712+356+475+712+5787+437+21+44+238+1666+238+238+237+475</f>
        <v>288001</v>
      </c>
      <c r="P431" s="512">
        <f t="shared" si="12"/>
        <v>8.602672421276315</v>
      </c>
      <c r="Q431" s="513">
        <v>41299</v>
      </c>
    </row>
    <row r="432" spans="1:17" ht="11.25">
      <c r="A432" s="453">
        <v>431</v>
      </c>
      <c r="B432" s="498" t="s">
        <v>48</v>
      </c>
      <c r="C432" s="520" t="s">
        <v>407</v>
      </c>
      <c r="D432" s="500" t="s">
        <v>408</v>
      </c>
      <c r="E432" s="506"/>
      <c r="F432" s="560" t="s">
        <v>407</v>
      </c>
      <c r="G432" s="508">
        <v>41145</v>
      </c>
      <c r="H432" s="499" t="s">
        <v>59</v>
      </c>
      <c r="I432" s="556">
        <v>13</v>
      </c>
      <c r="J432" s="517">
        <v>1</v>
      </c>
      <c r="K432" s="517">
        <v>14</v>
      </c>
      <c r="L432" s="529">
        <v>99</v>
      </c>
      <c r="M432" s="514">
        <v>15</v>
      </c>
      <c r="N432" s="541">
        <f>31727+16342.85+8186.75+8671.5+6521+5292.6+3670.5+2499+444+400+172+1165+380+99</f>
        <v>85571.20000000001</v>
      </c>
      <c r="O432" s="547">
        <f>3046+1807+986+1289+861+842+698+743+68+64+77+141+122+15</f>
        <v>10759</v>
      </c>
      <c r="P432" s="515">
        <f t="shared" si="12"/>
        <v>7.9534529231341216</v>
      </c>
      <c r="Q432" s="516">
        <v>41376</v>
      </c>
    </row>
    <row r="433" spans="1:17" ht="11.25">
      <c r="A433" s="453">
        <v>432</v>
      </c>
      <c r="B433" s="498" t="s">
        <v>48</v>
      </c>
      <c r="C433" s="520" t="s">
        <v>407</v>
      </c>
      <c r="D433" s="500" t="s">
        <v>408</v>
      </c>
      <c r="E433" s="506"/>
      <c r="F433" s="560" t="s">
        <v>407</v>
      </c>
      <c r="G433" s="508">
        <v>41145</v>
      </c>
      <c r="H433" s="499" t="s">
        <v>59</v>
      </c>
      <c r="I433" s="556">
        <v>13</v>
      </c>
      <c r="J433" s="517">
        <v>1</v>
      </c>
      <c r="K433" s="517">
        <v>15</v>
      </c>
      <c r="L433" s="529">
        <v>66</v>
      </c>
      <c r="M433" s="514">
        <v>10</v>
      </c>
      <c r="N433" s="541">
        <f>31727+16342.85+8186.75+8671.5+6521+5292.6+3670.5+2499+444+400+172+1165+380+99+66</f>
        <v>85637.20000000001</v>
      </c>
      <c r="O433" s="547">
        <f>3046+1807+986+1289+861+842+698+743+68+64+77+141+122+15+10</f>
        <v>10769</v>
      </c>
      <c r="P433" s="515">
        <f t="shared" si="12"/>
        <v>7.952196118488255</v>
      </c>
      <c r="Q433" s="516">
        <v>41383</v>
      </c>
    </row>
    <row r="434" spans="1:17" ht="11.25">
      <c r="A434" s="453">
        <v>433</v>
      </c>
      <c r="B434" s="497"/>
      <c r="C434" s="548" t="s">
        <v>437</v>
      </c>
      <c r="D434" s="492" t="s">
        <v>438</v>
      </c>
      <c r="E434" s="491" t="s">
        <v>439</v>
      </c>
      <c r="F434" s="491" t="s">
        <v>440</v>
      </c>
      <c r="G434" s="495">
        <v>41173</v>
      </c>
      <c r="H434" s="499" t="s">
        <v>139</v>
      </c>
      <c r="I434" s="506">
        <v>25</v>
      </c>
      <c r="J434" s="640">
        <v>2</v>
      </c>
      <c r="K434" s="640">
        <v>13</v>
      </c>
      <c r="L434" s="554">
        <v>3120.8</v>
      </c>
      <c r="M434" s="555">
        <v>591</v>
      </c>
      <c r="N434" s="438">
        <v>290923.62999999995</v>
      </c>
      <c r="O434" s="439">
        <v>28471</v>
      </c>
      <c r="P434" s="512">
        <f t="shared" si="12"/>
        <v>10.218244178286676</v>
      </c>
      <c r="Q434" s="513">
        <v>41285</v>
      </c>
    </row>
    <row r="435" spans="1:17" ht="11.25">
      <c r="A435" s="453">
        <v>434</v>
      </c>
      <c r="B435" s="497"/>
      <c r="C435" s="548" t="s">
        <v>437</v>
      </c>
      <c r="D435" s="492" t="s">
        <v>438</v>
      </c>
      <c r="E435" s="491" t="s">
        <v>439</v>
      </c>
      <c r="F435" s="491" t="s">
        <v>440</v>
      </c>
      <c r="G435" s="495">
        <v>41173</v>
      </c>
      <c r="H435" s="499" t="s">
        <v>139</v>
      </c>
      <c r="I435" s="506">
        <v>25</v>
      </c>
      <c r="J435" s="641">
        <v>1</v>
      </c>
      <c r="K435" s="641">
        <v>14</v>
      </c>
      <c r="L435" s="642">
        <v>304</v>
      </c>
      <c r="M435" s="643">
        <v>47</v>
      </c>
      <c r="N435" s="644">
        <v>291227.62999999995</v>
      </c>
      <c r="O435" s="645">
        <v>28518</v>
      </c>
      <c r="P435" s="515">
        <f t="shared" si="12"/>
        <v>10.212063608948732</v>
      </c>
      <c r="Q435" s="516">
        <v>41306</v>
      </c>
    </row>
    <row r="436" spans="1:17" ht="11.25">
      <c r="A436" s="453">
        <v>435</v>
      </c>
      <c r="B436" s="497" t="s">
        <v>48</v>
      </c>
      <c r="C436" s="518" t="s">
        <v>553</v>
      </c>
      <c r="D436" s="392" t="s">
        <v>554</v>
      </c>
      <c r="E436" s="490"/>
      <c r="F436" s="392" t="s">
        <v>553</v>
      </c>
      <c r="G436" s="495">
        <v>41257</v>
      </c>
      <c r="H436" s="499" t="s">
        <v>12</v>
      </c>
      <c r="I436" s="509">
        <v>166</v>
      </c>
      <c r="J436" s="509">
        <v>47</v>
      </c>
      <c r="K436" s="509">
        <v>4</v>
      </c>
      <c r="L436" s="554">
        <v>15432</v>
      </c>
      <c r="M436" s="555">
        <v>2052</v>
      </c>
      <c r="N436" s="550">
        <v>641326</v>
      </c>
      <c r="O436" s="552">
        <v>72424</v>
      </c>
      <c r="P436" s="512">
        <f t="shared" si="12"/>
        <v>8.855158510990831</v>
      </c>
      <c r="Q436" s="513">
        <v>41278</v>
      </c>
    </row>
    <row r="437" spans="1:17" ht="11.25">
      <c r="A437" s="453">
        <v>436</v>
      </c>
      <c r="B437" s="497" t="s">
        <v>48</v>
      </c>
      <c r="C437" s="518" t="s">
        <v>553</v>
      </c>
      <c r="D437" s="392" t="s">
        <v>554</v>
      </c>
      <c r="E437" s="490"/>
      <c r="F437" s="392" t="s">
        <v>553</v>
      </c>
      <c r="G437" s="495">
        <v>41257</v>
      </c>
      <c r="H437" s="499" t="s">
        <v>12</v>
      </c>
      <c r="I437" s="509">
        <v>166</v>
      </c>
      <c r="J437" s="509">
        <v>13</v>
      </c>
      <c r="K437" s="509">
        <v>5</v>
      </c>
      <c r="L437" s="530">
        <v>5071</v>
      </c>
      <c r="M437" s="533">
        <v>770</v>
      </c>
      <c r="N437" s="551">
        <v>646397</v>
      </c>
      <c r="O437" s="553">
        <v>73194</v>
      </c>
      <c r="P437" s="512">
        <f t="shared" si="12"/>
        <v>8.831283985026095</v>
      </c>
      <c r="Q437" s="513">
        <v>41285</v>
      </c>
    </row>
    <row r="438" spans="1:17" ht="11.25">
      <c r="A438" s="453">
        <v>437</v>
      </c>
      <c r="B438" s="497" t="s">
        <v>48</v>
      </c>
      <c r="C438" s="518" t="s">
        <v>553</v>
      </c>
      <c r="D438" s="392" t="s">
        <v>554</v>
      </c>
      <c r="E438" s="490"/>
      <c r="F438" s="392" t="s">
        <v>553</v>
      </c>
      <c r="G438" s="495">
        <v>41257</v>
      </c>
      <c r="H438" s="499" t="s">
        <v>12</v>
      </c>
      <c r="I438" s="509">
        <v>166</v>
      </c>
      <c r="J438" s="506">
        <v>1</v>
      </c>
      <c r="K438" s="506">
        <v>8</v>
      </c>
      <c r="L438" s="554">
        <v>1197</v>
      </c>
      <c r="M438" s="534">
        <v>189</v>
      </c>
      <c r="N438" s="438">
        <v>647910</v>
      </c>
      <c r="O438" s="552">
        <v>73428</v>
      </c>
      <c r="P438" s="515">
        <f t="shared" si="12"/>
        <v>8.823745710083347</v>
      </c>
      <c r="Q438" s="516">
        <v>41306</v>
      </c>
    </row>
    <row r="439" spans="1:17" ht="11.25">
      <c r="A439" s="453">
        <v>438</v>
      </c>
      <c r="B439" s="497" t="s">
        <v>48</v>
      </c>
      <c r="C439" s="518" t="s">
        <v>553</v>
      </c>
      <c r="D439" s="392" t="s">
        <v>554</v>
      </c>
      <c r="E439" s="490"/>
      <c r="F439" s="392" t="s">
        <v>553</v>
      </c>
      <c r="G439" s="495">
        <v>41257</v>
      </c>
      <c r="H439" s="499" t="s">
        <v>12</v>
      </c>
      <c r="I439" s="509">
        <v>166</v>
      </c>
      <c r="J439" s="509">
        <v>2</v>
      </c>
      <c r="K439" s="509">
        <v>6</v>
      </c>
      <c r="L439" s="554">
        <v>316</v>
      </c>
      <c r="M439" s="555">
        <v>45</v>
      </c>
      <c r="N439" s="438">
        <v>646713</v>
      </c>
      <c r="O439" s="439">
        <v>73239</v>
      </c>
      <c r="P439" s="512">
        <f t="shared" si="12"/>
        <v>8.830172449104985</v>
      </c>
      <c r="Q439" s="513">
        <v>41292</v>
      </c>
    </row>
    <row r="440" spans="1:17" ht="11.25">
      <c r="A440" s="453">
        <v>439</v>
      </c>
      <c r="B440" s="497"/>
      <c r="C440" s="548" t="s">
        <v>294</v>
      </c>
      <c r="D440" s="492" t="s">
        <v>161</v>
      </c>
      <c r="E440" s="491" t="s">
        <v>295</v>
      </c>
      <c r="F440" s="491" t="s">
        <v>296</v>
      </c>
      <c r="G440" s="495">
        <v>41075</v>
      </c>
      <c r="H440" s="499" t="s">
        <v>139</v>
      </c>
      <c r="I440" s="509">
        <v>1</v>
      </c>
      <c r="J440" s="647">
        <v>1</v>
      </c>
      <c r="K440" s="647">
        <v>17</v>
      </c>
      <c r="L440" s="554">
        <v>30</v>
      </c>
      <c r="M440" s="555">
        <v>6</v>
      </c>
      <c r="N440" s="646">
        <v>13016.86</v>
      </c>
      <c r="O440" s="645">
        <v>1147</v>
      </c>
      <c r="P440" s="512">
        <f t="shared" si="12"/>
        <v>11.348613775065388</v>
      </c>
      <c r="Q440" s="513">
        <v>41278</v>
      </c>
    </row>
    <row r="441" spans="1:17" ht="11.25">
      <c r="A441" s="453">
        <v>440</v>
      </c>
      <c r="B441" s="498"/>
      <c r="C441" s="520" t="s">
        <v>428</v>
      </c>
      <c r="D441" s="500" t="s">
        <v>429</v>
      </c>
      <c r="E441" s="506" t="s">
        <v>81</v>
      </c>
      <c r="F441" s="560" t="s">
        <v>430</v>
      </c>
      <c r="G441" s="508">
        <v>41159</v>
      </c>
      <c r="H441" s="499" t="s">
        <v>59</v>
      </c>
      <c r="I441" s="556">
        <v>3</v>
      </c>
      <c r="J441" s="517">
        <v>1</v>
      </c>
      <c r="K441" s="517">
        <v>6</v>
      </c>
      <c r="L441" s="529">
        <v>1782</v>
      </c>
      <c r="M441" s="514">
        <v>356</v>
      </c>
      <c r="N441" s="541">
        <f>4124+2165.5+1425.6+778+308+1782</f>
        <v>10583.1</v>
      </c>
      <c r="O441" s="547">
        <f>269+194+285+80+21+356</f>
        <v>1205</v>
      </c>
      <c r="P441" s="515">
        <f t="shared" si="12"/>
        <v>8.782655601659751</v>
      </c>
      <c r="Q441" s="516">
        <v>41376</v>
      </c>
    </row>
    <row r="442" spans="1:17" ht="11.25">
      <c r="A442" s="453">
        <v>441</v>
      </c>
      <c r="B442" s="497"/>
      <c r="C442" s="523" t="s">
        <v>584</v>
      </c>
      <c r="D442" s="524" t="s">
        <v>80</v>
      </c>
      <c r="E442" s="490" t="s">
        <v>69</v>
      </c>
      <c r="F442" s="494" t="s">
        <v>585</v>
      </c>
      <c r="G442" s="493">
        <v>41271</v>
      </c>
      <c r="H442" s="499" t="s">
        <v>59</v>
      </c>
      <c r="I442" s="509">
        <v>105</v>
      </c>
      <c r="J442" s="509">
        <v>167</v>
      </c>
      <c r="K442" s="509">
        <v>3</v>
      </c>
      <c r="L442" s="529">
        <v>1092687.84</v>
      </c>
      <c r="M442" s="514">
        <v>90863</v>
      </c>
      <c r="N442" s="541">
        <f>1548192.54+1047516.55+1092687.84</f>
        <v>3688396.9299999997</v>
      </c>
      <c r="O442" s="547">
        <f>128958+87739+90863</f>
        <v>307560</v>
      </c>
      <c r="P442" s="512">
        <f t="shared" si="12"/>
        <v>11.992446774613082</v>
      </c>
      <c r="Q442" s="513">
        <v>41285</v>
      </c>
    </row>
    <row r="443" spans="1:17" ht="11.25">
      <c r="A443" s="453">
        <v>442</v>
      </c>
      <c r="B443" s="497"/>
      <c r="C443" s="523" t="s">
        <v>584</v>
      </c>
      <c r="D443" s="524" t="s">
        <v>80</v>
      </c>
      <c r="E443" s="490" t="s">
        <v>69</v>
      </c>
      <c r="F443" s="494" t="s">
        <v>585</v>
      </c>
      <c r="G443" s="493">
        <v>41271</v>
      </c>
      <c r="H443" s="499" t="s">
        <v>59</v>
      </c>
      <c r="I443" s="509">
        <v>105</v>
      </c>
      <c r="J443" s="509">
        <v>170</v>
      </c>
      <c r="K443" s="509">
        <v>2</v>
      </c>
      <c r="L443" s="529">
        <v>1047516.55</v>
      </c>
      <c r="M443" s="514">
        <v>87739</v>
      </c>
      <c r="N443" s="535">
        <f>1548192.54+1047516.55</f>
        <v>2595709.09</v>
      </c>
      <c r="O443" s="542">
        <f>128958+87739</f>
        <v>216697</v>
      </c>
      <c r="P443" s="512">
        <f t="shared" si="12"/>
        <v>11.978518807366967</v>
      </c>
      <c r="Q443" s="513">
        <v>41278</v>
      </c>
    </row>
    <row r="444" spans="1:17" ht="11.25">
      <c r="A444" s="453">
        <v>443</v>
      </c>
      <c r="B444" s="497"/>
      <c r="C444" s="523" t="s">
        <v>584</v>
      </c>
      <c r="D444" s="524" t="s">
        <v>80</v>
      </c>
      <c r="E444" s="490" t="s">
        <v>69</v>
      </c>
      <c r="F444" s="494" t="s">
        <v>585</v>
      </c>
      <c r="G444" s="493">
        <v>41271</v>
      </c>
      <c r="H444" s="499" t="s">
        <v>59</v>
      </c>
      <c r="I444" s="509">
        <v>105</v>
      </c>
      <c r="J444" s="666">
        <v>138</v>
      </c>
      <c r="K444" s="666">
        <v>4</v>
      </c>
      <c r="L444" s="529">
        <v>652816.8</v>
      </c>
      <c r="M444" s="514">
        <v>48549</v>
      </c>
      <c r="N444" s="539">
        <f>1548192.54+1047516.55+1092687.84+652816.8</f>
        <v>4341213.7299999995</v>
      </c>
      <c r="O444" s="545">
        <f>128958+87739+90863+48549</f>
        <v>356109</v>
      </c>
      <c r="P444" s="512">
        <f t="shared" si="12"/>
        <v>12.190688047760656</v>
      </c>
      <c r="Q444" s="513">
        <v>41292</v>
      </c>
    </row>
    <row r="445" spans="1:17" ht="11.25">
      <c r="A445" s="453">
        <v>444</v>
      </c>
      <c r="B445" s="497"/>
      <c r="C445" s="523" t="s">
        <v>584</v>
      </c>
      <c r="D445" s="524" t="s">
        <v>80</v>
      </c>
      <c r="E445" s="490" t="s">
        <v>69</v>
      </c>
      <c r="F445" s="494" t="s">
        <v>585</v>
      </c>
      <c r="G445" s="493">
        <v>41271</v>
      </c>
      <c r="H445" s="499" t="s">
        <v>59</v>
      </c>
      <c r="I445" s="509">
        <v>105</v>
      </c>
      <c r="J445" s="509">
        <v>91</v>
      </c>
      <c r="K445" s="509">
        <v>5</v>
      </c>
      <c r="L445" s="529">
        <v>476798.3</v>
      </c>
      <c r="M445" s="514">
        <v>36026</v>
      </c>
      <c r="N445" s="541">
        <f>1548192.54+1047516.55+1092687.84+652816.8+476798.3</f>
        <v>4818012.029999999</v>
      </c>
      <c r="O445" s="547">
        <f>128958+87739+90863+48549+36026</f>
        <v>392135</v>
      </c>
      <c r="P445" s="512">
        <f t="shared" si="12"/>
        <v>12.286615655322782</v>
      </c>
      <c r="Q445" s="513">
        <v>41299</v>
      </c>
    </row>
    <row r="446" spans="1:17" ht="11.25">
      <c r="A446" s="453">
        <v>445</v>
      </c>
      <c r="B446" s="497"/>
      <c r="C446" s="523" t="s">
        <v>584</v>
      </c>
      <c r="D446" s="524" t="s">
        <v>80</v>
      </c>
      <c r="E446" s="490" t="s">
        <v>69</v>
      </c>
      <c r="F446" s="494" t="s">
        <v>585</v>
      </c>
      <c r="G446" s="493">
        <v>41271</v>
      </c>
      <c r="H446" s="499" t="s">
        <v>59</v>
      </c>
      <c r="I446" s="509">
        <v>105</v>
      </c>
      <c r="J446" s="506">
        <v>35</v>
      </c>
      <c r="K446" s="506">
        <v>6</v>
      </c>
      <c r="L446" s="529">
        <v>191946</v>
      </c>
      <c r="M446" s="511">
        <v>13149</v>
      </c>
      <c r="N446" s="541">
        <f>4817979.03+191946</f>
        <v>5009925.03</v>
      </c>
      <c r="O446" s="542">
        <f>392133+13149</f>
        <v>405282</v>
      </c>
      <c r="P446" s="515">
        <f t="shared" si="12"/>
        <v>12.361577938324427</v>
      </c>
      <c r="Q446" s="516">
        <v>41306</v>
      </c>
    </row>
    <row r="447" spans="1:17" ht="11.25">
      <c r="A447" s="453">
        <v>446</v>
      </c>
      <c r="B447" s="497"/>
      <c r="C447" s="518" t="s">
        <v>584</v>
      </c>
      <c r="D447" s="506" t="s">
        <v>80</v>
      </c>
      <c r="E447" s="500" t="s">
        <v>69</v>
      </c>
      <c r="F447" s="525" t="s">
        <v>585</v>
      </c>
      <c r="G447" s="526">
        <v>41271</v>
      </c>
      <c r="H447" s="499" t="s">
        <v>59</v>
      </c>
      <c r="I447" s="509">
        <v>105</v>
      </c>
      <c r="J447" s="509">
        <v>6</v>
      </c>
      <c r="K447" s="509">
        <v>10</v>
      </c>
      <c r="L447" s="529">
        <v>62795.45</v>
      </c>
      <c r="M447" s="514">
        <v>5575</v>
      </c>
      <c r="N447" s="541">
        <f>4817979.03+191946+106642.1+43773.5+46170+62795.45</f>
        <v>5269306.08</v>
      </c>
      <c r="O447" s="547">
        <f>392133+13149+7673+2702+3625+5575</f>
        <v>424857</v>
      </c>
      <c r="P447" s="512">
        <f t="shared" si="12"/>
        <v>12.40254033710166</v>
      </c>
      <c r="Q447" s="513">
        <v>41334</v>
      </c>
    </row>
    <row r="448" spans="1:17" ht="11.25">
      <c r="A448" s="453">
        <v>447</v>
      </c>
      <c r="B448" s="497"/>
      <c r="C448" s="518" t="s">
        <v>584</v>
      </c>
      <c r="D448" s="506" t="s">
        <v>80</v>
      </c>
      <c r="E448" s="500" t="s">
        <v>69</v>
      </c>
      <c r="F448" s="525" t="s">
        <v>585</v>
      </c>
      <c r="G448" s="526">
        <v>41271</v>
      </c>
      <c r="H448" s="499" t="s">
        <v>59</v>
      </c>
      <c r="I448" s="509">
        <v>105</v>
      </c>
      <c r="J448" s="509">
        <v>12</v>
      </c>
      <c r="K448" s="509">
        <v>9</v>
      </c>
      <c r="L448" s="648">
        <v>46170</v>
      </c>
      <c r="M448" s="649">
        <v>3625</v>
      </c>
      <c r="N448" s="539">
        <f>4817979.03+191946+106642.1+43773.5+46170</f>
        <v>5206510.63</v>
      </c>
      <c r="O448" s="545">
        <f>392133+13149+7673+2702+3625</f>
        <v>419282</v>
      </c>
      <c r="P448" s="512">
        <f t="shared" si="12"/>
        <v>12.4176822043398</v>
      </c>
      <c r="Q448" s="513">
        <v>41327</v>
      </c>
    </row>
    <row r="449" spans="1:17" ht="11.25">
      <c r="A449" s="453">
        <v>448</v>
      </c>
      <c r="B449" s="497"/>
      <c r="C449" s="518" t="s">
        <v>584</v>
      </c>
      <c r="D449" s="492" t="s">
        <v>80</v>
      </c>
      <c r="E449" s="490" t="s">
        <v>69</v>
      </c>
      <c r="F449" s="494" t="s">
        <v>585</v>
      </c>
      <c r="G449" s="526">
        <v>41271</v>
      </c>
      <c r="H449" s="499" t="s">
        <v>59</v>
      </c>
      <c r="I449" s="509">
        <v>105</v>
      </c>
      <c r="J449" s="506">
        <v>12</v>
      </c>
      <c r="K449" s="506">
        <v>8</v>
      </c>
      <c r="L449" s="510">
        <v>43773.5</v>
      </c>
      <c r="M449" s="511">
        <v>2702</v>
      </c>
      <c r="N449" s="535">
        <f>4817979.03+191946+106642.1+43773.5</f>
        <v>5160340.63</v>
      </c>
      <c r="O449" s="542">
        <f>392133+13149+7673+2702</f>
        <v>415657</v>
      </c>
      <c r="P449" s="512">
        <f t="shared" si="12"/>
        <v>12.414901300832176</v>
      </c>
      <c r="Q449" s="513">
        <v>41320</v>
      </c>
    </row>
    <row r="450" spans="1:17" ht="11.25">
      <c r="A450" s="453">
        <v>449</v>
      </c>
      <c r="B450" s="497"/>
      <c r="C450" s="518" t="s">
        <v>584</v>
      </c>
      <c r="D450" s="506" t="s">
        <v>80</v>
      </c>
      <c r="E450" s="500" t="s">
        <v>69</v>
      </c>
      <c r="F450" s="525" t="s">
        <v>585</v>
      </c>
      <c r="G450" s="526">
        <v>41271</v>
      </c>
      <c r="H450" s="499" t="s">
        <v>59</v>
      </c>
      <c r="I450" s="509">
        <v>105</v>
      </c>
      <c r="J450" s="666">
        <v>6</v>
      </c>
      <c r="K450" s="666">
        <v>11</v>
      </c>
      <c r="L450" s="510">
        <v>14506.5</v>
      </c>
      <c r="M450" s="511">
        <v>1571</v>
      </c>
      <c r="N450" s="535">
        <f>4817979.03+191946+106642.1+43773.5+46170+62795.45+14506.5</f>
        <v>5283812.58</v>
      </c>
      <c r="O450" s="542">
        <f>392133+13149+7673+2702+3625+5575+1571</f>
        <v>426428</v>
      </c>
      <c r="P450" s="512">
        <f t="shared" si="12"/>
        <v>12.390866875533503</v>
      </c>
      <c r="Q450" s="513">
        <v>41341</v>
      </c>
    </row>
    <row r="451" spans="1:17" ht="11.25">
      <c r="A451" s="453">
        <v>450</v>
      </c>
      <c r="B451" s="497"/>
      <c r="C451" s="518" t="s">
        <v>584</v>
      </c>
      <c r="D451" s="506" t="s">
        <v>80</v>
      </c>
      <c r="E451" s="500" t="s">
        <v>69</v>
      </c>
      <c r="F451" s="525" t="s">
        <v>585</v>
      </c>
      <c r="G451" s="526">
        <v>41271</v>
      </c>
      <c r="H451" s="499" t="s">
        <v>59</v>
      </c>
      <c r="I451" s="509">
        <v>105</v>
      </c>
      <c r="J451" s="517">
        <v>3</v>
      </c>
      <c r="K451" s="517">
        <v>13</v>
      </c>
      <c r="L451" s="529">
        <v>6817</v>
      </c>
      <c r="M451" s="514">
        <v>990</v>
      </c>
      <c r="N451" s="541">
        <f>4817979.03+191946+106642.1+43773.5+46170+62795.45+14506.5+4559</f>
        <v>5288371.58</v>
      </c>
      <c r="O451" s="547">
        <f>392133+13149+7673+2702+3625+5575+1571+266</f>
        <v>426694</v>
      </c>
      <c r="P451" s="515">
        <f t="shared" si="12"/>
        <v>12.393826911088508</v>
      </c>
      <c r="Q451" s="516">
        <v>41355</v>
      </c>
    </row>
    <row r="452" spans="1:17" ht="11.25">
      <c r="A452" s="453">
        <v>451</v>
      </c>
      <c r="B452" s="402"/>
      <c r="C452" s="501" t="s">
        <v>584</v>
      </c>
      <c r="D452" s="492" t="s">
        <v>80</v>
      </c>
      <c r="E452" s="490" t="s">
        <v>69</v>
      </c>
      <c r="F452" s="494" t="s">
        <v>585</v>
      </c>
      <c r="G452" s="493">
        <v>41271</v>
      </c>
      <c r="H452" s="491" t="s">
        <v>59</v>
      </c>
      <c r="I452" s="509">
        <v>105</v>
      </c>
      <c r="J452" s="509">
        <v>2</v>
      </c>
      <c r="K452" s="509">
        <v>22</v>
      </c>
      <c r="L452" s="503">
        <v>6051.6</v>
      </c>
      <c r="M452" s="504">
        <v>628</v>
      </c>
      <c r="N452" s="538">
        <f>4817979.03+191946+106642.1+43773.5+46170+62795.45+14506.5+4559+6817+1425.6+1455+1728.5+3706.5+1188+2142+3363.6+356+6051.6</f>
        <v>5316605.379999999</v>
      </c>
      <c r="O452" s="544">
        <f>392133+13149+7673+2702+3625+5575+1571+266+990+285+264+392+378+238+253+621+33+628</f>
        <v>430776</v>
      </c>
      <c r="P452" s="512">
        <f t="shared" si="12"/>
        <v>12.341925687596335</v>
      </c>
      <c r="Q452" s="513">
        <v>41516</v>
      </c>
    </row>
    <row r="453" spans="1:17" ht="11.25">
      <c r="A453" s="453">
        <v>452</v>
      </c>
      <c r="B453" s="497"/>
      <c r="C453" s="518" t="s">
        <v>584</v>
      </c>
      <c r="D453" s="506" t="s">
        <v>80</v>
      </c>
      <c r="E453" s="500" t="s">
        <v>69</v>
      </c>
      <c r="F453" s="525" t="s">
        <v>585</v>
      </c>
      <c r="G453" s="526">
        <v>41271</v>
      </c>
      <c r="H453" s="499" t="s">
        <v>59</v>
      </c>
      <c r="I453" s="509">
        <v>105</v>
      </c>
      <c r="J453" s="509">
        <v>1</v>
      </c>
      <c r="K453" s="509">
        <v>12</v>
      </c>
      <c r="L453" s="648">
        <v>4559</v>
      </c>
      <c r="M453" s="649">
        <v>266</v>
      </c>
      <c r="N453" s="539">
        <f>4817979.03+191946+106642.1+43773.5+46170+62795.45+14506.5+4559</f>
        <v>5288371.58</v>
      </c>
      <c r="O453" s="545">
        <f>392133+13149+7673+2702+3625+5575+1571+266</f>
        <v>426694</v>
      </c>
      <c r="P453" s="512">
        <f t="shared" si="12"/>
        <v>12.393826911088508</v>
      </c>
      <c r="Q453" s="513">
        <v>41348</v>
      </c>
    </row>
    <row r="454" spans="1:17" ht="11.25">
      <c r="A454" s="453">
        <v>453</v>
      </c>
      <c r="B454" s="497"/>
      <c r="C454" s="518" t="s">
        <v>584</v>
      </c>
      <c r="D454" s="506" t="s">
        <v>80</v>
      </c>
      <c r="E454" s="500" t="s">
        <v>69</v>
      </c>
      <c r="F454" s="525" t="s">
        <v>585</v>
      </c>
      <c r="G454" s="526">
        <v>41271</v>
      </c>
      <c r="H454" s="499" t="s">
        <v>59</v>
      </c>
      <c r="I454" s="509">
        <v>105</v>
      </c>
      <c r="J454" s="509">
        <v>2</v>
      </c>
      <c r="K454" s="509">
        <v>17</v>
      </c>
      <c r="L454" s="510">
        <v>3706.5</v>
      </c>
      <c r="M454" s="511">
        <v>378</v>
      </c>
      <c r="N454" s="535">
        <f>4817979.03+191946+106642.1+43773.5+46170+62795.45+14506.5+4559+6817+1425.6+1455+1728.5+3706.5</f>
        <v>5303504.18</v>
      </c>
      <c r="O454" s="542">
        <f>392133+13149+7673+2702+3625+5575+1571+266+990+285+264+392+378</f>
        <v>429003</v>
      </c>
      <c r="P454" s="512">
        <f t="shared" si="12"/>
        <v>12.362394155751824</v>
      </c>
      <c r="Q454" s="513">
        <v>41404</v>
      </c>
    </row>
    <row r="455" spans="1:17" ht="11.25">
      <c r="A455" s="453">
        <v>454</v>
      </c>
      <c r="B455" s="497"/>
      <c r="C455" s="518" t="s">
        <v>584</v>
      </c>
      <c r="D455" s="506" t="s">
        <v>80</v>
      </c>
      <c r="E455" s="500" t="s">
        <v>69</v>
      </c>
      <c r="F455" s="525" t="s">
        <v>585</v>
      </c>
      <c r="G455" s="493">
        <v>41271</v>
      </c>
      <c r="H455" s="499" t="s">
        <v>59</v>
      </c>
      <c r="I455" s="509">
        <v>105</v>
      </c>
      <c r="J455" s="509">
        <v>3</v>
      </c>
      <c r="K455" s="509">
        <v>20</v>
      </c>
      <c r="L455" s="503">
        <v>3363.6</v>
      </c>
      <c r="M455" s="504">
        <v>621</v>
      </c>
      <c r="N455" s="538">
        <f>4817979.03+191946+106642.1+43773.5+46170+62795.45+14506.5+4559+6817+1425.6+1455+1728.5+3706.5+1188+2142+3363.6</f>
        <v>5310197.779999999</v>
      </c>
      <c r="O455" s="544">
        <f>392133+13149+7673+2702+3625+5575+1571+266+990+285+264+392+378+238+253+621</f>
        <v>430115</v>
      </c>
      <c r="P455" s="512">
        <f t="shared" si="12"/>
        <v>12.345995326831195</v>
      </c>
      <c r="Q455" s="513">
        <v>41481</v>
      </c>
    </row>
    <row r="456" spans="1:17" ht="11.25">
      <c r="A456" s="453">
        <v>455</v>
      </c>
      <c r="B456" s="497"/>
      <c r="C456" s="518" t="s">
        <v>584</v>
      </c>
      <c r="D456" s="506" t="s">
        <v>80</v>
      </c>
      <c r="E456" s="500" t="s">
        <v>69</v>
      </c>
      <c r="F456" s="525" t="s">
        <v>585</v>
      </c>
      <c r="G456" s="526">
        <v>41271</v>
      </c>
      <c r="H456" s="499" t="s">
        <v>59</v>
      </c>
      <c r="I456" s="509">
        <v>105</v>
      </c>
      <c r="J456" s="509">
        <v>1</v>
      </c>
      <c r="K456" s="509">
        <v>19</v>
      </c>
      <c r="L456" s="503">
        <v>2142</v>
      </c>
      <c r="M456" s="504">
        <v>253</v>
      </c>
      <c r="N456" s="538">
        <f>4817979.03+191946+106642.1+43773.5+46170+62795.45+14506.5+4559+6817+1425.6+1455+1728.5+3706.5+1188+2142</f>
        <v>5306834.18</v>
      </c>
      <c r="O456" s="544">
        <f>392133+13149+7673+2702+3625+5575+1571+266+990+285+264+392+378+238+253</f>
        <v>429494</v>
      </c>
      <c r="P456" s="512">
        <f t="shared" si="12"/>
        <v>12.356014705676913</v>
      </c>
      <c r="Q456" s="513">
        <v>41460</v>
      </c>
    </row>
    <row r="457" spans="1:17" ht="11.25">
      <c r="A457" s="453">
        <v>456</v>
      </c>
      <c r="B457" s="497"/>
      <c r="C457" s="518" t="s">
        <v>584</v>
      </c>
      <c r="D457" s="506" t="s">
        <v>80</v>
      </c>
      <c r="E457" s="500" t="s">
        <v>69</v>
      </c>
      <c r="F457" s="525" t="s">
        <v>585</v>
      </c>
      <c r="G457" s="526">
        <v>41271</v>
      </c>
      <c r="H457" s="499" t="s">
        <v>59</v>
      </c>
      <c r="I457" s="509">
        <v>105</v>
      </c>
      <c r="J457" s="509">
        <v>3</v>
      </c>
      <c r="K457" s="509">
        <v>16</v>
      </c>
      <c r="L457" s="510">
        <v>1728.5</v>
      </c>
      <c r="M457" s="511">
        <v>392</v>
      </c>
      <c r="N457" s="535">
        <f>4817979.03+191946+106642.1+43773.5+46170+62795.45+14506.5+4559+6817+1425.6+1455+1728.5</f>
        <v>5299797.68</v>
      </c>
      <c r="O457" s="542">
        <f>392133+13149+7673+2702+3625+5575+1571+266+990+285+264+392</f>
        <v>428625</v>
      </c>
      <c r="P457" s="512">
        <f t="shared" si="12"/>
        <v>12.364649005540974</v>
      </c>
      <c r="Q457" s="513">
        <v>41390</v>
      </c>
    </row>
    <row r="458" spans="1:17" ht="11.25">
      <c r="A458" s="453">
        <v>457</v>
      </c>
      <c r="B458" s="497"/>
      <c r="C458" s="518" t="s">
        <v>584</v>
      </c>
      <c r="D458" s="506" t="s">
        <v>80</v>
      </c>
      <c r="E458" s="500" t="s">
        <v>69</v>
      </c>
      <c r="F458" s="525" t="s">
        <v>585</v>
      </c>
      <c r="G458" s="526">
        <v>41271</v>
      </c>
      <c r="H458" s="499" t="s">
        <v>59</v>
      </c>
      <c r="I458" s="509">
        <v>105</v>
      </c>
      <c r="J458" s="517">
        <v>2</v>
      </c>
      <c r="K458" s="517">
        <v>15</v>
      </c>
      <c r="L458" s="529">
        <v>1455</v>
      </c>
      <c r="M458" s="514">
        <v>264</v>
      </c>
      <c r="N458" s="541">
        <f>4817979.03+191946+106642.1+43773.5+46170+62795.45+14506.5+4559+6817+1425.6+1455</f>
        <v>5298069.18</v>
      </c>
      <c r="O458" s="547">
        <f>392133+13149+7673+2702+3625+5575+1571+266+990+285+264</f>
        <v>428233</v>
      </c>
      <c r="P458" s="515">
        <f aca="true" t="shared" si="13" ref="P458:P521">N458/O458</f>
        <v>12.37193112160903</v>
      </c>
      <c r="Q458" s="516">
        <v>41383</v>
      </c>
    </row>
    <row r="459" spans="1:17" ht="11.25">
      <c r="A459" s="453">
        <v>458</v>
      </c>
      <c r="B459" s="497"/>
      <c r="C459" s="518" t="s">
        <v>584</v>
      </c>
      <c r="D459" s="506" t="s">
        <v>80</v>
      </c>
      <c r="E459" s="500" t="s">
        <v>69</v>
      </c>
      <c r="F459" s="525" t="s">
        <v>585</v>
      </c>
      <c r="G459" s="526">
        <v>41271</v>
      </c>
      <c r="H459" s="499" t="s">
        <v>59</v>
      </c>
      <c r="I459" s="509">
        <v>105</v>
      </c>
      <c r="J459" s="517">
        <v>1</v>
      </c>
      <c r="K459" s="517">
        <v>14</v>
      </c>
      <c r="L459" s="510">
        <v>1425.6</v>
      </c>
      <c r="M459" s="511">
        <v>285</v>
      </c>
      <c r="N459" s="535">
        <f>4817979.03+191946+106642.1+43773.5+46170+62795.45+14506.5+4559+6817+1425.6</f>
        <v>5296614.18</v>
      </c>
      <c r="O459" s="542">
        <f>392133+13149+7673+2702+3625+5575+1571+266+990+285</f>
        <v>427969</v>
      </c>
      <c r="P459" s="512">
        <f t="shared" si="13"/>
        <v>12.376163180043413</v>
      </c>
      <c r="Q459" s="513">
        <v>41362</v>
      </c>
    </row>
    <row r="460" spans="1:17" ht="11.25">
      <c r="A460" s="453">
        <v>459</v>
      </c>
      <c r="B460" s="497"/>
      <c r="C460" s="518" t="s">
        <v>584</v>
      </c>
      <c r="D460" s="506" t="s">
        <v>80</v>
      </c>
      <c r="E460" s="500" t="s">
        <v>69</v>
      </c>
      <c r="F460" s="525" t="s">
        <v>585</v>
      </c>
      <c r="G460" s="526">
        <v>41271</v>
      </c>
      <c r="H460" s="499" t="s">
        <v>59</v>
      </c>
      <c r="I460" s="509">
        <v>105</v>
      </c>
      <c r="J460" s="509">
        <v>1</v>
      </c>
      <c r="K460" s="509">
        <v>18</v>
      </c>
      <c r="L460" s="503">
        <v>1188</v>
      </c>
      <c r="M460" s="504">
        <v>238</v>
      </c>
      <c r="N460" s="538">
        <f>4817979.03+191946+106642.1+43773.5+46170+62795.45+14506.5+4559+6817+1425.6+1455+1728.5+3706.5+1188</f>
        <v>5304692.18</v>
      </c>
      <c r="O460" s="544">
        <f>392133+13149+7673+2702+3625+5575+1571+266+990+285+264+392+378+238</f>
        <v>429241</v>
      </c>
      <c r="P460" s="512">
        <f t="shared" si="13"/>
        <v>12.358307291241982</v>
      </c>
      <c r="Q460" s="513">
        <v>41453</v>
      </c>
    </row>
    <row r="461" spans="1:17" ht="11.25">
      <c r="A461" s="453">
        <v>460</v>
      </c>
      <c r="B461" s="497"/>
      <c r="C461" s="501" t="s">
        <v>584</v>
      </c>
      <c r="D461" s="492" t="s">
        <v>80</v>
      </c>
      <c r="E461" s="490" t="s">
        <v>69</v>
      </c>
      <c r="F461" s="494" t="s">
        <v>585</v>
      </c>
      <c r="G461" s="493">
        <v>41271</v>
      </c>
      <c r="H461" s="491" t="s">
        <v>59</v>
      </c>
      <c r="I461" s="506">
        <v>105</v>
      </c>
      <c r="J461" s="506">
        <v>1</v>
      </c>
      <c r="K461" s="506">
        <v>21</v>
      </c>
      <c r="L461" s="528">
        <v>356</v>
      </c>
      <c r="M461" s="532">
        <v>33</v>
      </c>
      <c r="N461" s="537">
        <f>4817979.03+191946+106642.1+43773.5+46170+62795.45+14506.5+4559+6817+1425.6+1455+1728.5+3706.5+1188+2142+3363.6+356</f>
        <v>5310553.779999999</v>
      </c>
      <c r="O461" s="543">
        <f>392133+13149+7673+2702+3625+5575+1571+266+990+285+264+392+378+238+253+621+33</f>
        <v>430148</v>
      </c>
      <c r="P461" s="515">
        <f t="shared" si="13"/>
        <v>12.34587579158801</v>
      </c>
      <c r="Q461" s="516">
        <v>41488</v>
      </c>
    </row>
    <row r="462" spans="1:17" ht="11.25">
      <c r="A462" s="453">
        <v>461</v>
      </c>
      <c r="B462" s="497"/>
      <c r="C462" s="548" t="s">
        <v>229</v>
      </c>
      <c r="D462" s="492"/>
      <c r="E462" s="339"/>
      <c r="F462" s="339" t="s">
        <v>230</v>
      </c>
      <c r="G462" s="495">
        <v>39843</v>
      </c>
      <c r="H462" s="499" t="s">
        <v>47</v>
      </c>
      <c r="I462" s="506">
        <v>50</v>
      </c>
      <c r="J462" s="527">
        <v>1</v>
      </c>
      <c r="K462" s="527">
        <v>28</v>
      </c>
      <c r="L462" s="554">
        <v>1185</v>
      </c>
      <c r="M462" s="534">
        <v>144</v>
      </c>
      <c r="N462" s="438">
        <f>168651.5+46529+10620.5+4304+0.5+12367.5+5085+0.5+811+443+1089+406.5+312+389+3597+510+948+224.5+704+336+20+216+70+45+43+90+16+1201+1383+1185</f>
        <v>261597.5</v>
      </c>
      <c r="O462" s="552">
        <f>20118+5529+1513+681+2223+920+189+100+201+77+55+67+600+195+369+85+176+67+2+42+14+7+7+16+2+240+164+144</f>
        <v>33803</v>
      </c>
      <c r="P462" s="515">
        <f t="shared" si="13"/>
        <v>7.738884122711002</v>
      </c>
      <c r="Q462" s="516">
        <v>41306</v>
      </c>
    </row>
    <row r="463" spans="1:17" ht="11.25">
      <c r="A463" s="453">
        <v>462</v>
      </c>
      <c r="B463" s="497"/>
      <c r="C463" s="548" t="s">
        <v>229</v>
      </c>
      <c r="D463" s="492"/>
      <c r="E463" s="339"/>
      <c r="F463" s="339" t="s">
        <v>230</v>
      </c>
      <c r="G463" s="495">
        <v>39843</v>
      </c>
      <c r="H463" s="499" t="s">
        <v>47</v>
      </c>
      <c r="I463" s="506">
        <v>50</v>
      </c>
      <c r="J463" s="556">
        <v>1</v>
      </c>
      <c r="K463" s="556">
        <v>27</v>
      </c>
      <c r="L463" s="531">
        <v>856</v>
      </c>
      <c r="M463" s="534">
        <v>103</v>
      </c>
      <c r="N463" s="687">
        <v>259885.5</v>
      </c>
      <c r="O463" s="688">
        <v>33598</v>
      </c>
      <c r="P463" s="512">
        <f t="shared" si="13"/>
        <v>7.735147925471754</v>
      </c>
      <c r="Q463" s="513">
        <v>41299</v>
      </c>
    </row>
    <row r="464" spans="1:17" ht="11.25">
      <c r="A464" s="453">
        <v>463</v>
      </c>
      <c r="B464" s="497"/>
      <c r="C464" s="523" t="s">
        <v>588</v>
      </c>
      <c r="D464" s="524" t="s">
        <v>587</v>
      </c>
      <c r="E464" s="490" t="s">
        <v>67</v>
      </c>
      <c r="F464" s="494" t="s">
        <v>586</v>
      </c>
      <c r="G464" s="493">
        <v>41271</v>
      </c>
      <c r="H464" s="499" t="s">
        <v>59</v>
      </c>
      <c r="I464" s="509">
        <v>45</v>
      </c>
      <c r="J464" s="509">
        <v>45</v>
      </c>
      <c r="K464" s="509">
        <v>2</v>
      </c>
      <c r="L464" s="529">
        <v>144262</v>
      </c>
      <c r="M464" s="514">
        <v>11989</v>
      </c>
      <c r="N464" s="535">
        <f>273965.5+144262</f>
        <v>418227.5</v>
      </c>
      <c r="O464" s="542">
        <f>22066+11989</f>
        <v>34055</v>
      </c>
      <c r="P464" s="512">
        <f t="shared" si="13"/>
        <v>12.280942592864484</v>
      </c>
      <c r="Q464" s="513">
        <v>41278</v>
      </c>
    </row>
    <row r="465" spans="1:17" ht="11.25">
      <c r="A465" s="453">
        <v>464</v>
      </c>
      <c r="B465" s="497"/>
      <c r="C465" s="523" t="s">
        <v>588</v>
      </c>
      <c r="D465" s="524" t="s">
        <v>587</v>
      </c>
      <c r="E465" s="490" t="s">
        <v>67</v>
      </c>
      <c r="F465" s="494" t="s">
        <v>586</v>
      </c>
      <c r="G465" s="493">
        <v>41271</v>
      </c>
      <c r="H465" s="499" t="s">
        <v>59</v>
      </c>
      <c r="I465" s="509">
        <v>45</v>
      </c>
      <c r="J465" s="509">
        <v>20</v>
      </c>
      <c r="K465" s="509">
        <v>3</v>
      </c>
      <c r="L465" s="529">
        <v>32336.3</v>
      </c>
      <c r="M465" s="514">
        <v>3363</v>
      </c>
      <c r="N465" s="541">
        <f>273965.5+144262+32336.3</f>
        <v>450563.8</v>
      </c>
      <c r="O465" s="547">
        <f>22066+11989+3363</f>
        <v>37418</v>
      </c>
      <c r="P465" s="512">
        <f t="shared" si="13"/>
        <v>12.041365118392218</v>
      </c>
      <c r="Q465" s="513">
        <v>41285</v>
      </c>
    </row>
    <row r="466" spans="1:17" ht="11.25">
      <c r="A466" s="453">
        <v>465</v>
      </c>
      <c r="B466" s="497"/>
      <c r="C466" s="523" t="s">
        <v>588</v>
      </c>
      <c r="D466" s="524" t="s">
        <v>587</v>
      </c>
      <c r="E466" s="490" t="s">
        <v>67</v>
      </c>
      <c r="F466" s="494" t="s">
        <v>586</v>
      </c>
      <c r="G466" s="493">
        <v>41271</v>
      </c>
      <c r="H466" s="499" t="s">
        <v>59</v>
      </c>
      <c r="I466" s="509">
        <v>45</v>
      </c>
      <c r="J466" s="509">
        <v>4</v>
      </c>
      <c r="K466" s="509">
        <v>5</v>
      </c>
      <c r="L466" s="529">
        <v>4801</v>
      </c>
      <c r="M466" s="514">
        <v>839</v>
      </c>
      <c r="N466" s="541">
        <f>273965.5+144262+32336.3+4259.5+4801</f>
        <v>459624.3</v>
      </c>
      <c r="O466" s="547">
        <f>22066+11989+3363+590+839</f>
        <v>38847</v>
      </c>
      <c r="P466" s="512">
        <f t="shared" si="13"/>
        <v>11.831654954050505</v>
      </c>
      <c r="Q466" s="513">
        <v>41299</v>
      </c>
    </row>
    <row r="467" spans="1:17" ht="11.25">
      <c r="A467" s="453">
        <v>466</v>
      </c>
      <c r="B467" s="497"/>
      <c r="C467" s="523" t="s">
        <v>588</v>
      </c>
      <c r="D467" s="524" t="s">
        <v>587</v>
      </c>
      <c r="E467" s="490" t="s">
        <v>67</v>
      </c>
      <c r="F467" s="494" t="s">
        <v>586</v>
      </c>
      <c r="G467" s="493">
        <v>41271</v>
      </c>
      <c r="H467" s="499" t="s">
        <v>59</v>
      </c>
      <c r="I467" s="509">
        <v>45</v>
      </c>
      <c r="J467" s="666">
        <v>6</v>
      </c>
      <c r="K467" s="666">
        <v>4</v>
      </c>
      <c r="L467" s="529">
        <v>4259.5</v>
      </c>
      <c r="M467" s="514">
        <v>590</v>
      </c>
      <c r="N467" s="539">
        <f>273965.5+144262+32336.3+4259.5</f>
        <v>454823.3</v>
      </c>
      <c r="O467" s="545">
        <f>22066+11989+3363+590</f>
        <v>38008</v>
      </c>
      <c r="P467" s="512">
        <f t="shared" si="13"/>
        <v>11.966514944222268</v>
      </c>
      <c r="Q467" s="513">
        <v>41292</v>
      </c>
    </row>
    <row r="468" spans="1:17" ht="11.25">
      <c r="A468" s="453">
        <v>467</v>
      </c>
      <c r="B468" s="497"/>
      <c r="C468" s="518" t="s">
        <v>588</v>
      </c>
      <c r="D468" s="506" t="s">
        <v>587</v>
      </c>
      <c r="E468" s="500" t="s">
        <v>67</v>
      </c>
      <c r="F468" s="525" t="s">
        <v>586</v>
      </c>
      <c r="G468" s="526">
        <v>41271</v>
      </c>
      <c r="H468" s="499" t="s">
        <v>59</v>
      </c>
      <c r="I468" s="509">
        <v>45</v>
      </c>
      <c r="J468" s="509">
        <v>4</v>
      </c>
      <c r="K468" s="509">
        <v>12</v>
      </c>
      <c r="L468" s="510">
        <v>3453</v>
      </c>
      <c r="M468" s="511">
        <v>603</v>
      </c>
      <c r="N468" s="535">
        <f>273965.5+144262+32336.3+4259.5+4801+2719.5+2601.5+2086+566+1305+2579+724+666+1091+3453</f>
        <v>477415.3</v>
      </c>
      <c r="O468" s="542">
        <f>22066+11989+3363+590+839+480+347+366+68+152+459+103+91+163+603</f>
        <v>41679</v>
      </c>
      <c r="P468" s="512">
        <f t="shared" si="13"/>
        <v>11.454576645312986</v>
      </c>
      <c r="Q468" s="513">
        <v>41390</v>
      </c>
    </row>
    <row r="469" spans="1:17" ht="11.25">
      <c r="A469" s="453">
        <v>468</v>
      </c>
      <c r="B469" s="497"/>
      <c r="C469" s="523" t="s">
        <v>588</v>
      </c>
      <c r="D469" s="524" t="s">
        <v>587</v>
      </c>
      <c r="E469" s="490" t="s">
        <v>67</v>
      </c>
      <c r="F469" s="494" t="s">
        <v>586</v>
      </c>
      <c r="G469" s="493">
        <v>41271</v>
      </c>
      <c r="H469" s="499" t="s">
        <v>59</v>
      </c>
      <c r="I469" s="509">
        <v>45</v>
      </c>
      <c r="J469" s="506">
        <v>3</v>
      </c>
      <c r="K469" s="506">
        <v>6</v>
      </c>
      <c r="L469" s="529">
        <v>2719.5</v>
      </c>
      <c r="M469" s="511">
        <v>480</v>
      </c>
      <c r="N469" s="541">
        <f>273965.5+144262+32336.3+4259.5+4801+2719.5</f>
        <v>462343.8</v>
      </c>
      <c r="O469" s="542">
        <f>22066+11989+3363+590+839+480</f>
        <v>39327</v>
      </c>
      <c r="P469" s="515">
        <f t="shared" si="13"/>
        <v>11.756396368906858</v>
      </c>
      <c r="Q469" s="516">
        <v>41306</v>
      </c>
    </row>
    <row r="470" spans="1:17" ht="11.25">
      <c r="A470" s="453">
        <v>469</v>
      </c>
      <c r="B470" s="497"/>
      <c r="C470" s="518" t="s">
        <v>588</v>
      </c>
      <c r="D470" s="492" t="s">
        <v>587</v>
      </c>
      <c r="E470" s="490" t="s">
        <v>67</v>
      </c>
      <c r="F470" s="494" t="s">
        <v>586</v>
      </c>
      <c r="G470" s="526">
        <v>41271</v>
      </c>
      <c r="H470" s="499" t="s">
        <v>59</v>
      </c>
      <c r="I470" s="509">
        <v>45</v>
      </c>
      <c r="J470" s="509">
        <v>4</v>
      </c>
      <c r="K470" s="509">
        <v>7</v>
      </c>
      <c r="L470" s="510">
        <v>2601.5</v>
      </c>
      <c r="M470" s="514">
        <v>347</v>
      </c>
      <c r="N470" s="535">
        <f>273965.5+144262+32336.3+4259.5+4801+2719.5+2601.5</f>
        <v>464945.3</v>
      </c>
      <c r="O470" s="547">
        <f>22066+11989+3363+590+839+480+347</f>
        <v>39674</v>
      </c>
      <c r="P470" s="515">
        <f t="shared" si="13"/>
        <v>11.719143519685437</v>
      </c>
      <c r="Q470" s="516">
        <v>41313</v>
      </c>
    </row>
    <row r="471" spans="1:17" ht="11.25">
      <c r="A471" s="453">
        <v>470</v>
      </c>
      <c r="B471" s="497"/>
      <c r="C471" s="518" t="s">
        <v>588</v>
      </c>
      <c r="D471" s="506" t="s">
        <v>587</v>
      </c>
      <c r="E471" s="500" t="s">
        <v>67</v>
      </c>
      <c r="F471" s="525" t="s">
        <v>586</v>
      </c>
      <c r="G471" s="526">
        <v>41271</v>
      </c>
      <c r="H471" s="499" t="s">
        <v>59</v>
      </c>
      <c r="I471" s="509">
        <v>45</v>
      </c>
      <c r="J471" s="666">
        <v>2</v>
      </c>
      <c r="K471" s="666">
        <v>11</v>
      </c>
      <c r="L471" s="510">
        <v>2579</v>
      </c>
      <c r="M471" s="511">
        <v>459</v>
      </c>
      <c r="N471" s="535">
        <f>273965.5+144262+32336.3+4259.5+4801+2719.5+2601.5+2086+566+1305+2579</f>
        <v>471481.3</v>
      </c>
      <c r="O471" s="542">
        <f>22066+11989+3363+590+839+480+347+366+68+152+459</f>
        <v>40719</v>
      </c>
      <c r="P471" s="512">
        <f t="shared" si="13"/>
        <v>11.578901741201896</v>
      </c>
      <c r="Q471" s="513">
        <v>41341</v>
      </c>
    </row>
    <row r="472" spans="1:17" ht="11.25">
      <c r="A472" s="453">
        <v>471</v>
      </c>
      <c r="B472" s="497"/>
      <c r="C472" s="518" t="s">
        <v>588</v>
      </c>
      <c r="D472" s="492" t="s">
        <v>587</v>
      </c>
      <c r="E472" s="490" t="s">
        <v>67</v>
      </c>
      <c r="F472" s="494" t="s">
        <v>586</v>
      </c>
      <c r="G472" s="526">
        <v>41271</v>
      </c>
      <c r="H472" s="499" t="s">
        <v>59</v>
      </c>
      <c r="I472" s="509">
        <v>45</v>
      </c>
      <c r="J472" s="506">
        <v>4</v>
      </c>
      <c r="K472" s="506">
        <v>8</v>
      </c>
      <c r="L472" s="510">
        <v>2086</v>
      </c>
      <c r="M472" s="511">
        <v>366</v>
      </c>
      <c r="N472" s="535">
        <f>273965.5+144262+32336.3+4259.5+4801+2719.5+2601.5+2086</f>
        <v>467031.3</v>
      </c>
      <c r="O472" s="542">
        <f>22066+11989+3363+590+839+480+347+366</f>
        <v>40040</v>
      </c>
      <c r="P472" s="512">
        <f t="shared" si="13"/>
        <v>11.664118381618382</v>
      </c>
      <c r="Q472" s="513">
        <v>41320</v>
      </c>
    </row>
    <row r="473" spans="1:17" ht="11.25">
      <c r="A473" s="453">
        <v>472</v>
      </c>
      <c r="B473" s="497"/>
      <c r="C473" s="518" t="s">
        <v>588</v>
      </c>
      <c r="D473" s="506" t="s">
        <v>587</v>
      </c>
      <c r="E473" s="500" t="s">
        <v>67</v>
      </c>
      <c r="F473" s="525" t="s">
        <v>586</v>
      </c>
      <c r="G473" s="526">
        <v>41271</v>
      </c>
      <c r="H473" s="499" t="s">
        <v>59</v>
      </c>
      <c r="I473" s="509">
        <v>45</v>
      </c>
      <c r="J473" s="509">
        <v>1</v>
      </c>
      <c r="K473" s="509">
        <v>10</v>
      </c>
      <c r="L473" s="529">
        <v>1305</v>
      </c>
      <c r="M473" s="514">
        <v>152</v>
      </c>
      <c r="N473" s="541">
        <f>273965.5+144262+32336.3+4259.5+4801+2719.5+2601.5+2086+566+1305</f>
        <v>468902.3</v>
      </c>
      <c r="O473" s="547">
        <f>22066+11989+3363+590+839+480+347+366+68+152</f>
        <v>40260</v>
      </c>
      <c r="P473" s="512">
        <f t="shared" si="13"/>
        <v>11.646852955787383</v>
      </c>
      <c r="Q473" s="513">
        <v>41334</v>
      </c>
    </row>
    <row r="474" spans="1:17" ht="11.25">
      <c r="A474" s="453">
        <v>473</v>
      </c>
      <c r="B474" s="497"/>
      <c r="C474" s="518" t="s">
        <v>588</v>
      </c>
      <c r="D474" s="506" t="s">
        <v>587</v>
      </c>
      <c r="E474" s="500" t="s">
        <v>67</v>
      </c>
      <c r="F474" s="525" t="s">
        <v>586</v>
      </c>
      <c r="G474" s="526">
        <v>41271</v>
      </c>
      <c r="H474" s="499" t="s">
        <v>59</v>
      </c>
      <c r="I474" s="509">
        <v>45</v>
      </c>
      <c r="J474" s="517">
        <v>1</v>
      </c>
      <c r="K474" s="517">
        <v>14</v>
      </c>
      <c r="L474" s="529">
        <v>1091</v>
      </c>
      <c r="M474" s="514">
        <v>163</v>
      </c>
      <c r="N474" s="541">
        <f>273965.5+144262+32336.3+4259.5+4801+2719.5+2601.5+2086+566+1305+2579+724+666+1091</f>
        <v>473962.3</v>
      </c>
      <c r="O474" s="547">
        <f>22066+11989+3363+590+839+480+347+366+68+152+459+103+91+163</f>
        <v>41076</v>
      </c>
      <c r="P474" s="515">
        <f t="shared" si="13"/>
        <v>11.538667348329925</v>
      </c>
      <c r="Q474" s="516">
        <v>41383</v>
      </c>
    </row>
    <row r="475" spans="1:17" ht="11.25">
      <c r="A475" s="453">
        <v>474</v>
      </c>
      <c r="B475" s="497"/>
      <c r="C475" s="518" t="s">
        <v>588</v>
      </c>
      <c r="D475" s="506" t="s">
        <v>587</v>
      </c>
      <c r="E475" s="500" t="s">
        <v>67</v>
      </c>
      <c r="F475" s="525" t="s">
        <v>586</v>
      </c>
      <c r="G475" s="526">
        <v>41271</v>
      </c>
      <c r="H475" s="499" t="s">
        <v>59</v>
      </c>
      <c r="I475" s="509">
        <v>45</v>
      </c>
      <c r="J475" s="517">
        <v>1</v>
      </c>
      <c r="K475" s="517">
        <v>12</v>
      </c>
      <c r="L475" s="510">
        <v>724</v>
      </c>
      <c r="M475" s="511">
        <v>103</v>
      </c>
      <c r="N475" s="535">
        <f>273965.5+144262+32336.3+4259.5+4801+2719.5+2601.5+2086+566+1305+2579+724</f>
        <v>472205.3</v>
      </c>
      <c r="O475" s="542">
        <f>22066+11989+3363+590+839+480+347+366+68+152+459+103</f>
        <v>40822</v>
      </c>
      <c r="P475" s="512">
        <f t="shared" si="13"/>
        <v>11.56742197834501</v>
      </c>
      <c r="Q475" s="513">
        <v>41362</v>
      </c>
    </row>
    <row r="476" spans="1:17" ht="11.25">
      <c r="A476" s="453">
        <v>475</v>
      </c>
      <c r="B476" s="497"/>
      <c r="C476" s="518" t="s">
        <v>588</v>
      </c>
      <c r="D476" s="506" t="s">
        <v>587</v>
      </c>
      <c r="E476" s="500" t="s">
        <v>67</v>
      </c>
      <c r="F476" s="525" t="s">
        <v>586</v>
      </c>
      <c r="G476" s="526">
        <v>41271</v>
      </c>
      <c r="H476" s="499" t="s">
        <v>59</v>
      </c>
      <c r="I476" s="509">
        <v>45</v>
      </c>
      <c r="J476" s="650">
        <v>3</v>
      </c>
      <c r="K476" s="650">
        <v>20</v>
      </c>
      <c r="L476" s="503">
        <v>717</v>
      </c>
      <c r="M476" s="504">
        <v>86</v>
      </c>
      <c r="N476" s="538">
        <f>273965.5+144262+32336.3+4259.5+4801+2719.5+2601.5+2086+566+1305+2579+724+666+1091+3453+447+705+109+84.5+717</f>
        <v>479477.8</v>
      </c>
      <c r="O476" s="544">
        <f>22066+11989+3363+590+839+480+347+366+68+152+459+103+91+163+603+62+96+42+32+86</f>
        <v>41997</v>
      </c>
      <c r="P476" s="371">
        <f t="shared" si="13"/>
        <v>11.416953591923232</v>
      </c>
      <c r="Q476" s="372">
        <v>41446</v>
      </c>
    </row>
    <row r="477" spans="1:17" ht="11.25">
      <c r="A477" s="453">
        <v>476</v>
      </c>
      <c r="B477" s="497"/>
      <c r="C477" s="518" t="s">
        <v>588</v>
      </c>
      <c r="D477" s="506" t="s">
        <v>587</v>
      </c>
      <c r="E477" s="500" t="s">
        <v>67</v>
      </c>
      <c r="F477" s="525" t="s">
        <v>586</v>
      </c>
      <c r="G477" s="526">
        <v>41271</v>
      </c>
      <c r="H477" s="499" t="s">
        <v>59</v>
      </c>
      <c r="I477" s="509">
        <v>45</v>
      </c>
      <c r="J477" s="509">
        <v>1</v>
      </c>
      <c r="K477" s="509">
        <v>17</v>
      </c>
      <c r="L477" s="510">
        <v>705</v>
      </c>
      <c r="M477" s="511">
        <v>96</v>
      </c>
      <c r="N477" s="535">
        <f>273965.5+144262+32336.3+4259.5+4801+2719.5+2601.5+2086+566+1305+2579+724+666+1091+3453+447+705</f>
        <v>478567.3</v>
      </c>
      <c r="O477" s="542">
        <f>22066+11989+3363+590+839+480+347+366+68+152+459+103+91+163+603+62+96</f>
        <v>41837</v>
      </c>
      <c r="P477" s="512">
        <f t="shared" si="13"/>
        <v>11.438853168248201</v>
      </c>
      <c r="Q477" s="513">
        <v>41404</v>
      </c>
    </row>
    <row r="478" spans="1:17" ht="11.25">
      <c r="A478" s="453">
        <v>477</v>
      </c>
      <c r="B478" s="497"/>
      <c r="C478" s="518" t="s">
        <v>588</v>
      </c>
      <c r="D478" s="506" t="s">
        <v>587</v>
      </c>
      <c r="E478" s="500" t="s">
        <v>67</v>
      </c>
      <c r="F478" s="525" t="s">
        <v>586</v>
      </c>
      <c r="G478" s="526">
        <v>41271</v>
      </c>
      <c r="H478" s="499" t="s">
        <v>59</v>
      </c>
      <c r="I478" s="509">
        <v>45</v>
      </c>
      <c r="J478" s="517">
        <v>1</v>
      </c>
      <c r="K478" s="517">
        <v>12</v>
      </c>
      <c r="L478" s="510">
        <v>666</v>
      </c>
      <c r="M478" s="511">
        <v>91</v>
      </c>
      <c r="N478" s="535">
        <f>273965.5+144262+32336.3+4259.5+4801+2719.5+2601.5+2086+566+1305+2579+724+666</f>
        <v>472871.3</v>
      </c>
      <c r="O478" s="542">
        <f>22066+11989+3363+590+839+480+347+366+68+152+459+103+91</f>
        <v>40913</v>
      </c>
      <c r="P478" s="512">
        <f t="shared" si="13"/>
        <v>11.55797179380637</v>
      </c>
      <c r="Q478" s="513">
        <v>41369</v>
      </c>
    </row>
    <row r="479" spans="1:17" ht="11.25">
      <c r="A479" s="453">
        <v>478</v>
      </c>
      <c r="B479" s="497"/>
      <c r="C479" s="518" t="s">
        <v>588</v>
      </c>
      <c r="D479" s="506" t="s">
        <v>587</v>
      </c>
      <c r="E479" s="500" t="s">
        <v>67</v>
      </c>
      <c r="F479" s="525" t="s">
        <v>586</v>
      </c>
      <c r="G479" s="526">
        <v>41271</v>
      </c>
      <c r="H479" s="499" t="s">
        <v>59</v>
      </c>
      <c r="I479" s="509">
        <v>45</v>
      </c>
      <c r="J479" s="509">
        <v>1</v>
      </c>
      <c r="K479" s="509">
        <v>9</v>
      </c>
      <c r="L479" s="510">
        <v>566</v>
      </c>
      <c r="M479" s="511">
        <v>68</v>
      </c>
      <c r="N479" s="535">
        <f>273965.5+144262+32336.3+4259.5+4801+2719.5+2601.5+2086+566</f>
        <v>467597.3</v>
      </c>
      <c r="O479" s="542">
        <f>22066+11989+3363+590+839+480+347+366+68</f>
        <v>40108</v>
      </c>
      <c r="P479" s="512">
        <f t="shared" si="13"/>
        <v>11.658454672384561</v>
      </c>
      <c r="Q479" s="513">
        <v>41327</v>
      </c>
    </row>
    <row r="480" spans="1:17" ht="11.25">
      <c r="A480" s="453">
        <v>479</v>
      </c>
      <c r="B480" s="497"/>
      <c r="C480" s="518" t="s">
        <v>588</v>
      </c>
      <c r="D480" s="506" t="s">
        <v>587</v>
      </c>
      <c r="E480" s="500" t="s">
        <v>67</v>
      </c>
      <c r="F480" s="525" t="s">
        <v>586</v>
      </c>
      <c r="G480" s="526">
        <v>41271</v>
      </c>
      <c r="H480" s="499" t="s">
        <v>59</v>
      </c>
      <c r="I480" s="506">
        <v>45</v>
      </c>
      <c r="J480" s="506">
        <v>1</v>
      </c>
      <c r="K480" s="506">
        <v>16</v>
      </c>
      <c r="L480" s="510">
        <v>447</v>
      </c>
      <c r="M480" s="514">
        <v>62</v>
      </c>
      <c r="N480" s="535">
        <f>273965.5+144262+32336.3+4259.5+4801+2719.5+2601.5+2086+566+1305+2579+724+666+1091+3453+447</f>
        <v>477862.3</v>
      </c>
      <c r="O480" s="547">
        <f>22066+11989+3363+590+839+480+347+366+68+152+459+103+91+163+603+62</f>
        <v>41741</v>
      </c>
      <c r="P480" s="515">
        <f t="shared" si="13"/>
        <v>11.448271483673127</v>
      </c>
      <c r="Q480" s="516">
        <v>41397</v>
      </c>
    </row>
    <row r="481" spans="1:17" ht="11.25">
      <c r="A481" s="453">
        <v>480</v>
      </c>
      <c r="B481" s="497"/>
      <c r="C481" s="518" t="s">
        <v>588</v>
      </c>
      <c r="D481" s="506" t="s">
        <v>587</v>
      </c>
      <c r="E481" s="500" t="s">
        <v>67</v>
      </c>
      <c r="F481" s="525" t="s">
        <v>586</v>
      </c>
      <c r="G481" s="526">
        <v>41271</v>
      </c>
      <c r="H481" s="499" t="s">
        <v>59</v>
      </c>
      <c r="I481" s="509">
        <v>45</v>
      </c>
      <c r="J481" s="509">
        <v>1</v>
      </c>
      <c r="K481" s="509">
        <v>18</v>
      </c>
      <c r="L481" s="510">
        <v>109</v>
      </c>
      <c r="M481" s="511">
        <v>42</v>
      </c>
      <c r="N481" s="535">
        <f>273965.5+144262+32336.3+4259.5+4801+2719.5+2601.5+2086+566+1305+2579+724+666+1091+3453+447+705+109</f>
        <v>478676.3</v>
      </c>
      <c r="O481" s="542">
        <f>22066+11989+3363+590+839+480+347+366+68+152+459+103+91+163+603+62+96+42</f>
        <v>41879</v>
      </c>
      <c r="P481" s="512">
        <f t="shared" si="13"/>
        <v>11.429984001528211</v>
      </c>
      <c r="Q481" s="513">
        <v>41411</v>
      </c>
    </row>
    <row r="482" spans="1:17" ht="11.25">
      <c r="A482" s="453">
        <v>481</v>
      </c>
      <c r="B482" s="497"/>
      <c r="C482" s="518" t="s">
        <v>588</v>
      </c>
      <c r="D482" s="506" t="s">
        <v>587</v>
      </c>
      <c r="E482" s="500" t="s">
        <v>67</v>
      </c>
      <c r="F482" s="525" t="s">
        <v>586</v>
      </c>
      <c r="G482" s="526">
        <v>41271</v>
      </c>
      <c r="H482" s="499" t="s">
        <v>59</v>
      </c>
      <c r="I482" s="509">
        <v>45</v>
      </c>
      <c r="J482" s="506">
        <v>1</v>
      </c>
      <c r="K482" s="506">
        <v>18</v>
      </c>
      <c r="L482" s="529">
        <v>84.5</v>
      </c>
      <c r="M482" s="514">
        <v>32</v>
      </c>
      <c r="N482" s="541">
        <f>273965.5+144262+32336.3+4259.5+4801+2719.5+2601.5+2086+566+1305+2579+724+666+1091+3453+447+705+109+84.5</f>
        <v>478760.8</v>
      </c>
      <c r="O482" s="547">
        <f>22066+11989+3363+590+839+480+347+366+68+152+459+103+91+163+603+62+96+42+32</f>
        <v>41911</v>
      </c>
      <c r="P482" s="515">
        <f t="shared" si="13"/>
        <v>11.423273126386867</v>
      </c>
      <c r="Q482" s="516">
        <v>41418</v>
      </c>
    </row>
    <row r="483" spans="1:17" ht="11.25">
      <c r="A483" s="453">
        <v>482</v>
      </c>
      <c r="B483" s="402"/>
      <c r="C483" s="501" t="s">
        <v>588</v>
      </c>
      <c r="D483" s="492" t="s">
        <v>587</v>
      </c>
      <c r="E483" s="490" t="s">
        <v>67</v>
      </c>
      <c r="F483" s="494" t="s">
        <v>586</v>
      </c>
      <c r="G483" s="493">
        <v>41271</v>
      </c>
      <c r="H483" s="491" t="s">
        <v>59</v>
      </c>
      <c r="I483" s="506">
        <v>45</v>
      </c>
      <c r="J483" s="509">
        <v>1</v>
      </c>
      <c r="K483" s="509">
        <v>21</v>
      </c>
      <c r="L483" s="528">
        <v>83</v>
      </c>
      <c r="M483" s="532">
        <v>13</v>
      </c>
      <c r="N483" s="537">
        <f>273965.5+144262+32336.3+4259.5+4801+2719.5+2601.5+2086+566+1305+2579+724+666+1091+3453+447+705+109+84.5+717+83</f>
        <v>479560.8</v>
      </c>
      <c r="O483" s="543">
        <f>22066+11989+3363+590+839+480+347+366+68+152+459+103+91+163+603+62+96+42+32+86+13</f>
        <v>42010</v>
      </c>
      <c r="P483" s="515">
        <f t="shared" si="13"/>
        <v>11.415396334206141</v>
      </c>
      <c r="Q483" s="516">
        <v>41502</v>
      </c>
    </row>
    <row r="484" spans="1:17" ht="11.25">
      <c r="A484" s="453">
        <v>483</v>
      </c>
      <c r="B484" s="497"/>
      <c r="C484" s="501" t="s">
        <v>588</v>
      </c>
      <c r="D484" s="492" t="s">
        <v>587</v>
      </c>
      <c r="E484" s="490" t="s">
        <v>67</v>
      </c>
      <c r="F484" s="494" t="s">
        <v>586</v>
      </c>
      <c r="G484" s="493">
        <v>41271</v>
      </c>
      <c r="H484" s="491" t="s">
        <v>59</v>
      </c>
      <c r="I484" s="506">
        <v>45</v>
      </c>
      <c r="J484" s="509">
        <v>1</v>
      </c>
      <c r="K484" s="509">
        <v>22</v>
      </c>
      <c r="L484" s="503">
        <v>74</v>
      </c>
      <c r="M484" s="504">
        <v>10</v>
      </c>
      <c r="N484" s="503">
        <f>273965.5+144262+32336.3+4259.5+4801+2719.5+2601.5+2086+566+1305+2579+724+666+1091+3453+447+705+109+84.5+717+83+74</f>
        <v>479634.8</v>
      </c>
      <c r="O484" s="504">
        <f>22066+11989+3363+590+839+480+347+366+68+152+459+103+91+163+603+62+96+42+32+86+13+10</f>
        <v>42020</v>
      </c>
      <c r="P484" s="512">
        <f t="shared" si="13"/>
        <v>11.414440742503569</v>
      </c>
      <c r="Q484" s="513">
        <v>41509</v>
      </c>
    </row>
    <row r="485" spans="1:17" ht="11.25">
      <c r="A485" s="453">
        <v>484</v>
      </c>
      <c r="B485" s="497"/>
      <c r="C485" s="518" t="s">
        <v>474</v>
      </c>
      <c r="D485" s="492" t="s">
        <v>391</v>
      </c>
      <c r="E485" s="490" t="s">
        <v>79</v>
      </c>
      <c r="F485" s="392" t="s">
        <v>473</v>
      </c>
      <c r="G485" s="493">
        <v>41194</v>
      </c>
      <c r="H485" s="499" t="s">
        <v>12</v>
      </c>
      <c r="I485" s="509">
        <v>51</v>
      </c>
      <c r="J485" s="575">
        <v>1</v>
      </c>
      <c r="K485" s="578">
        <v>13</v>
      </c>
      <c r="L485" s="554">
        <v>441</v>
      </c>
      <c r="M485" s="555">
        <v>46</v>
      </c>
      <c r="N485" s="550">
        <v>995978</v>
      </c>
      <c r="O485" s="552">
        <v>83172</v>
      </c>
      <c r="P485" s="512">
        <f t="shared" si="13"/>
        <v>11.97491944404367</v>
      </c>
      <c r="Q485" s="513">
        <v>41278</v>
      </c>
    </row>
    <row r="486" spans="1:17" ht="11.25">
      <c r="A486" s="453">
        <v>485</v>
      </c>
      <c r="B486" s="497"/>
      <c r="C486" s="548" t="s">
        <v>373</v>
      </c>
      <c r="D486" s="492" t="s">
        <v>432</v>
      </c>
      <c r="E486" s="491" t="s">
        <v>65</v>
      </c>
      <c r="F486" s="491" t="s">
        <v>374</v>
      </c>
      <c r="G486" s="495">
        <v>41131</v>
      </c>
      <c r="H486" s="499" t="s">
        <v>139</v>
      </c>
      <c r="I486" s="509">
        <v>7</v>
      </c>
      <c r="J486" s="647">
        <v>1</v>
      </c>
      <c r="K486" s="647">
        <v>21</v>
      </c>
      <c r="L486" s="554">
        <v>520</v>
      </c>
      <c r="M486" s="555">
        <v>104</v>
      </c>
      <c r="N486" s="646">
        <v>185773.90999999997</v>
      </c>
      <c r="O486" s="645">
        <v>20073</v>
      </c>
      <c r="P486" s="512">
        <f t="shared" si="13"/>
        <v>9.254915060030886</v>
      </c>
      <c r="Q486" s="513">
        <v>41278</v>
      </c>
    </row>
    <row r="487" spans="1:17" ht="11.25">
      <c r="A487" s="453">
        <v>486</v>
      </c>
      <c r="B487" s="497"/>
      <c r="C487" s="518" t="s">
        <v>286</v>
      </c>
      <c r="D487" s="506" t="s">
        <v>287</v>
      </c>
      <c r="E487" s="500" t="s">
        <v>72</v>
      </c>
      <c r="F487" s="525" t="s">
        <v>291</v>
      </c>
      <c r="G487" s="526">
        <v>41068</v>
      </c>
      <c r="H487" s="499" t="s">
        <v>12</v>
      </c>
      <c r="I487" s="509">
        <v>212</v>
      </c>
      <c r="J487" s="668">
        <v>1</v>
      </c>
      <c r="K487" s="668">
        <v>54</v>
      </c>
      <c r="L487" s="531">
        <v>4774</v>
      </c>
      <c r="M487" s="534">
        <v>798</v>
      </c>
      <c r="N487" s="550">
        <v>4933393</v>
      </c>
      <c r="O487" s="552">
        <v>482015</v>
      </c>
      <c r="P487" s="371">
        <f t="shared" si="13"/>
        <v>10.234936672095266</v>
      </c>
      <c r="Q487" s="372">
        <v>41446</v>
      </c>
    </row>
    <row r="488" spans="1:17" ht="11.25">
      <c r="A488" s="453">
        <v>487</v>
      </c>
      <c r="B488" s="497"/>
      <c r="C488" s="518" t="s">
        <v>286</v>
      </c>
      <c r="D488" s="506" t="s">
        <v>287</v>
      </c>
      <c r="E488" s="500" t="s">
        <v>72</v>
      </c>
      <c r="F488" s="525" t="s">
        <v>291</v>
      </c>
      <c r="G488" s="526">
        <v>41068</v>
      </c>
      <c r="H488" s="499" t="s">
        <v>12</v>
      </c>
      <c r="I488" s="509">
        <v>212</v>
      </c>
      <c r="J488" s="507">
        <v>1</v>
      </c>
      <c r="K488" s="507">
        <v>53</v>
      </c>
      <c r="L488" s="554">
        <v>3584</v>
      </c>
      <c r="M488" s="555">
        <v>588</v>
      </c>
      <c r="N488" s="438">
        <v>4928619</v>
      </c>
      <c r="O488" s="439">
        <v>481217</v>
      </c>
      <c r="P488" s="515">
        <f t="shared" si="13"/>
        <v>10.24198854155194</v>
      </c>
      <c r="Q488" s="516">
        <v>41439</v>
      </c>
    </row>
    <row r="489" spans="1:17" ht="11.25">
      <c r="A489" s="453">
        <v>488</v>
      </c>
      <c r="B489" s="497"/>
      <c r="C489" s="518" t="s">
        <v>286</v>
      </c>
      <c r="D489" s="492" t="s">
        <v>287</v>
      </c>
      <c r="E489" s="490" t="s">
        <v>72</v>
      </c>
      <c r="F489" s="494" t="s">
        <v>291</v>
      </c>
      <c r="G489" s="493">
        <v>41068</v>
      </c>
      <c r="H489" s="499" t="s">
        <v>12</v>
      </c>
      <c r="I489" s="509">
        <v>212</v>
      </c>
      <c r="J489" s="506">
        <v>2</v>
      </c>
      <c r="K489" s="506">
        <v>35</v>
      </c>
      <c r="L489" s="554">
        <v>2982</v>
      </c>
      <c r="M489" s="534">
        <v>504</v>
      </c>
      <c r="N489" s="438">
        <v>4916082</v>
      </c>
      <c r="O489" s="552">
        <v>479138</v>
      </c>
      <c r="P489" s="515">
        <f t="shared" si="13"/>
        <v>10.260263222704106</v>
      </c>
      <c r="Q489" s="516">
        <v>41306</v>
      </c>
    </row>
    <row r="490" spans="1:17" ht="11.25">
      <c r="A490" s="453">
        <v>489</v>
      </c>
      <c r="B490" s="497"/>
      <c r="C490" s="518" t="s">
        <v>286</v>
      </c>
      <c r="D490" s="506" t="s">
        <v>287</v>
      </c>
      <c r="E490" s="500" t="s">
        <v>72</v>
      </c>
      <c r="F490" s="525" t="s">
        <v>291</v>
      </c>
      <c r="G490" s="526">
        <v>41068</v>
      </c>
      <c r="H490" s="499" t="s">
        <v>12</v>
      </c>
      <c r="I490" s="509">
        <v>212</v>
      </c>
      <c r="J490" s="509">
        <v>1</v>
      </c>
      <c r="K490" s="509">
        <v>39</v>
      </c>
      <c r="L490" s="531">
        <v>2387</v>
      </c>
      <c r="M490" s="534">
        <v>399</v>
      </c>
      <c r="N490" s="550">
        <v>4919064</v>
      </c>
      <c r="O490" s="552">
        <v>479642</v>
      </c>
      <c r="P490" s="512">
        <f t="shared" si="13"/>
        <v>10.255699042202309</v>
      </c>
      <c r="Q490" s="513">
        <v>41341</v>
      </c>
    </row>
    <row r="491" spans="1:17" ht="11.25">
      <c r="A491" s="453">
        <v>490</v>
      </c>
      <c r="B491" s="497"/>
      <c r="C491" s="518" t="s">
        <v>286</v>
      </c>
      <c r="D491" s="506" t="s">
        <v>287</v>
      </c>
      <c r="E491" s="500" t="s">
        <v>72</v>
      </c>
      <c r="F491" s="525" t="s">
        <v>291</v>
      </c>
      <c r="G491" s="526">
        <v>41068</v>
      </c>
      <c r="H491" s="499" t="s">
        <v>12</v>
      </c>
      <c r="I491" s="509">
        <v>212</v>
      </c>
      <c r="J491" s="509">
        <v>1</v>
      </c>
      <c r="K491" s="509">
        <v>40</v>
      </c>
      <c r="L491" s="530">
        <v>2387</v>
      </c>
      <c r="M491" s="533">
        <v>399</v>
      </c>
      <c r="N491" s="551">
        <v>4921451</v>
      </c>
      <c r="O491" s="553">
        <v>480041</v>
      </c>
      <c r="P491" s="512">
        <f t="shared" si="13"/>
        <v>10.252147212425605</v>
      </c>
      <c r="Q491" s="513">
        <v>41348</v>
      </c>
    </row>
    <row r="492" spans="1:17" ht="11.25">
      <c r="A492" s="453">
        <v>491</v>
      </c>
      <c r="B492" s="497"/>
      <c r="C492" s="518" t="s">
        <v>286</v>
      </c>
      <c r="D492" s="506" t="s">
        <v>287</v>
      </c>
      <c r="E492" s="500" t="s">
        <v>72</v>
      </c>
      <c r="F492" s="525" t="s">
        <v>291</v>
      </c>
      <c r="G492" s="526">
        <v>41068</v>
      </c>
      <c r="H492" s="499" t="s">
        <v>12</v>
      </c>
      <c r="I492" s="509">
        <v>212</v>
      </c>
      <c r="J492" s="517">
        <v>1</v>
      </c>
      <c r="K492" s="517">
        <v>41</v>
      </c>
      <c r="L492" s="554">
        <v>2387</v>
      </c>
      <c r="M492" s="555">
        <v>399</v>
      </c>
      <c r="N492" s="438">
        <v>4923838</v>
      </c>
      <c r="O492" s="439">
        <v>480440</v>
      </c>
      <c r="P492" s="515">
        <f t="shared" si="13"/>
        <v>10.248601282158022</v>
      </c>
      <c r="Q492" s="516">
        <v>41355</v>
      </c>
    </row>
    <row r="493" spans="1:17" ht="11.25">
      <c r="A493" s="453">
        <v>492</v>
      </c>
      <c r="B493" s="497"/>
      <c r="C493" s="518" t="s">
        <v>286</v>
      </c>
      <c r="D493" s="506" t="s">
        <v>287</v>
      </c>
      <c r="E493" s="500" t="s">
        <v>72</v>
      </c>
      <c r="F493" s="525" t="s">
        <v>291</v>
      </c>
      <c r="G493" s="526">
        <v>41068</v>
      </c>
      <c r="H493" s="499" t="s">
        <v>12</v>
      </c>
      <c r="I493" s="509">
        <v>212</v>
      </c>
      <c r="J493" s="517">
        <v>1</v>
      </c>
      <c r="K493" s="517">
        <v>43</v>
      </c>
      <c r="L493" s="531">
        <v>1197</v>
      </c>
      <c r="M493" s="534">
        <v>189</v>
      </c>
      <c r="N493" s="550">
        <v>4925035</v>
      </c>
      <c r="O493" s="552">
        <v>480629</v>
      </c>
      <c r="P493" s="512">
        <f t="shared" si="13"/>
        <v>10.247061662945848</v>
      </c>
      <c r="Q493" s="513">
        <v>41369</v>
      </c>
    </row>
    <row r="494" spans="1:17" ht="11.25">
      <c r="A494" s="453">
        <v>493</v>
      </c>
      <c r="B494" s="497"/>
      <c r="C494" s="518" t="s">
        <v>286</v>
      </c>
      <c r="D494" s="506" t="s">
        <v>287</v>
      </c>
      <c r="E494" s="500" t="s">
        <v>72</v>
      </c>
      <c r="F494" s="525" t="s">
        <v>291</v>
      </c>
      <c r="G494" s="493">
        <v>41068</v>
      </c>
      <c r="H494" s="499" t="s">
        <v>12</v>
      </c>
      <c r="I494" s="509">
        <v>212</v>
      </c>
      <c r="J494" s="517">
        <v>1</v>
      </c>
      <c r="K494" s="517">
        <v>58</v>
      </c>
      <c r="L494" s="554">
        <v>1197</v>
      </c>
      <c r="M494" s="555">
        <v>189</v>
      </c>
      <c r="N494" s="438">
        <v>4935423</v>
      </c>
      <c r="O494" s="439">
        <v>482351</v>
      </c>
      <c r="P494" s="515">
        <f t="shared" si="13"/>
        <v>10.232015689819239</v>
      </c>
      <c r="Q494" s="516">
        <v>41474</v>
      </c>
    </row>
    <row r="495" spans="1:17" ht="11.25">
      <c r="A495" s="453">
        <v>494</v>
      </c>
      <c r="B495" s="497"/>
      <c r="C495" s="518" t="s">
        <v>286</v>
      </c>
      <c r="D495" s="506" t="s">
        <v>287</v>
      </c>
      <c r="E495" s="500" t="s">
        <v>72</v>
      </c>
      <c r="F495" s="525" t="s">
        <v>291</v>
      </c>
      <c r="G495" s="493">
        <v>41068</v>
      </c>
      <c r="H495" s="499" t="s">
        <v>12</v>
      </c>
      <c r="I495" s="509">
        <v>212</v>
      </c>
      <c r="J495" s="517">
        <v>1</v>
      </c>
      <c r="K495" s="517">
        <v>59</v>
      </c>
      <c r="L495" s="531">
        <v>1197</v>
      </c>
      <c r="M495" s="534">
        <v>189</v>
      </c>
      <c r="N495" s="550">
        <v>4936620</v>
      </c>
      <c r="O495" s="552">
        <v>482540</v>
      </c>
      <c r="P495" s="512">
        <f t="shared" si="13"/>
        <v>10.230488664152194</v>
      </c>
      <c r="Q495" s="513">
        <v>41481</v>
      </c>
    </row>
    <row r="496" spans="1:17" ht="11.25">
      <c r="A496" s="453">
        <v>495</v>
      </c>
      <c r="B496" s="497"/>
      <c r="C496" s="518" t="s">
        <v>286</v>
      </c>
      <c r="D496" s="506" t="s">
        <v>287</v>
      </c>
      <c r="E496" s="500" t="s">
        <v>72</v>
      </c>
      <c r="F496" s="525" t="s">
        <v>291</v>
      </c>
      <c r="G496" s="526">
        <v>41068</v>
      </c>
      <c r="H496" s="499" t="s">
        <v>12</v>
      </c>
      <c r="I496" s="509">
        <v>212</v>
      </c>
      <c r="J496" s="517">
        <v>1</v>
      </c>
      <c r="K496" s="517">
        <v>55</v>
      </c>
      <c r="L496" s="531">
        <v>833</v>
      </c>
      <c r="M496" s="534">
        <v>147</v>
      </c>
      <c r="N496" s="550">
        <v>4934226</v>
      </c>
      <c r="O496" s="552">
        <v>482162</v>
      </c>
      <c r="P496" s="512">
        <f t="shared" si="13"/>
        <v>10.233543912626876</v>
      </c>
      <c r="Q496" s="513">
        <v>41453</v>
      </c>
    </row>
    <row r="497" spans="1:17" ht="11.25">
      <c r="A497" s="453">
        <v>496</v>
      </c>
      <c r="B497" s="497"/>
      <c r="C497" s="518" t="s">
        <v>286</v>
      </c>
      <c r="D497" s="492" t="s">
        <v>287</v>
      </c>
      <c r="E497" s="490" t="s">
        <v>72</v>
      </c>
      <c r="F497" s="494" t="s">
        <v>291</v>
      </c>
      <c r="G497" s="493">
        <v>41068</v>
      </c>
      <c r="H497" s="499" t="s">
        <v>12</v>
      </c>
      <c r="I497" s="509">
        <v>212</v>
      </c>
      <c r="J497" s="509">
        <v>1</v>
      </c>
      <c r="K497" s="509">
        <v>34</v>
      </c>
      <c r="L497" s="531">
        <v>595</v>
      </c>
      <c r="M497" s="534">
        <v>105</v>
      </c>
      <c r="N497" s="550">
        <v>4913100</v>
      </c>
      <c r="O497" s="552">
        <v>478634</v>
      </c>
      <c r="P497" s="512">
        <f t="shared" si="13"/>
        <v>10.264837015339486</v>
      </c>
      <c r="Q497" s="513">
        <v>41299</v>
      </c>
    </row>
    <row r="498" spans="1:17" ht="11.25">
      <c r="A498" s="453">
        <v>497</v>
      </c>
      <c r="B498" s="497"/>
      <c r="C498" s="518" t="s">
        <v>286</v>
      </c>
      <c r="D498" s="492" t="s">
        <v>287</v>
      </c>
      <c r="E498" s="490" t="s">
        <v>72</v>
      </c>
      <c r="F498" s="494" t="s">
        <v>291</v>
      </c>
      <c r="G498" s="526">
        <v>41068</v>
      </c>
      <c r="H498" s="499" t="s">
        <v>12</v>
      </c>
      <c r="I498" s="509">
        <v>212</v>
      </c>
      <c r="J498" s="506">
        <v>1</v>
      </c>
      <c r="K498" s="506">
        <v>36</v>
      </c>
      <c r="L498" s="531">
        <v>595</v>
      </c>
      <c r="M498" s="534">
        <v>504</v>
      </c>
      <c r="N498" s="550">
        <v>4916677</v>
      </c>
      <c r="O498" s="552">
        <v>479243</v>
      </c>
      <c r="P498" s="512">
        <f t="shared" si="13"/>
        <v>10.259256786223274</v>
      </c>
      <c r="Q498" s="513">
        <v>41320</v>
      </c>
    </row>
    <row r="499" spans="1:17" ht="11.25">
      <c r="A499" s="453">
        <v>498</v>
      </c>
      <c r="B499" s="497"/>
      <c r="C499" s="518" t="s">
        <v>286</v>
      </c>
      <c r="D499" s="492" t="s">
        <v>287</v>
      </c>
      <c r="E499" s="490" t="s">
        <v>72</v>
      </c>
      <c r="F499" s="494" t="s">
        <v>291</v>
      </c>
      <c r="G499" s="493">
        <v>41068</v>
      </c>
      <c r="H499" s="499" t="s">
        <v>12</v>
      </c>
      <c r="I499" s="509">
        <v>212</v>
      </c>
      <c r="J499" s="509">
        <v>1</v>
      </c>
      <c r="K499" s="509">
        <v>32</v>
      </c>
      <c r="L499" s="530">
        <v>201</v>
      </c>
      <c r="M499" s="533">
        <v>73</v>
      </c>
      <c r="N499" s="551">
        <v>4912505</v>
      </c>
      <c r="O499" s="553">
        <v>478529</v>
      </c>
      <c r="P499" s="512">
        <f t="shared" si="13"/>
        <v>10.26584595708933</v>
      </c>
      <c r="Q499" s="513">
        <v>41285</v>
      </c>
    </row>
    <row r="500" spans="1:17" ht="11.25">
      <c r="A500" s="453">
        <v>499</v>
      </c>
      <c r="B500" s="497"/>
      <c r="C500" s="518" t="s">
        <v>286</v>
      </c>
      <c r="D500" s="492" t="s">
        <v>287</v>
      </c>
      <c r="E500" s="490" t="s">
        <v>72</v>
      </c>
      <c r="F500" s="494" t="s">
        <v>291</v>
      </c>
      <c r="G500" s="493">
        <v>41068</v>
      </c>
      <c r="H500" s="499" t="s">
        <v>12</v>
      </c>
      <c r="I500" s="509">
        <v>212</v>
      </c>
      <c r="J500" s="575">
        <v>1</v>
      </c>
      <c r="K500" s="578">
        <v>31</v>
      </c>
      <c r="L500" s="554">
        <v>143</v>
      </c>
      <c r="M500" s="555">
        <v>48</v>
      </c>
      <c r="N500" s="550">
        <v>4912304</v>
      </c>
      <c r="O500" s="552">
        <v>478456</v>
      </c>
      <c r="P500" s="512">
        <f t="shared" si="13"/>
        <v>10.266992158108582</v>
      </c>
      <c r="Q500" s="513">
        <v>41278</v>
      </c>
    </row>
    <row r="501" spans="1:17" ht="11.25">
      <c r="A501" s="453">
        <v>500</v>
      </c>
      <c r="B501" s="498"/>
      <c r="C501" s="520" t="s">
        <v>965</v>
      </c>
      <c r="D501" s="500" t="s">
        <v>966</v>
      </c>
      <c r="E501" s="506" t="s">
        <v>67</v>
      </c>
      <c r="F501" s="560" t="s">
        <v>967</v>
      </c>
      <c r="G501" s="508">
        <v>41005</v>
      </c>
      <c r="H501" s="499" t="s">
        <v>59</v>
      </c>
      <c r="I501" s="509">
        <v>128</v>
      </c>
      <c r="J501" s="507">
        <v>1</v>
      </c>
      <c r="K501" s="507">
        <v>18</v>
      </c>
      <c r="L501" s="528">
        <v>1900.8</v>
      </c>
      <c r="M501" s="532">
        <v>378</v>
      </c>
      <c r="N501" s="537">
        <f>791744.63+452201.66+236975.49+102426.65+24268.83+25042.82+8633.97+3485.48+844+2376+5489+1425.6+71+44+690+4752+1188+1900.8</f>
        <v>1663559.9300000002</v>
      </c>
      <c r="O501" s="543">
        <f>73363+42298+22349+11020+3151+5604+1952+494+125+475+1185+285+10+6+69+952+238+378</f>
        <v>163954</v>
      </c>
      <c r="P501" s="515">
        <f t="shared" si="13"/>
        <v>10.1465040804128</v>
      </c>
      <c r="Q501" s="516">
        <v>41439</v>
      </c>
    </row>
    <row r="502" spans="1:17" ht="11.25">
      <c r="A502" s="453">
        <v>501</v>
      </c>
      <c r="B502" s="498"/>
      <c r="C502" s="520" t="s">
        <v>965</v>
      </c>
      <c r="D502" s="500" t="s">
        <v>966</v>
      </c>
      <c r="E502" s="506" t="s">
        <v>67</v>
      </c>
      <c r="F502" s="560" t="s">
        <v>967</v>
      </c>
      <c r="G502" s="508">
        <v>41005</v>
      </c>
      <c r="H502" s="499" t="s">
        <v>59</v>
      </c>
      <c r="I502" s="509">
        <v>128</v>
      </c>
      <c r="J502" s="668">
        <v>1</v>
      </c>
      <c r="K502" s="668">
        <v>19</v>
      </c>
      <c r="L502" s="503">
        <v>1900.8</v>
      </c>
      <c r="M502" s="504">
        <v>378</v>
      </c>
      <c r="N502" s="538">
        <f>791744.63+452201.66+236975.49+102426.65+24268.83+25042.82+8633.97+3485.48+844+2376+5489+1425.6+71+44+690+4752+1188+1900.8+1900.8</f>
        <v>1665460.7300000002</v>
      </c>
      <c r="O502" s="544">
        <f>73363+42298+22349+11020+3151+5604+1952+494+125+475+1185+285+10+6+69+952+238+378+378</f>
        <v>164332</v>
      </c>
      <c r="P502" s="371">
        <f t="shared" si="13"/>
        <v>10.134731701677094</v>
      </c>
      <c r="Q502" s="372">
        <v>41446</v>
      </c>
    </row>
    <row r="503" spans="1:17" ht="11.25">
      <c r="A503" s="453">
        <v>502</v>
      </c>
      <c r="B503" s="497"/>
      <c r="C503" s="521" t="s">
        <v>968</v>
      </c>
      <c r="D503" s="392" t="s">
        <v>969</v>
      </c>
      <c r="E503" s="392" t="s">
        <v>81</v>
      </c>
      <c r="F503" s="491" t="s">
        <v>970</v>
      </c>
      <c r="G503" s="495">
        <v>40921</v>
      </c>
      <c r="H503" s="491" t="s">
        <v>139</v>
      </c>
      <c r="I503" s="506">
        <v>16</v>
      </c>
      <c r="J503" s="517">
        <v>1</v>
      </c>
      <c r="K503" s="517">
        <v>17</v>
      </c>
      <c r="L503" s="531">
        <v>900</v>
      </c>
      <c r="M503" s="534">
        <v>86</v>
      </c>
      <c r="N503" s="550">
        <v>167577</v>
      </c>
      <c r="O503" s="552">
        <v>16573</v>
      </c>
      <c r="P503" s="512">
        <f t="shared" si="13"/>
        <v>10.111446328365414</v>
      </c>
      <c r="Q503" s="513">
        <v>41495</v>
      </c>
    </row>
    <row r="504" spans="1:17" ht="11.25">
      <c r="A504" s="453">
        <v>503</v>
      </c>
      <c r="B504" s="497" t="s">
        <v>48</v>
      </c>
      <c r="C504" s="518" t="s">
        <v>409</v>
      </c>
      <c r="D504" s="519" t="s">
        <v>410</v>
      </c>
      <c r="E504" s="519"/>
      <c r="F504" s="519" t="s">
        <v>411</v>
      </c>
      <c r="G504" s="508">
        <v>41016</v>
      </c>
      <c r="H504" s="499" t="s">
        <v>59</v>
      </c>
      <c r="I504" s="509">
        <v>96</v>
      </c>
      <c r="J504" s="517">
        <v>5</v>
      </c>
      <c r="K504" s="517">
        <v>36</v>
      </c>
      <c r="L504" s="510">
        <v>11285</v>
      </c>
      <c r="M504" s="511">
        <v>2257</v>
      </c>
      <c r="N504" s="535">
        <f>71921.5+55489+28896+23842.5+13474.5+19552.5+14027+10409+7091.5+1088.5+1046+1608+982+3368+433+2156+3870+2362+588+3564+2376+1424+1780+1424+1512+1188+952+952+952+6292+5340+1512+3532+1780+3565+11285</f>
        <v>311635</v>
      </c>
      <c r="O504" s="542">
        <f>9131+7791+4520+4728+2735+3857+3026+2110+1463+203+226+324+239+809+81+469+941+537+95+891+594+356+445+356+378+297+238+238+238+1573+1335+378+883+445+713+2257</f>
        <v>54900</v>
      </c>
      <c r="P504" s="512">
        <f t="shared" si="13"/>
        <v>5.676411657559199</v>
      </c>
      <c r="Q504" s="513">
        <v>41369</v>
      </c>
    </row>
    <row r="505" spans="1:17" ht="11.25">
      <c r="A505" s="453">
        <v>504</v>
      </c>
      <c r="B505" s="497"/>
      <c r="C505" s="548" t="s">
        <v>575</v>
      </c>
      <c r="D505" s="492" t="s">
        <v>578</v>
      </c>
      <c r="E505" s="496" t="s">
        <v>576</v>
      </c>
      <c r="F505" s="491" t="s">
        <v>577</v>
      </c>
      <c r="G505" s="508">
        <v>41271</v>
      </c>
      <c r="H505" s="499" t="s">
        <v>139</v>
      </c>
      <c r="I505" s="509">
        <v>1</v>
      </c>
      <c r="J505" s="506">
        <v>1</v>
      </c>
      <c r="K505" s="506">
        <v>6</v>
      </c>
      <c r="L505" s="531">
        <v>2376</v>
      </c>
      <c r="M505" s="534">
        <v>475</v>
      </c>
      <c r="N505" s="550">
        <v>4061</v>
      </c>
      <c r="O505" s="552">
        <v>748</v>
      </c>
      <c r="P505" s="512">
        <f t="shared" si="13"/>
        <v>5.429144385026738</v>
      </c>
      <c r="Q505" s="513">
        <v>41320</v>
      </c>
    </row>
    <row r="506" spans="1:17" ht="11.25">
      <c r="A506" s="453">
        <v>505</v>
      </c>
      <c r="B506" s="497"/>
      <c r="C506" s="548" t="s">
        <v>575</v>
      </c>
      <c r="D506" s="506" t="s">
        <v>578</v>
      </c>
      <c r="E506" s="560" t="s">
        <v>576</v>
      </c>
      <c r="F506" s="499" t="s">
        <v>577</v>
      </c>
      <c r="G506" s="508">
        <v>41271</v>
      </c>
      <c r="H506" s="499" t="s">
        <v>139</v>
      </c>
      <c r="I506" s="509">
        <v>1</v>
      </c>
      <c r="J506" s="517">
        <v>1</v>
      </c>
      <c r="K506" s="517">
        <v>8</v>
      </c>
      <c r="L506" s="554">
        <v>1900.8</v>
      </c>
      <c r="M506" s="555">
        <v>380</v>
      </c>
      <c r="N506" s="438">
        <v>7437.8</v>
      </c>
      <c r="O506" s="439">
        <v>1262</v>
      </c>
      <c r="P506" s="515">
        <f t="shared" si="13"/>
        <v>5.89366085578447</v>
      </c>
      <c r="Q506" s="516">
        <v>41355</v>
      </c>
    </row>
    <row r="507" spans="1:17" ht="11.25">
      <c r="A507" s="453">
        <v>506</v>
      </c>
      <c r="B507" s="497"/>
      <c r="C507" s="548" t="s">
        <v>575</v>
      </c>
      <c r="D507" s="506" t="s">
        <v>578</v>
      </c>
      <c r="E507" s="560" t="s">
        <v>576</v>
      </c>
      <c r="F507" s="499" t="s">
        <v>577</v>
      </c>
      <c r="G507" s="508">
        <v>41271</v>
      </c>
      <c r="H507" s="499" t="s">
        <v>139</v>
      </c>
      <c r="I507" s="509">
        <v>1</v>
      </c>
      <c r="J507" s="509">
        <v>1</v>
      </c>
      <c r="K507" s="509">
        <v>7</v>
      </c>
      <c r="L507" s="642">
        <v>1003</v>
      </c>
      <c r="M507" s="651">
        <v>92</v>
      </c>
      <c r="N507" s="644">
        <v>5064</v>
      </c>
      <c r="O507" s="652">
        <v>840</v>
      </c>
      <c r="P507" s="512">
        <f t="shared" si="13"/>
        <v>6.0285714285714285</v>
      </c>
      <c r="Q507" s="513">
        <v>41334</v>
      </c>
    </row>
    <row r="508" spans="1:17" ht="11.25">
      <c r="A508" s="453">
        <v>507</v>
      </c>
      <c r="B508" s="497"/>
      <c r="C508" s="548" t="s">
        <v>575</v>
      </c>
      <c r="D508" s="492" t="s">
        <v>578</v>
      </c>
      <c r="E508" s="496" t="s">
        <v>576</v>
      </c>
      <c r="F508" s="491" t="s">
        <v>577</v>
      </c>
      <c r="G508" s="495">
        <v>41271</v>
      </c>
      <c r="H508" s="499" t="s">
        <v>139</v>
      </c>
      <c r="I508" s="509">
        <v>1</v>
      </c>
      <c r="J508" s="647">
        <v>1</v>
      </c>
      <c r="K508" s="647">
        <v>2</v>
      </c>
      <c r="L508" s="554">
        <v>509</v>
      </c>
      <c r="M508" s="555">
        <v>79</v>
      </c>
      <c r="N508" s="646">
        <v>1420</v>
      </c>
      <c r="O508" s="645">
        <v>220</v>
      </c>
      <c r="P508" s="512">
        <f t="shared" si="13"/>
        <v>6.454545454545454</v>
      </c>
      <c r="Q508" s="513">
        <v>41278</v>
      </c>
    </row>
    <row r="509" spans="1:17" ht="11.25">
      <c r="A509" s="453">
        <v>508</v>
      </c>
      <c r="B509" s="497"/>
      <c r="C509" s="548" t="s">
        <v>575</v>
      </c>
      <c r="D509" s="506" t="s">
        <v>578</v>
      </c>
      <c r="E509" s="560" t="s">
        <v>576</v>
      </c>
      <c r="F509" s="499" t="s">
        <v>577</v>
      </c>
      <c r="G509" s="508">
        <v>41271</v>
      </c>
      <c r="H509" s="499" t="s">
        <v>139</v>
      </c>
      <c r="I509" s="509">
        <v>1</v>
      </c>
      <c r="J509" s="656">
        <v>1</v>
      </c>
      <c r="K509" s="656">
        <v>8</v>
      </c>
      <c r="L509" s="531">
        <v>473</v>
      </c>
      <c r="M509" s="534">
        <v>42</v>
      </c>
      <c r="N509" s="646">
        <v>5537</v>
      </c>
      <c r="O509" s="645">
        <v>882</v>
      </c>
      <c r="P509" s="512">
        <f t="shared" si="13"/>
        <v>6.277777777777778</v>
      </c>
      <c r="Q509" s="513">
        <v>41341</v>
      </c>
    </row>
    <row r="510" spans="1:17" ht="11.25">
      <c r="A510" s="453">
        <v>509</v>
      </c>
      <c r="B510" s="497"/>
      <c r="C510" s="548" t="s">
        <v>575</v>
      </c>
      <c r="D510" s="492" t="s">
        <v>578</v>
      </c>
      <c r="E510" s="496" t="s">
        <v>576</v>
      </c>
      <c r="F510" s="491" t="s">
        <v>577</v>
      </c>
      <c r="G510" s="495">
        <v>41271</v>
      </c>
      <c r="H510" s="499" t="s">
        <v>139</v>
      </c>
      <c r="I510" s="509">
        <v>1</v>
      </c>
      <c r="J510" s="640">
        <v>1</v>
      </c>
      <c r="K510" s="640">
        <v>3</v>
      </c>
      <c r="L510" s="554">
        <v>180</v>
      </c>
      <c r="M510" s="555">
        <v>36</v>
      </c>
      <c r="N510" s="438">
        <v>1600</v>
      </c>
      <c r="O510" s="439">
        <v>256</v>
      </c>
      <c r="P510" s="512">
        <f t="shared" si="13"/>
        <v>6.25</v>
      </c>
      <c r="Q510" s="513">
        <v>41285</v>
      </c>
    </row>
    <row r="511" spans="1:17" ht="11.25">
      <c r="A511" s="453">
        <v>510</v>
      </c>
      <c r="B511" s="497"/>
      <c r="C511" s="548" t="s">
        <v>575</v>
      </c>
      <c r="D511" s="492" t="s">
        <v>578</v>
      </c>
      <c r="E511" s="496" t="s">
        <v>576</v>
      </c>
      <c r="F511" s="491" t="s">
        <v>577</v>
      </c>
      <c r="G511" s="495">
        <v>41271</v>
      </c>
      <c r="H511" s="499" t="s">
        <v>139</v>
      </c>
      <c r="I511" s="509">
        <v>1</v>
      </c>
      <c r="J511" s="653">
        <v>1</v>
      </c>
      <c r="K511" s="509">
        <v>5</v>
      </c>
      <c r="L511" s="531">
        <v>55</v>
      </c>
      <c r="M511" s="534">
        <v>11</v>
      </c>
      <c r="N511" s="550">
        <v>1685</v>
      </c>
      <c r="O511" s="552">
        <v>273</v>
      </c>
      <c r="P511" s="512">
        <f t="shared" si="13"/>
        <v>6.172161172161172</v>
      </c>
      <c r="Q511" s="513">
        <v>41299</v>
      </c>
    </row>
    <row r="512" spans="1:17" ht="11.25">
      <c r="A512" s="453">
        <v>511</v>
      </c>
      <c r="B512" s="497"/>
      <c r="C512" s="548" t="s">
        <v>575</v>
      </c>
      <c r="D512" s="492" t="s">
        <v>578</v>
      </c>
      <c r="E512" s="496" t="s">
        <v>576</v>
      </c>
      <c r="F512" s="491" t="s">
        <v>577</v>
      </c>
      <c r="G512" s="495">
        <v>41271</v>
      </c>
      <c r="H512" s="499" t="s">
        <v>139</v>
      </c>
      <c r="I512" s="509">
        <v>1</v>
      </c>
      <c r="J512" s="640">
        <v>1</v>
      </c>
      <c r="K512" s="640">
        <v>4</v>
      </c>
      <c r="L512" s="642">
        <v>30</v>
      </c>
      <c r="M512" s="651">
        <v>6</v>
      </c>
      <c r="N512" s="644">
        <v>1630</v>
      </c>
      <c r="O512" s="652">
        <v>262</v>
      </c>
      <c r="P512" s="512">
        <f t="shared" si="13"/>
        <v>6.221374045801527</v>
      </c>
      <c r="Q512" s="513">
        <v>41292</v>
      </c>
    </row>
    <row r="513" spans="1:17" ht="11.25">
      <c r="A513" s="453">
        <v>512</v>
      </c>
      <c r="B513" s="497"/>
      <c r="C513" s="548" t="s">
        <v>698</v>
      </c>
      <c r="D513" s="499" t="s">
        <v>380</v>
      </c>
      <c r="E513" s="499" t="s">
        <v>377</v>
      </c>
      <c r="F513" s="499" t="s">
        <v>699</v>
      </c>
      <c r="G513" s="526">
        <v>38506</v>
      </c>
      <c r="H513" s="499" t="s">
        <v>47</v>
      </c>
      <c r="I513" s="509">
        <v>70</v>
      </c>
      <c r="J513" s="423">
        <v>1</v>
      </c>
      <c r="K513" s="423">
        <v>21</v>
      </c>
      <c r="L513" s="531">
        <v>3603</v>
      </c>
      <c r="M513" s="534">
        <v>720</v>
      </c>
      <c r="N513" s="550">
        <f>(469364000+281355000+161504000)/1000+98984+47023+31000+20102+23919+3344+4353+4633+3845+3081+1095+1622+52+899+257+1188+1007+3603</f>
        <v>1162230</v>
      </c>
      <c r="O513" s="552">
        <f>64202+38899+23350+16178+9495+5966+5120+7044+895+1289+1565+1410+1356+316+771+13+200+51+594+504+720</f>
        <v>179938</v>
      </c>
      <c r="P513" s="512">
        <f t="shared" si="13"/>
        <v>6.459058120019118</v>
      </c>
      <c r="Q513" s="513">
        <v>41341</v>
      </c>
    </row>
    <row r="514" spans="1:17" ht="11.25">
      <c r="A514" s="453">
        <v>513</v>
      </c>
      <c r="B514" s="497"/>
      <c r="C514" s="548" t="s">
        <v>971</v>
      </c>
      <c r="D514" s="506" t="s">
        <v>972</v>
      </c>
      <c r="E514" s="506" t="s">
        <v>236</v>
      </c>
      <c r="F514" s="499" t="s">
        <v>971</v>
      </c>
      <c r="G514" s="493">
        <v>41054</v>
      </c>
      <c r="H514" s="499" t="s">
        <v>151</v>
      </c>
      <c r="I514" s="509">
        <v>17</v>
      </c>
      <c r="J514" s="517">
        <v>1</v>
      </c>
      <c r="K514" s="517">
        <v>13</v>
      </c>
      <c r="L514" s="424">
        <v>1308</v>
      </c>
      <c r="M514" s="425">
        <v>125</v>
      </c>
      <c r="N514" s="443">
        <v>176102.8</v>
      </c>
      <c r="O514" s="444">
        <v>14926</v>
      </c>
      <c r="P514" s="512">
        <f t="shared" si="13"/>
        <v>11.798392067533163</v>
      </c>
      <c r="Q514" s="513">
        <v>41481</v>
      </c>
    </row>
    <row r="515" spans="1:17" ht="11.25">
      <c r="A515" s="453">
        <v>514</v>
      </c>
      <c r="B515" s="497" t="s">
        <v>48</v>
      </c>
      <c r="C515" s="548" t="s">
        <v>519</v>
      </c>
      <c r="D515" s="491" t="s">
        <v>85</v>
      </c>
      <c r="E515" s="491"/>
      <c r="F515" s="491" t="s">
        <v>520</v>
      </c>
      <c r="G515" s="493">
        <v>41236</v>
      </c>
      <c r="H515" s="499" t="s">
        <v>8</v>
      </c>
      <c r="I515" s="509">
        <v>272</v>
      </c>
      <c r="J515" s="423">
        <v>67</v>
      </c>
      <c r="K515" s="423">
        <v>7</v>
      </c>
      <c r="L515" s="529">
        <v>65862</v>
      </c>
      <c r="M515" s="514">
        <v>9768</v>
      </c>
      <c r="N515" s="535">
        <v>7338741</v>
      </c>
      <c r="O515" s="542">
        <v>815260</v>
      </c>
      <c r="P515" s="512">
        <f t="shared" si="13"/>
        <v>9.001718470181292</v>
      </c>
      <c r="Q515" s="513">
        <v>41278</v>
      </c>
    </row>
    <row r="516" spans="1:17" ht="11.25">
      <c r="A516" s="453">
        <v>515</v>
      </c>
      <c r="B516" s="497" t="s">
        <v>48</v>
      </c>
      <c r="C516" s="548" t="s">
        <v>519</v>
      </c>
      <c r="D516" s="491" t="s">
        <v>85</v>
      </c>
      <c r="E516" s="491"/>
      <c r="F516" s="491" t="s">
        <v>520</v>
      </c>
      <c r="G516" s="493">
        <v>41236</v>
      </c>
      <c r="H516" s="499" t="s">
        <v>8</v>
      </c>
      <c r="I516" s="509">
        <v>272</v>
      </c>
      <c r="J516" s="423">
        <v>26</v>
      </c>
      <c r="K516" s="423">
        <v>8</v>
      </c>
      <c r="L516" s="529">
        <v>19996</v>
      </c>
      <c r="M516" s="514">
        <v>2587</v>
      </c>
      <c r="N516" s="541">
        <v>7580340</v>
      </c>
      <c r="O516" s="547">
        <v>840577</v>
      </c>
      <c r="P516" s="512">
        <f t="shared" si="13"/>
        <v>9.01801976499476</v>
      </c>
      <c r="Q516" s="513">
        <v>41285</v>
      </c>
    </row>
    <row r="517" spans="1:17" ht="11.25">
      <c r="A517" s="453">
        <v>516</v>
      </c>
      <c r="B517" s="497" t="s">
        <v>48</v>
      </c>
      <c r="C517" s="548" t="s">
        <v>519</v>
      </c>
      <c r="D517" s="491" t="s">
        <v>85</v>
      </c>
      <c r="E517" s="491"/>
      <c r="F517" s="491" t="s">
        <v>520</v>
      </c>
      <c r="G517" s="493">
        <v>41236</v>
      </c>
      <c r="H517" s="499" t="s">
        <v>8</v>
      </c>
      <c r="I517" s="509">
        <v>272</v>
      </c>
      <c r="J517" s="423">
        <v>6</v>
      </c>
      <c r="K517" s="423">
        <v>9</v>
      </c>
      <c r="L517" s="529">
        <v>2582</v>
      </c>
      <c r="M517" s="514">
        <v>417</v>
      </c>
      <c r="N517" s="541">
        <v>7582922</v>
      </c>
      <c r="O517" s="547">
        <v>840994</v>
      </c>
      <c r="P517" s="512">
        <f t="shared" si="13"/>
        <v>9.016618430095814</v>
      </c>
      <c r="Q517" s="513">
        <v>41292</v>
      </c>
    </row>
    <row r="518" spans="1:17" ht="11.25">
      <c r="A518" s="453">
        <v>517</v>
      </c>
      <c r="B518" s="497" t="s">
        <v>48</v>
      </c>
      <c r="C518" s="548" t="s">
        <v>519</v>
      </c>
      <c r="D518" s="491" t="s">
        <v>85</v>
      </c>
      <c r="E518" s="491"/>
      <c r="F518" s="491" t="s">
        <v>520</v>
      </c>
      <c r="G518" s="493">
        <v>41236</v>
      </c>
      <c r="H518" s="499" t="s">
        <v>8</v>
      </c>
      <c r="I518" s="509">
        <v>272</v>
      </c>
      <c r="J518" s="423">
        <v>3</v>
      </c>
      <c r="K518" s="423">
        <v>10</v>
      </c>
      <c r="L518" s="510">
        <v>717</v>
      </c>
      <c r="M518" s="511">
        <v>130</v>
      </c>
      <c r="N518" s="535">
        <v>7583639</v>
      </c>
      <c r="O518" s="542">
        <v>841124</v>
      </c>
      <c r="P518" s="512">
        <f t="shared" si="13"/>
        <v>9.016077296569827</v>
      </c>
      <c r="Q518" s="513">
        <v>41299</v>
      </c>
    </row>
    <row r="519" spans="1:17" ht="11.25">
      <c r="A519" s="453">
        <v>518</v>
      </c>
      <c r="B519" s="497"/>
      <c r="C519" s="518" t="s">
        <v>168</v>
      </c>
      <c r="D519" s="519" t="s">
        <v>174</v>
      </c>
      <c r="E519" s="519" t="s">
        <v>69</v>
      </c>
      <c r="F519" s="519" t="s">
        <v>171</v>
      </c>
      <c r="G519" s="508">
        <v>40781</v>
      </c>
      <c r="H519" s="499" t="s">
        <v>59</v>
      </c>
      <c r="I519" s="509">
        <v>96</v>
      </c>
      <c r="J519" s="575">
        <v>1</v>
      </c>
      <c r="K519" s="575">
        <v>30</v>
      </c>
      <c r="L519" s="648">
        <v>510</v>
      </c>
      <c r="M519" s="649">
        <v>85</v>
      </c>
      <c r="N519" s="539">
        <f>29056+844874+618474.25+386880.75+207889+130968.5+129398.5+101615+71628.5+47296.5+22263.5+13505+4171.5+5940+3840+5098.5+8056+3564+392+1059+768+1425.5+3801.5+1425.5+972+780+1782+348+358+283+510+510</f>
        <v>2648934</v>
      </c>
      <c r="O519" s="545">
        <f>4385+80857+63348+40336+22079+15879+16790+12949+9380+7537+4227+2497+926+1486+944+1206+1963+892+26+520+375+285+760+285+324+260+356+22+22+19+30+85</f>
        <v>291050</v>
      </c>
      <c r="P519" s="512">
        <f t="shared" si="13"/>
        <v>9.101302181755711</v>
      </c>
      <c r="Q519" s="513">
        <v>41348</v>
      </c>
    </row>
    <row r="520" spans="1:17" ht="11.25">
      <c r="A520" s="453">
        <v>519</v>
      </c>
      <c r="B520" s="497"/>
      <c r="C520" s="518" t="s">
        <v>168</v>
      </c>
      <c r="D520" s="392" t="s">
        <v>174</v>
      </c>
      <c r="E520" s="392" t="s">
        <v>69</v>
      </c>
      <c r="F520" s="392" t="s">
        <v>171</v>
      </c>
      <c r="G520" s="495">
        <v>40781</v>
      </c>
      <c r="H520" s="499" t="s">
        <v>59</v>
      </c>
      <c r="I520" s="509">
        <v>96</v>
      </c>
      <c r="J520" s="575">
        <v>1</v>
      </c>
      <c r="K520" s="575">
        <v>28</v>
      </c>
      <c r="L520" s="529">
        <v>358</v>
      </c>
      <c r="M520" s="514">
        <v>22</v>
      </c>
      <c r="N520" s="535">
        <f>29056+844874+618474.25+386880.75+207889+130968.5+129398.5+101615+71628.5+47296.5+22263.5+13505+4171.5+5940+3840+5098.5+8056+3564+392+1059+768+1425.5+3801.5+1425.5+972+780+1782+348+358</f>
        <v>2647631</v>
      </c>
      <c r="O520" s="542">
        <f>4385+80857+63348+40336+22079+15879+16790+12949+9380+7537+4227+2497+926+1486+944+1206+1963+892+26+520+375+285+760+285+324+260+356+22+22</f>
        <v>290916</v>
      </c>
      <c r="P520" s="512">
        <f t="shared" si="13"/>
        <v>9.101015413383932</v>
      </c>
      <c r="Q520" s="513">
        <v>41278</v>
      </c>
    </row>
    <row r="521" spans="1:17" ht="11.25">
      <c r="A521" s="453">
        <v>520</v>
      </c>
      <c r="B521" s="497"/>
      <c r="C521" s="518" t="s">
        <v>168</v>
      </c>
      <c r="D521" s="392" t="s">
        <v>174</v>
      </c>
      <c r="E521" s="392" t="s">
        <v>69</v>
      </c>
      <c r="F521" s="392" t="s">
        <v>171</v>
      </c>
      <c r="G521" s="495">
        <v>40781</v>
      </c>
      <c r="H521" s="499" t="s">
        <v>59</v>
      </c>
      <c r="I521" s="509">
        <v>96</v>
      </c>
      <c r="J521" s="575">
        <v>1</v>
      </c>
      <c r="K521" s="575">
        <v>29</v>
      </c>
      <c r="L521" s="529">
        <v>283</v>
      </c>
      <c r="M521" s="514">
        <v>19</v>
      </c>
      <c r="N521" s="539">
        <f>29056+844874+618474.25+386880.75+207889+130968.5+129398.5+101615+71628.5+47296.5+22263.5+13505+4171.5+5940+3840+5098.5+8056+3564+392+1059+768+1425.5+3801.5+1425.5+972+780+1782+348+358+283</f>
        <v>2647914</v>
      </c>
      <c r="O521" s="545">
        <f>4385+80857+63348+40336+22079+15879+16790+12949+9380+7537+4227+2497+926+1486+944+1206+1963+892+26+520+375+285+760+285+324+260+356+22+22+19</f>
        <v>290935</v>
      </c>
      <c r="P521" s="512">
        <f t="shared" si="13"/>
        <v>9.101393782116281</v>
      </c>
      <c r="Q521" s="513">
        <v>41292</v>
      </c>
    </row>
    <row r="522" spans="1:17" ht="11.25">
      <c r="A522" s="453">
        <v>521</v>
      </c>
      <c r="B522" s="497" t="s">
        <v>48</v>
      </c>
      <c r="C522" s="520" t="s">
        <v>448</v>
      </c>
      <c r="D522" s="499" t="s">
        <v>449</v>
      </c>
      <c r="E522" s="499"/>
      <c r="F522" s="499" t="s">
        <v>448</v>
      </c>
      <c r="G522" s="508">
        <v>41180</v>
      </c>
      <c r="H522" s="499" t="s">
        <v>46</v>
      </c>
      <c r="I522" s="509">
        <v>100</v>
      </c>
      <c r="J522" s="517">
        <v>1</v>
      </c>
      <c r="K522" s="517">
        <v>16</v>
      </c>
      <c r="L522" s="531">
        <v>1188</v>
      </c>
      <c r="M522" s="534">
        <v>238</v>
      </c>
      <c r="N522" s="550">
        <v>571387.63</v>
      </c>
      <c r="O522" s="552">
        <v>66940</v>
      </c>
      <c r="P522" s="512">
        <f aca="true" t="shared" si="14" ref="P522:P583">N522/O522</f>
        <v>8.535817597848819</v>
      </c>
      <c r="Q522" s="513">
        <v>41362</v>
      </c>
    </row>
    <row r="523" spans="1:17" ht="11.25">
      <c r="A523" s="453">
        <v>522</v>
      </c>
      <c r="B523" s="497" t="s">
        <v>48</v>
      </c>
      <c r="C523" s="520" t="s">
        <v>448</v>
      </c>
      <c r="D523" s="499" t="s">
        <v>449</v>
      </c>
      <c r="E523" s="499"/>
      <c r="F523" s="499" t="s">
        <v>448</v>
      </c>
      <c r="G523" s="495">
        <v>41180</v>
      </c>
      <c r="H523" s="499" t="s">
        <v>46</v>
      </c>
      <c r="I523" s="509">
        <v>100</v>
      </c>
      <c r="J523" s="517">
        <v>1</v>
      </c>
      <c r="K523" s="517">
        <v>17</v>
      </c>
      <c r="L523" s="554">
        <v>1188</v>
      </c>
      <c r="M523" s="555">
        <v>238</v>
      </c>
      <c r="N523" s="438">
        <v>572575.63</v>
      </c>
      <c r="O523" s="439">
        <v>67178</v>
      </c>
      <c r="P523" s="515">
        <f t="shared" si="14"/>
        <v>8.523261037839768</v>
      </c>
      <c r="Q523" s="516">
        <v>41474</v>
      </c>
    </row>
    <row r="524" spans="1:17" ht="11.25">
      <c r="A524" s="453">
        <v>523</v>
      </c>
      <c r="B524" s="497" t="s">
        <v>48</v>
      </c>
      <c r="C524" s="520" t="s">
        <v>448</v>
      </c>
      <c r="D524" s="491" t="s">
        <v>449</v>
      </c>
      <c r="E524" s="491"/>
      <c r="F524" s="491" t="s">
        <v>448</v>
      </c>
      <c r="G524" s="495">
        <v>41180</v>
      </c>
      <c r="H524" s="499" t="s">
        <v>46</v>
      </c>
      <c r="I524" s="509">
        <v>100</v>
      </c>
      <c r="J524" s="640">
        <v>1</v>
      </c>
      <c r="K524" s="640">
        <v>15</v>
      </c>
      <c r="L524" s="554">
        <v>79</v>
      </c>
      <c r="M524" s="555">
        <v>15</v>
      </c>
      <c r="N524" s="438">
        <v>570199.63</v>
      </c>
      <c r="O524" s="439">
        <v>66702</v>
      </c>
      <c r="P524" s="512">
        <f t="shared" si="14"/>
        <v>8.548463764204971</v>
      </c>
      <c r="Q524" s="513">
        <v>41285</v>
      </c>
    </row>
    <row r="525" spans="1:17" ht="11.25">
      <c r="A525" s="453">
        <v>524</v>
      </c>
      <c r="B525" s="497" t="s">
        <v>48</v>
      </c>
      <c r="C525" s="520" t="s">
        <v>448</v>
      </c>
      <c r="D525" s="491" t="s">
        <v>449</v>
      </c>
      <c r="E525" s="491"/>
      <c r="F525" s="491" t="s">
        <v>448</v>
      </c>
      <c r="G525" s="495">
        <v>41180</v>
      </c>
      <c r="H525" s="499" t="s">
        <v>46</v>
      </c>
      <c r="I525" s="509">
        <v>100</v>
      </c>
      <c r="J525" s="647">
        <v>1</v>
      </c>
      <c r="K525" s="647">
        <v>14</v>
      </c>
      <c r="L525" s="554">
        <v>63</v>
      </c>
      <c r="M525" s="555">
        <v>11</v>
      </c>
      <c r="N525" s="646">
        <v>570120.63</v>
      </c>
      <c r="O525" s="645">
        <v>66687</v>
      </c>
      <c r="P525" s="512">
        <f t="shared" si="14"/>
        <v>8.549201943407262</v>
      </c>
      <c r="Q525" s="513">
        <v>41278</v>
      </c>
    </row>
    <row r="526" spans="1:17" ht="11.25">
      <c r="A526" s="453">
        <v>525</v>
      </c>
      <c r="B526" s="497" t="s">
        <v>48</v>
      </c>
      <c r="C526" s="465" t="s">
        <v>88</v>
      </c>
      <c r="D526" s="491"/>
      <c r="E526" s="491"/>
      <c r="F526" s="491" t="s">
        <v>88</v>
      </c>
      <c r="G526" s="495">
        <v>40900</v>
      </c>
      <c r="H526" s="499" t="s">
        <v>46</v>
      </c>
      <c r="I526" s="382">
        <v>14</v>
      </c>
      <c r="J526" s="509">
        <v>1</v>
      </c>
      <c r="K526" s="509">
        <v>10</v>
      </c>
      <c r="L526" s="642">
        <v>1188</v>
      </c>
      <c r="M526" s="651">
        <v>238</v>
      </c>
      <c r="N526" s="644">
        <v>83702</v>
      </c>
      <c r="O526" s="652">
        <v>8588</v>
      </c>
      <c r="P526" s="512">
        <f t="shared" si="14"/>
        <v>9.746390312063344</v>
      </c>
      <c r="Q526" s="513">
        <v>41292</v>
      </c>
    </row>
    <row r="527" spans="1:17" ht="11.25">
      <c r="A527" s="453">
        <v>526</v>
      </c>
      <c r="B527" s="497" t="s">
        <v>48</v>
      </c>
      <c r="C527" s="549" t="s">
        <v>973</v>
      </c>
      <c r="D527" s="560"/>
      <c r="E527" s="560"/>
      <c r="F527" s="560" t="s">
        <v>974</v>
      </c>
      <c r="G527" s="508">
        <v>40480</v>
      </c>
      <c r="H527" s="499" t="s">
        <v>47</v>
      </c>
      <c r="I527" s="556">
        <v>135</v>
      </c>
      <c r="J527" s="575">
        <v>1</v>
      </c>
      <c r="K527" s="575">
        <v>14</v>
      </c>
      <c r="L527" s="531">
        <v>1201</v>
      </c>
      <c r="M527" s="534">
        <v>240</v>
      </c>
      <c r="N527" s="550">
        <f>151771.5+44278.5+20156+4831.5+5960.5+2697+3743.5+81+2518+2320+604+265+1922+1904+1201</f>
        <v>244253.5</v>
      </c>
      <c r="O527" s="552">
        <f>19003+7410+3277+795+995+475+746+11+433+386+91+52+384+381+240</f>
        <v>34679</v>
      </c>
      <c r="P527" s="512">
        <f t="shared" si="14"/>
        <v>7.04326826033046</v>
      </c>
      <c r="Q527" s="513">
        <v>41467</v>
      </c>
    </row>
    <row r="528" spans="1:17" ht="11.25">
      <c r="A528" s="453">
        <v>527</v>
      </c>
      <c r="B528" s="497"/>
      <c r="C528" s="518" t="s">
        <v>169</v>
      </c>
      <c r="D528" s="392" t="s">
        <v>389</v>
      </c>
      <c r="E528" s="392" t="s">
        <v>69</v>
      </c>
      <c r="F528" s="392" t="s">
        <v>172</v>
      </c>
      <c r="G528" s="495">
        <v>39864</v>
      </c>
      <c r="H528" s="499" t="s">
        <v>59</v>
      </c>
      <c r="I528" s="506">
        <v>55</v>
      </c>
      <c r="J528" s="509">
        <v>1</v>
      </c>
      <c r="K528" s="509">
        <v>44</v>
      </c>
      <c r="L528" s="529">
        <v>4750</v>
      </c>
      <c r="M528" s="514">
        <v>950</v>
      </c>
      <c r="N528" s="541">
        <f>190777.5+154065+60826.5+20820+23589+29712+19396.5+16102+12940+11034+3005+981+1140+40+98.25+284+1000+300+220+1211.5+155+156+63+1780+5228+1780+450+952+145+640+2445+2376+2376+2376+4752+2376+2852+1780+950+2375+2850+2850+2850+4750</f>
        <v>596849.25</v>
      </c>
      <c r="O528" s="547">
        <f>20518+17650+7809+3283+4115+5826+3911+3770+2981+2505+653+199+194+8+18+60+100+75+44+292+22+22+19+445+1307+445+75+238+29+128+383+594+594+594+1188+594+713+356+190+475+570+570+570+950</f>
        <v>85082</v>
      </c>
      <c r="P528" s="512">
        <f t="shared" si="14"/>
        <v>7.014988481700007</v>
      </c>
      <c r="Q528" s="513">
        <v>41299</v>
      </c>
    </row>
    <row r="529" spans="1:17" ht="11.25">
      <c r="A529" s="453">
        <v>528</v>
      </c>
      <c r="B529" s="497"/>
      <c r="C529" s="518" t="s">
        <v>169</v>
      </c>
      <c r="D529" s="519" t="s">
        <v>389</v>
      </c>
      <c r="E529" s="519" t="s">
        <v>69</v>
      </c>
      <c r="F529" s="519" t="s">
        <v>172</v>
      </c>
      <c r="G529" s="508">
        <v>39864</v>
      </c>
      <c r="H529" s="499" t="s">
        <v>59</v>
      </c>
      <c r="I529" s="509">
        <v>55</v>
      </c>
      <c r="J529" s="509">
        <v>1</v>
      </c>
      <c r="K529" s="509">
        <v>45</v>
      </c>
      <c r="L529" s="648">
        <v>1780</v>
      </c>
      <c r="M529" s="649">
        <v>356</v>
      </c>
      <c r="N529" s="539">
        <f>190777.5+154065+60826.5+20820+23589+29712+19396.5+16102+12940+11034+3005+981+1140+40+98.25+284+1000+300+220+1211.5+155+156+63+1780+5228+1780+450+952+145+640+2445+2376+2376+2376+4752+2376+2852+1780+950+2375+2850+2850+2850+4750+1780</f>
        <v>598629.25</v>
      </c>
      <c r="O529" s="545">
        <f>20518+17650+7809+3283+4115+5826+3911+3770+2981+2505+653+199+194+8+18+60+100+75+44+292+22+22+19+445+1307+445+75+238+29+128+383+594+594+594+1188+594+713+356+190+475+570+570+570+950+356</f>
        <v>85438</v>
      </c>
      <c r="P529" s="512">
        <f t="shared" si="14"/>
        <v>7.006592499824434</v>
      </c>
      <c r="Q529" s="513">
        <v>41327</v>
      </c>
    </row>
    <row r="530" spans="1:17" ht="11.25">
      <c r="A530" s="453">
        <v>529</v>
      </c>
      <c r="B530" s="497"/>
      <c r="C530" s="518" t="s">
        <v>169</v>
      </c>
      <c r="D530" s="519" t="s">
        <v>389</v>
      </c>
      <c r="E530" s="519" t="s">
        <v>69</v>
      </c>
      <c r="F530" s="519" t="s">
        <v>172</v>
      </c>
      <c r="G530" s="508">
        <v>39864</v>
      </c>
      <c r="H530" s="499" t="s">
        <v>59</v>
      </c>
      <c r="I530" s="509">
        <v>55</v>
      </c>
      <c r="J530" s="509">
        <v>1</v>
      </c>
      <c r="K530" s="509">
        <v>46</v>
      </c>
      <c r="L530" s="529">
        <v>1190</v>
      </c>
      <c r="M530" s="514">
        <v>238</v>
      </c>
      <c r="N530" s="541">
        <f>190777.5+154065+60826.5+20820+23589+29712+19396.5+16102+12940+11034+3005+981+1140+40+98.25+284+1000+300+220+1211.5+155+156+63+1780+5228+1780+450+952+145+640+2445+2376+2376+2376+4752+2376+2852+1780+950+2375+2850+2850+2850+4750+1780+1190</f>
        <v>599819.25</v>
      </c>
      <c r="O530" s="547">
        <f>20518+17650+7809+3283+4115+5826+3911+3770+2981+2505+653+199+194+8+18+60+100+75+44+292+22+22+19+445+1307+445+75+238+29+128+383+594+594+594+1188+594+713+356+190+475+570+570+570+950+356+238</f>
        <v>85676</v>
      </c>
      <c r="P530" s="512">
        <f t="shared" si="14"/>
        <v>7.0010183715392875</v>
      </c>
      <c r="Q530" s="513">
        <v>41334</v>
      </c>
    </row>
    <row r="531" spans="1:17" ht="11.25">
      <c r="A531" s="453">
        <v>530</v>
      </c>
      <c r="B531" s="497"/>
      <c r="C531" s="518" t="s">
        <v>660</v>
      </c>
      <c r="D531" s="506" t="s">
        <v>662</v>
      </c>
      <c r="E531" s="500" t="s">
        <v>81</v>
      </c>
      <c r="F531" s="525" t="s">
        <v>661</v>
      </c>
      <c r="G531" s="526">
        <v>40102</v>
      </c>
      <c r="H531" s="499" t="s">
        <v>59</v>
      </c>
      <c r="I531" s="509">
        <v>9</v>
      </c>
      <c r="J531" s="517">
        <v>1</v>
      </c>
      <c r="K531" s="517">
        <v>14</v>
      </c>
      <c r="L531" s="529">
        <v>3325</v>
      </c>
      <c r="M531" s="514">
        <v>665</v>
      </c>
      <c r="N531" s="541">
        <f>140093+133065.5+53545.5+8843.5+1143.5+938+558+224+456+4065+1500+670+1780+3325</f>
        <v>350207</v>
      </c>
      <c r="O531" s="547">
        <f>10984+10700+4415+806+91+134+57+28+33+335+150+67+356+665</f>
        <v>28821</v>
      </c>
      <c r="P531" s="515">
        <f t="shared" si="14"/>
        <v>12.151105096977899</v>
      </c>
      <c r="Q531" s="516">
        <v>41355</v>
      </c>
    </row>
    <row r="532" spans="1:17" ht="11.25">
      <c r="A532" s="453">
        <v>531</v>
      </c>
      <c r="B532" s="497"/>
      <c r="C532" s="518" t="s">
        <v>660</v>
      </c>
      <c r="D532" s="506" t="s">
        <v>662</v>
      </c>
      <c r="E532" s="500" t="s">
        <v>81</v>
      </c>
      <c r="F532" s="525" t="s">
        <v>661</v>
      </c>
      <c r="G532" s="526">
        <v>40102</v>
      </c>
      <c r="H532" s="499" t="s">
        <v>59</v>
      </c>
      <c r="I532" s="509">
        <v>9</v>
      </c>
      <c r="J532" s="517">
        <v>1</v>
      </c>
      <c r="K532" s="517">
        <v>15</v>
      </c>
      <c r="L532" s="529">
        <v>3325</v>
      </c>
      <c r="M532" s="514">
        <v>665</v>
      </c>
      <c r="N532" s="541">
        <f>140093+133065.5+53545.5+8843.5+1143.5+938+558+224+456+4065+1500+670+1780+3325+3325</f>
        <v>353532</v>
      </c>
      <c r="O532" s="547">
        <f>10984+10700+4415+806+91+134+57+28+33+335+150+67+356+665+665</f>
        <v>29486</v>
      </c>
      <c r="P532" s="515">
        <f t="shared" si="14"/>
        <v>11.98982567998372</v>
      </c>
      <c r="Q532" s="516">
        <v>41376</v>
      </c>
    </row>
    <row r="533" spans="1:17" ht="11.25">
      <c r="A533" s="453">
        <v>532</v>
      </c>
      <c r="B533" s="497"/>
      <c r="C533" s="518" t="s">
        <v>660</v>
      </c>
      <c r="D533" s="492" t="s">
        <v>662</v>
      </c>
      <c r="E533" s="490" t="s">
        <v>81</v>
      </c>
      <c r="F533" s="494" t="s">
        <v>661</v>
      </c>
      <c r="G533" s="526">
        <v>40102</v>
      </c>
      <c r="H533" s="499" t="s">
        <v>59</v>
      </c>
      <c r="I533" s="509">
        <v>9</v>
      </c>
      <c r="J533" s="575">
        <v>1</v>
      </c>
      <c r="K533" s="575">
        <v>13</v>
      </c>
      <c r="L533" s="510">
        <v>1780</v>
      </c>
      <c r="M533" s="514">
        <v>356</v>
      </c>
      <c r="N533" s="535">
        <f>140093+133065.5+53545.5+8843.5+1143.5+938+558+224+456+4065+1500+670+1780</f>
        <v>346882</v>
      </c>
      <c r="O533" s="547">
        <f>10984+10700+4415+806+91+134+57+28+33+335+150+67+356</f>
        <v>28156</v>
      </c>
      <c r="P533" s="515">
        <f t="shared" si="14"/>
        <v>12.320002841312686</v>
      </c>
      <c r="Q533" s="516">
        <v>41313</v>
      </c>
    </row>
    <row r="534" spans="1:17" ht="11.25">
      <c r="A534" s="453">
        <v>533</v>
      </c>
      <c r="B534" s="497" t="s">
        <v>48</v>
      </c>
      <c r="C534" s="518" t="s">
        <v>476</v>
      </c>
      <c r="D534" s="492" t="s">
        <v>477</v>
      </c>
      <c r="E534" s="490"/>
      <c r="F534" s="392" t="s">
        <v>476</v>
      </c>
      <c r="G534" s="493">
        <v>41201</v>
      </c>
      <c r="H534" s="499" t="s">
        <v>10</v>
      </c>
      <c r="I534" s="506">
        <v>172</v>
      </c>
      <c r="J534" s="391">
        <v>1</v>
      </c>
      <c r="K534" s="391">
        <v>10</v>
      </c>
      <c r="L534" s="529">
        <v>1689</v>
      </c>
      <c r="M534" s="514">
        <v>345</v>
      </c>
      <c r="N534" s="541">
        <v>1805606</v>
      </c>
      <c r="O534" s="547">
        <v>204455</v>
      </c>
      <c r="P534" s="512">
        <f t="shared" si="14"/>
        <v>8.831312513756084</v>
      </c>
      <c r="Q534" s="513">
        <v>41285</v>
      </c>
    </row>
    <row r="535" spans="1:17" ht="11.25">
      <c r="A535" s="453">
        <v>534</v>
      </c>
      <c r="B535" s="497" t="s">
        <v>48</v>
      </c>
      <c r="C535" s="518" t="s">
        <v>476</v>
      </c>
      <c r="D535" s="492" t="s">
        <v>477</v>
      </c>
      <c r="E535" s="490"/>
      <c r="F535" s="392" t="s">
        <v>476</v>
      </c>
      <c r="G535" s="493">
        <v>41201</v>
      </c>
      <c r="H535" s="499" t="s">
        <v>10</v>
      </c>
      <c r="I535" s="506">
        <v>172</v>
      </c>
      <c r="J535" s="382">
        <v>1</v>
      </c>
      <c r="K535" s="382">
        <v>11</v>
      </c>
      <c r="L535" s="529">
        <v>732</v>
      </c>
      <c r="M535" s="511">
        <v>227</v>
      </c>
      <c r="N535" s="541">
        <v>1806338</v>
      </c>
      <c r="O535" s="542">
        <v>204682</v>
      </c>
      <c r="P535" s="515">
        <f t="shared" si="14"/>
        <v>8.825094536891372</v>
      </c>
      <c r="Q535" s="516">
        <v>41306</v>
      </c>
    </row>
    <row r="536" spans="1:17" ht="11.25">
      <c r="A536" s="453">
        <v>535</v>
      </c>
      <c r="B536" s="497"/>
      <c r="C536" s="518" t="s">
        <v>204</v>
      </c>
      <c r="D536" s="392"/>
      <c r="E536" s="392"/>
      <c r="F536" s="392" t="s">
        <v>205</v>
      </c>
      <c r="G536" s="495">
        <v>40816</v>
      </c>
      <c r="H536" s="499" t="s">
        <v>59</v>
      </c>
      <c r="I536" s="506">
        <v>20</v>
      </c>
      <c r="J536" s="509">
        <v>2</v>
      </c>
      <c r="K536" s="509">
        <v>16</v>
      </c>
      <c r="L536" s="529">
        <v>7128</v>
      </c>
      <c r="M536" s="514">
        <v>1425</v>
      </c>
      <c r="N536" s="541">
        <f>75142.5+52388.5+8679+971+3899.5+2877+58+4904+58+2376+150+440+1782+594+5940+7128</f>
        <v>167387.5</v>
      </c>
      <c r="O536" s="547">
        <f>6131+4590+666+86+328+725+26+1257+26+594+15+63+356+119+1188+1425</f>
        <v>17595</v>
      </c>
      <c r="P536" s="512">
        <f t="shared" si="14"/>
        <v>9.513356067064507</v>
      </c>
      <c r="Q536" s="513">
        <v>41299</v>
      </c>
    </row>
    <row r="537" spans="1:17" ht="11.25">
      <c r="A537" s="453">
        <v>536</v>
      </c>
      <c r="B537" s="497"/>
      <c r="C537" s="518" t="s">
        <v>204</v>
      </c>
      <c r="D537" s="519"/>
      <c r="E537" s="519"/>
      <c r="F537" s="519" t="s">
        <v>205</v>
      </c>
      <c r="G537" s="508">
        <v>40816</v>
      </c>
      <c r="H537" s="499" t="s">
        <v>59</v>
      </c>
      <c r="I537" s="509">
        <v>20</v>
      </c>
      <c r="J537" s="517">
        <v>1</v>
      </c>
      <c r="K537" s="517">
        <v>19</v>
      </c>
      <c r="L537" s="529">
        <v>3326.41</v>
      </c>
      <c r="M537" s="514">
        <v>666</v>
      </c>
      <c r="N537" s="541">
        <f>75142.5+52388.5+8679+971+3899.5+2877+58+4904+58+2376+150+440+1782+594+5940+7128+3326.4+1782+3326.41</f>
        <v>175822.31</v>
      </c>
      <c r="O537" s="547">
        <f>6131+4590+666+86+328+725+26+1257+26+594+15+63+356+119+1188+1425+666+356+666</f>
        <v>19283</v>
      </c>
      <c r="P537" s="515">
        <f t="shared" si="14"/>
        <v>9.117995643831353</v>
      </c>
      <c r="Q537" s="516">
        <v>41376</v>
      </c>
    </row>
    <row r="538" spans="1:17" ht="11.25">
      <c r="A538" s="453">
        <v>537</v>
      </c>
      <c r="B538" s="497"/>
      <c r="C538" s="518" t="s">
        <v>204</v>
      </c>
      <c r="D538" s="519"/>
      <c r="E538" s="519"/>
      <c r="F538" s="519" t="s">
        <v>205</v>
      </c>
      <c r="G538" s="508">
        <v>40816</v>
      </c>
      <c r="H538" s="499" t="s">
        <v>59</v>
      </c>
      <c r="I538" s="509">
        <v>20</v>
      </c>
      <c r="J538" s="517">
        <v>1</v>
      </c>
      <c r="K538" s="517">
        <v>17</v>
      </c>
      <c r="L538" s="529">
        <v>3326.4</v>
      </c>
      <c r="M538" s="514">
        <v>666</v>
      </c>
      <c r="N538" s="541">
        <f>75142.5+52388.5+8679+971+3899.5+2877+58+4904+58+2376+150+440+1782+594+5940+7128+3326.4</f>
        <v>170713.9</v>
      </c>
      <c r="O538" s="547">
        <f>6131+4590+666+86+328+725+26+1257+26+594+15+63+356+119+1188+1425+666</f>
        <v>18261</v>
      </c>
      <c r="P538" s="515">
        <f t="shared" si="14"/>
        <v>9.348551557965061</v>
      </c>
      <c r="Q538" s="516">
        <v>41355</v>
      </c>
    </row>
    <row r="539" spans="1:17" ht="11.25">
      <c r="A539" s="453">
        <v>538</v>
      </c>
      <c r="B539" s="497"/>
      <c r="C539" s="518" t="s">
        <v>204</v>
      </c>
      <c r="D539" s="519"/>
      <c r="E539" s="519"/>
      <c r="F539" s="519" t="s">
        <v>205</v>
      </c>
      <c r="G539" s="508">
        <v>40816</v>
      </c>
      <c r="H539" s="499" t="s">
        <v>59</v>
      </c>
      <c r="I539" s="509">
        <v>20</v>
      </c>
      <c r="J539" s="517">
        <v>1</v>
      </c>
      <c r="K539" s="517">
        <v>18</v>
      </c>
      <c r="L539" s="510">
        <v>1782</v>
      </c>
      <c r="M539" s="511">
        <v>356</v>
      </c>
      <c r="N539" s="535">
        <f>75142.5+52388.5+8679+971+3899.5+2877+58+4904+58+2376+150+440+1782+594+5940+7128+3326.4+1782</f>
        <v>172495.9</v>
      </c>
      <c r="O539" s="542">
        <f>6131+4590+666+86+328+725+26+1257+26+594+15+63+356+119+1188+1425+666+356</f>
        <v>18617</v>
      </c>
      <c r="P539" s="512">
        <f t="shared" si="14"/>
        <v>9.265504646291024</v>
      </c>
      <c r="Q539" s="513">
        <v>41362</v>
      </c>
    </row>
    <row r="540" spans="1:17" ht="11.25">
      <c r="A540" s="453">
        <v>539</v>
      </c>
      <c r="B540" s="497"/>
      <c r="C540" s="520" t="s">
        <v>209</v>
      </c>
      <c r="D540" s="500" t="s">
        <v>339</v>
      </c>
      <c r="E540" s="506" t="s">
        <v>340</v>
      </c>
      <c r="F540" s="560" t="s">
        <v>208</v>
      </c>
      <c r="G540" s="508">
        <v>40977</v>
      </c>
      <c r="H540" s="499" t="s">
        <v>59</v>
      </c>
      <c r="I540" s="509">
        <v>167</v>
      </c>
      <c r="J540" s="517">
        <v>1</v>
      </c>
      <c r="K540" s="517">
        <v>21</v>
      </c>
      <c r="L540" s="529">
        <v>1663.2</v>
      </c>
      <c r="M540" s="514">
        <v>333</v>
      </c>
      <c r="N540" s="541">
        <f>1278312.83+795298.21+326656.42+218120.4+102315.55+39542.45+35229+10764.9+10579.5+1166+1899+1364.5+4349+417+2376+406+1610+950.4+594+1664+1663.2</f>
        <v>2835278.36</v>
      </c>
      <c r="O540" s="547">
        <f>140325+90866+39187+26956+13904+5855+6505+2100+2065+364+704+347+787+57+476+67+161+190+119+333+333</f>
        <v>331701</v>
      </c>
      <c r="P540" s="515">
        <f t="shared" si="14"/>
        <v>8.54769313327364</v>
      </c>
      <c r="Q540" s="516">
        <v>41355</v>
      </c>
    </row>
    <row r="541" spans="1:17" ht="11.25">
      <c r="A541" s="453">
        <v>540</v>
      </c>
      <c r="B541" s="497"/>
      <c r="C541" s="520" t="s">
        <v>209</v>
      </c>
      <c r="D541" s="500" t="s">
        <v>339</v>
      </c>
      <c r="E541" s="506" t="s">
        <v>340</v>
      </c>
      <c r="F541" s="560" t="s">
        <v>208</v>
      </c>
      <c r="G541" s="508">
        <v>40977</v>
      </c>
      <c r="H541" s="499" t="s">
        <v>59</v>
      </c>
      <c r="I541" s="509">
        <v>167</v>
      </c>
      <c r="J541" s="517">
        <v>1</v>
      </c>
      <c r="K541" s="517">
        <v>22</v>
      </c>
      <c r="L541" s="510">
        <v>1663.2</v>
      </c>
      <c r="M541" s="511">
        <v>333</v>
      </c>
      <c r="N541" s="535">
        <f>1278312.83+795298.21+326656.42+218120.4+102315.55+39542.45+35229+10764.9+10579.5+1166+1899+1364.5+4349+417+2376+406+1610+950.4+594+1664+1663.2+1663.2</f>
        <v>2836941.56</v>
      </c>
      <c r="O541" s="542">
        <f>140325+90866+39187+26956+13904+5855+6505+2100+2065+364+704+347+787+57+476+67+161+190+119+333+333+333</f>
        <v>332034</v>
      </c>
      <c r="P541" s="512">
        <f t="shared" si="14"/>
        <v>8.544129697561093</v>
      </c>
      <c r="Q541" s="513">
        <v>41362</v>
      </c>
    </row>
    <row r="542" spans="1:17" ht="11.25">
      <c r="A542" s="453">
        <v>541</v>
      </c>
      <c r="B542" s="497"/>
      <c r="C542" s="520" t="s">
        <v>354</v>
      </c>
      <c r="D542" s="490" t="s">
        <v>339</v>
      </c>
      <c r="E542" s="492" t="s">
        <v>67</v>
      </c>
      <c r="F542" s="496" t="s">
        <v>361</v>
      </c>
      <c r="G542" s="508">
        <v>41117</v>
      </c>
      <c r="H542" s="499" t="s">
        <v>59</v>
      </c>
      <c r="I542" s="556">
        <v>204</v>
      </c>
      <c r="J542" s="506">
        <v>1</v>
      </c>
      <c r="K542" s="506">
        <v>25</v>
      </c>
      <c r="L542" s="510">
        <v>2412</v>
      </c>
      <c r="M542" s="511">
        <v>397</v>
      </c>
      <c r="N542" s="535">
        <f>674994.35+369964.61+173183.11+69607+36107.36+11079.36+4111.5+3251+2331+736+2494+5316+8932+2887.4+1387+2177+2906+506+460.5+1699+851+1438+2190+180+2412</f>
        <v>1381201.19</v>
      </c>
      <c r="O542" s="542">
        <f>74718+42125+20203+8560+4755+1596+602+505+444+147+495+1162+1784+552+263+414+567+61+93+631+175+294+492+60+397</f>
        <v>161095</v>
      </c>
      <c r="P542" s="512">
        <f t="shared" si="14"/>
        <v>8.573830286476923</v>
      </c>
      <c r="Q542" s="513">
        <v>41320</v>
      </c>
    </row>
    <row r="543" spans="1:17" ht="11.25">
      <c r="A543" s="453">
        <v>542</v>
      </c>
      <c r="B543" s="497"/>
      <c r="C543" s="520" t="s">
        <v>354</v>
      </c>
      <c r="D543" s="490" t="s">
        <v>339</v>
      </c>
      <c r="E543" s="492" t="s">
        <v>67</v>
      </c>
      <c r="F543" s="496" t="s">
        <v>361</v>
      </c>
      <c r="G543" s="495">
        <v>41117</v>
      </c>
      <c r="H543" s="499" t="s">
        <v>59</v>
      </c>
      <c r="I543" s="556">
        <v>204</v>
      </c>
      <c r="J543" s="506">
        <v>2</v>
      </c>
      <c r="K543" s="506">
        <v>15</v>
      </c>
      <c r="L543" s="529">
        <v>2190</v>
      </c>
      <c r="M543" s="511">
        <v>492</v>
      </c>
      <c r="N543" s="541">
        <f>674994.35+369964.61+173183.11+69607+36107.36+11079.36+4111.5+3251+2331+736+2494+5316+8932+2887.4+1387+2177+2906+506+460.5+1699+851+1438+2190</f>
        <v>1378609.19</v>
      </c>
      <c r="O543" s="542">
        <f>74718+42125+20203+8560+4755+1596+602+505+444+147+495+1162+1784+552+263+414+567+61+93+631+175+294+492</f>
        <v>160638</v>
      </c>
      <c r="P543" s="515">
        <f t="shared" si="14"/>
        <v>8.582086368107172</v>
      </c>
      <c r="Q543" s="516">
        <v>41306</v>
      </c>
    </row>
    <row r="544" spans="1:17" ht="11.25">
      <c r="A544" s="453">
        <v>543</v>
      </c>
      <c r="B544" s="497"/>
      <c r="C544" s="520" t="s">
        <v>354</v>
      </c>
      <c r="D544" s="490" t="s">
        <v>339</v>
      </c>
      <c r="E544" s="492" t="s">
        <v>67</v>
      </c>
      <c r="F544" s="496" t="s">
        <v>361</v>
      </c>
      <c r="G544" s="495">
        <v>41117</v>
      </c>
      <c r="H544" s="499" t="s">
        <v>59</v>
      </c>
      <c r="I544" s="556">
        <v>204</v>
      </c>
      <c r="J544" s="575">
        <v>2</v>
      </c>
      <c r="K544" s="575">
        <v>20</v>
      </c>
      <c r="L544" s="529">
        <v>1699</v>
      </c>
      <c r="M544" s="514">
        <v>631</v>
      </c>
      <c r="N544" s="541">
        <f>674994.35+369964.61+173183.11+69607+36107.36+11079.36+4111.5+3251+2331+736+2494+5316+8932+2887.4+1387+2177+2906+506+460.5+1699</f>
        <v>1374130.19</v>
      </c>
      <c r="O544" s="547">
        <f>74718+42125+20203+8560+4755+1596+602+505+444+147+495+1162+1784+552+263+414+567+61+93+631</f>
        <v>159677</v>
      </c>
      <c r="P544" s="512">
        <f t="shared" si="14"/>
        <v>8.605686416954226</v>
      </c>
      <c r="Q544" s="513">
        <v>41285</v>
      </c>
    </row>
    <row r="545" spans="1:17" ht="11.25">
      <c r="A545" s="453">
        <v>544</v>
      </c>
      <c r="B545" s="497"/>
      <c r="C545" s="520" t="s">
        <v>354</v>
      </c>
      <c r="D545" s="500" t="s">
        <v>339</v>
      </c>
      <c r="E545" s="506" t="s">
        <v>67</v>
      </c>
      <c r="F545" s="560" t="s">
        <v>361</v>
      </c>
      <c r="G545" s="508">
        <v>41117</v>
      </c>
      <c r="H545" s="499" t="s">
        <v>59</v>
      </c>
      <c r="I545" s="556">
        <v>204</v>
      </c>
      <c r="J545" s="509">
        <v>1</v>
      </c>
      <c r="K545" s="509">
        <v>20</v>
      </c>
      <c r="L545" s="648">
        <v>1664</v>
      </c>
      <c r="M545" s="649">
        <v>333</v>
      </c>
      <c r="N545" s="539">
        <f>1278312.83+795298.21+326656.42+218120.4+102315.55+39542.45+35229+10764.9+10579.5+1166+1899+1364.5+4349+417+2376+406+1610+950.4+594+1664</f>
        <v>2833615.1599999997</v>
      </c>
      <c r="O545" s="545">
        <f>140325+90866+39187+26956+13904+5855+6505+2100+2065+364+704+347+787+57+476+67+161+190+119+333</f>
        <v>331368</v>
      </c>
      <c r="P545" s="512">
        <f t="shared" si="14"/>
        <v>8.551263730957725</v>
      </c>
      <c r="Q545" s="513">
        <v>41348</v>
      </c>
    </row>
    <row r="546" spans="1:17" ht="11.25">
      <c r="A546" s="453">
        <v>545</v>
      </c>
      <c r="B546" s="497"/>
      <c r="C546" s="520" t="s">
        <v>354</v>
      </c>
      <c r="D546" s="500" t="s">
        <v>339</v>
      </c>
      <c r="E546" s="506" t="s">
        <v>67</v>
      </c>
      <c r="F546" s="560" t="s">
        <v>361</v>
      </c>
      <c r="G546" s="508">
        <v>41117</v>
      </c>
      <c r="H546" s="499" t="s">
        <v>59</v>
      </c>
      <c r="I546" s="556">
        <v>204</v>
      </c>
      <c r="J546" s="517">
        <v>1</v>
      </c>
      <c r="K546" s="517">
        <v>29</v>
      </c>
      <c r="L546" s="503">
        <v>1663.2</v>
      </c>
      <c r="M546" s="504">
        <v>333</v>
      </c>
      <c r="N546" s="538">
        <f>674994.35+369964.61+173183.11+69607+36107.36+11079.36+4111.5+3251+2331+736+2494+5316+8932+2887.4+1387+2177+2906+506+460.5+1699+851+1438+2190+180+2412+40+1425.6+950.4+1663.2</f>
        <v>1385280.39</v>
      </c>
      <c r="O546" s="544">
        <f>74718+42125+20203+8560+4755+1596+602+505+444+147+495+1162+1784+552+263+414+567+61+93+631+175+294+492+60+397+8+285+190+333</f>
        <v>161911</v>
      </c>
      <c r="P546" s="512">
        <f t="shared" si="14"/>
        <v>8.55581393481604</v>
      </c>
      <c r="Q546" s="513">
        <v>41432</v>
      </c>
    </row>
    <row r="547" spans="1:17" ht="11.25">
      <c r="A547" s="453">
        <v>546</v>
      </c>
      <c r="B547" s="497"/>
      <c r="C547" s="520" t="s">
        <v>354</v>
      </c>
      <c r="D547" s="500" t="s">
        <v>339</v>
      </c>
      <c r="E547" s="506" t="s">
        <v>67</v>
      </c>
      <c r="F547" s="560" t="s">
        <v>361</v>
      </c>
      <c r="G547" s="508">
        <v>41117</v>
      </c>
      <c r="H547" s="499" t="s">
        <v>59</v>
      </c>
      <c r="I547" s="556">
        <v>204</v>
      </c>
      <c r="J547" s="507">
        <v>1</v>
      </c>
      <c r="K547" s="507">
        <v>30</v>
      </c>
      <c r="L547" s="528">
        <v>1663.2</v>
      </c>
      <c r="M547" s="532">
        <v>333</v>
      </c>
      <c r="N547" s="537">
        <f>674994.35+369964.61+173183.11+69607+36107.36+11079.36+4111.5+3251+2331+736+2494+5316+8932+2887.4+1387+2177+2906+506+460.5+1699+851+1438+2190+180+2412+40+1425.6+950.4+1663.2+1663.2</f>
        <v>1386943.5899999999</v>
      </c>
      <c r="O547" s="543">
        <f>74718+42125+20203+8560+4755+1596+602+505+444+147+495+1162+1784+552+263+414+567+61+93+631+175+294+492+60+397+8+285+190+333+333</f>
        <v>162244</v>
      </c>
      <c r="P547" s="515">
        <f t="shared" si="14"/>
        <v>8.54850465964843</v>
      </c>
      <c r="Q547" s="516">
        <v>41439</v>
      </c>
    </row>
    <row r="548" spans="1:17" ht="11.25">
      <c r="A548" s="453">
        <v>547</v>
      </c>
      <c r="B548" s="497"/>
      <c r="C548" s="520" t="s">
        <v>354</v>
      </c>
      <c r="D548" s="500" t="s">
        <v>339</v>
      </c>
      <c r="E548" s="506" t="s">
        <v>67</v>
      </c>
      <c r="F548" s="560" t="s">
        <v>361</v>
      </c>
      <c r="G548" s="508">
        <v>41117</v>
      </c>
      <c r="H548" s="499" t="s">
        <v>59</v>
      </c>
      <c r="I548" s="556">
        <v>204</v>
      </c>
      <c r="J548" s="668">
        <v>1</v>
      </c>
      <c r="K548" s="668">
        <v>31</v>
      </c>
      <c r="L548" s="503">
        <v>1663.2</v>
      </c>
      <c r="M548" s="504">
        <v>333</v>
      </c>
      <c r="N548" s="538">
        <f>674994.35+369964.61+173183.11+69607+36107.36+11079.36+4111.5+3251+2331+736+2494+5316+8932+2887.4+1387+2177+2906+506+460.5+1699+851+1438+2190+180+2412+40+1425.6+950.4+1663.2+1663.2+1663.2</f>
        <v>1388606.7899999998</v>
      </c>
      <c r="O548" s="544">
        <f>74718+42125+20203+8560+4755+1596+602+505+444+147+495+1162+1784+552+263+414+567+61+93+631+175+294+492+60+397+8+285+190+333+333+333</f>
        <v>162577</v>
      </c>
      <c r="P548" s="371">
        <f t="shared" si="14"/>
        <v>8.541225327075784</v>
      </c>
      <c r="Q548" s="372">
        <v>41446</v>
      </c>
    </row>
    <row r="549" spans="1:17" ht="11.25">
      <c r="A549" s="453">
        <v>548</v>
      </c>
      <c r="B549" s="497"/>
      <c r="C549" s="520" t="s">
        <v>354</v>
      </c>
      <c r="D549" s="490" t="s">
        <v>339</v>
      </c>
      <c r="E549" s="492" t="s">
        <v>67</v>
      </c>
      <c r="F549" s="496" t="s">
        <v>361</v>
      </c>
      <c r="G549" s="495">
        <v>41117</v>
      </c>
      <c r="H549" s="499" t="s">
        <v>59</v>
      </c>
      <c r="I549" s="556">
        <v>204</v>
      </c>
      <c r="J549" s="575">
        <v>2</v>
      </c>
      <c r="K549" s="575">
        <v>22</v>
      </c>
      <c r="L549" s="529">
        <v>1438</v>
      </c>
      <c r="M549" s="514">
        <v>294</v>
      </c>
      <c r="N549" s="541">
        <f>674994.35+369964.61+173183.11+69607+36107.36+11079.36+4111.5+3251+2331+736+2494+5316+8932+2887.4+1387+2177+2906+506+460.5+1699+851+1438</f>
        <v>1376419.19</v>
      </c>
      <c r="O549" s="547">
        <f>74718+42125+20203+8560+4755+1596+602+505+444+147+495+1162+1784+552+263+414+567+61+93+631+175+294</f>
        <v>160146</v>
      </c>
      <c r="P549" s="512">
        <f t="shared" si="14"/>
        <v>8.594777203301987</v>
      </c>
      <c r="Q549" s="513">
        <v>41299</v>
      </c>
    </row>
    <row r="550" spans="1:17" ht="11.25">
      <c r="A550" s="453">
        <v>549</v>
      </c>
      <c r="B550" s="497"/>
      <c r="C550" s="520" t="s">
        <v>354</v>
      </c>
      <c r="D550" s="500" t="s">
        <v>339</v>
      </c>
      <c r="E550" s="506" t="s">
        <v>67</v>
      </c>
      <c r="F550" s="560" t="s">
        <v>361</v>
      </c>
      <c r="G550" s="508">
        <v>41117</v>
      </c>
      <c r="H550" s="499" t="s">
        <v>59</v>
      </c>
      <c r="I550" s="556">
        <v>204</v>
      </c>
      <c r="J550" s="517">
        <v>1</v>
      </c>
      <c r="K550" s="517">
        <v>27</v>
      </c>
      <c r="L550" s="529">
        <v>1425.6</v>
      </c>
      <c r="M550" s="514">
        <v>285</v>
      </c>
      <c r="N550" s="541">
        <f>674994.35+369964.61+173183.11+69607+36107.36+11079.36+4111.5+3251+2331+736+2494+5316+8932+2887.4+1387+2177+2906+506+460.5+1699+851+1438+2190+180+2412+40+1425.6</f>
        <v>1382666.79</v>
      </c>
      <c r="O550" s="547">
        <f>74718+42125+20203+8560+4755+1596+602+505+444+147+495+1162+1784+552+263+414+567+61+93+631+175+294+492+60+397+8+285</f>
        <v>161388</v>
      </c>
      <c r="P550" s="515">
        <f t="shared" si="14"/>
        <v>8.567345713435943</v>
      </c>
      <c r="Q550" s="516">
        <v>41376</v>
      </c>
    </row>
    <row r="551" spans="1:17" ht="11.25">
      <c r="A551" s="453">
        <v>550</v>
      </c>
      <c r="B551" s="497"/>
      <c r="C551" s="520" t="s">
        <v>354</v>
      </c>
      <c r="D551" s="500" t="s">
        <v>339</v>
      </c>
      <c r="E551" s="506" t="s">
        <v>67</v>
      </c>
      <c r="F551" s="560" t="s">
        <v>361</v>
      </c>
      <c r="G551" s="508">
        <v>41117</v>
      </c>
      <c r="H551" s="499" t="s">
        <v>59</v>
      </c>
      <c r="I551" s="527">
        <v>204</v>
      </c>
      <c r="J551" s="507">
        <v>1</v>
      </c>
      <c r="K551" s="507">
        <v>28</v>
      </c>
      <c r="L551" s="510">
        <v>950.4</v>
      </c>
      <c r="M551" s="514">
        <v>190</v>
      </c>
      <c r="N551" s="535">
        <f>674994.35+369964.61+173183.11+69607+36107.36+11079.36+4111.5+3251+2331+736+2494+5316+8932+2887.4+1387+2177+2906+506+460.5+1699+851+1438+2190+180+2412+40+1425.6+950.4</f>
        <v>1383617.19</v>
      </c>
      <c r="O551" s="547">
        <f>74718+42125+20203+8560+4755+1596+602+505+444+147+495+1162+1784+552+263+414+567+61+93+631+175+294+492+60+397+8+285+190</f>
        <v>161578</v>
      </c>
      <c r="P551" s="515">
        <f t="shared" si="14"/>
        <v>8.563153337706865</v>
      </c>
      <c r="Q551" s="516">
        <v>41397</v>
      </c>
    </row>
    <row r="552" spans="1:17" ht="11.25">
      <c r="A552" s="453">
        <v>551</v>
      </c>
      <c r="B552" s="497"/>
      <c r="C552" s="520" t="s">
        <v>354</v>
      </c>
      <c r="D552" s="500" t="s">
        <v>339</v>
      </c>
      <c r="E552" s="506" t="s">
        <v>67</v>
      </c>
      <c r="F552" s="560" t="s">
        <v>361</v>
      </c>
      <c r="G552" s="508">
        <v>41117</v>
      </c>
      <c r="H552" s="499" t="s">
        <v>59</v>
      </c>
      <c r="I552" s="556">
        <v>204</v>
      </c>
      <c r="J552" s="517">
        <v>1</v>
      </c>
      <c r="K552" s="517">
        <v>32</v>
      </c>
      <c r="L552" s="503">
        <v>950.4</v>
      </c>
      <c r="M552" s="504">
        <v>190</v>
      </c>
      <c r="N552" s="538">
        <f>674994.35+369964.61+173183.11+69607+36107.36+11079.36+4111.5+3251+2331+736+2494+5316+8932+2887.4+1387+2177+2906+506+460.5+1699+851+1438+2190+180+2412+40+1425.6+950.4+1663.2+1663.2+1663.2+950.4</f>
        <v>1389557.1899999997</v>
      </c>
      <c r="O552" s="544">
        <f>74718+42125+20203+8560+4755+1596+602+505+444+147+495+1162+1784+552+263+414+567+61+93+631+175+294+492+60+397+8+285+190+333+333+333+190</f>
        <v>162767</v>
      </c>
      <c r="P552" s="512">
        <f t="shared" si="14"/>
        <v>8.537094066979177</v>
      </c>
      <c r="Q552" s="513">
        <v>41467</v>
      </c>
    </row>
    <row r="553" spans="1:17" ht="11.25">
      <c r="A553" s="453">
        <v>552</v>
      </c>
      <c r="B553" s="497"/>
      <c r="C553" s="520" t="s">
        <v>354</v>
      </c>
      <c r="D553" s="490" t="s">
        <v>339</v>
      </c>
      <c r="E553" s="492" t="s">
        <v>67</v>
      </c>
      <c r="F553" s="496" t="s">
        <v>361</v>
      </c>
      <c r="G553" s="495">
        <v>41117</v>
      </c>
      <c r="H553" s="499" t="s">
        <v>59</v>
      </c>
      <c r="I553" s="556">
        <v>204</v>
      </c>
      <c r="J553" s="575">
        <v>1</v>
      </c>
      <c r="K553" s="575">
        <v>21</v>
      </c>
      <c r="L553" s="529">
        <v>851</v>
      </c>
      <c r="M553" s="514">
        <v>175</v>
      </c>
      <c r="N553" s="539">
        <f>674994.35+369964.61+173183.11+69607+36107.36+11079.36+4111.5+3251+2331+736+2494+5316+8932+2887.4+1387+2177+2906+506+460.5+1699+851</f>
        <v>1374981.19</v>
      </c>
      <c r="O553" s="545">
        <f>74718+42125+20203+8560+4755+1596+602+505+444+147+495+1162+1784+552+263+414+567+61+93+631+175</f>
        <v>159852</v>
      </c>
      <c r="P553" s="512">
        <f t="shared" si="14"/>
        <v>8.601588907239195</v>
      </c>
      <c r="Q553" s="513">
        <v>41292</v>
      </c>
    </row>
    <row r="554" spans="1:17" ht="11.25">
      <c r="A554" s="453">
        <v>553</v>
      </c>
      <c r="B554" s="497"/>
      <c r="C554" s="520" t="s">
        <v>354</v>
      </c>
      <c r="D554" s="490" t="s">
        <v>339</v>
      </c>
      <c r="E554" s="492" t="s">
        <v>67</v>
      </c>
      <c r="F554" s="496" t="s">
        <v>361</v>
      </c>
      <c r="G554" s="495">
        <v>41117</v>
      </c>
      <c r="H554" s="499" t="s">
        <v>59</v>
      </c>
      <c r="I554" s="556">
        <v>204</v>
      </c>
      <c r="J554" s="575">
        <v>2</v>
      </c>
      <c r="K554" s="575">
        <v>19</v>
      </c>
      <c r="L554" s="529">
        <v>460.5</v>
      </c>
      <c r="M554" s="514">
        <v>93</v>
      </c>
      <c r="N554" s="535">
        <f>674994.35+369964.61+173183.11+69607+36107.36+11079.36+4111.5+3251+2331+736+2494+5316+8932+2887.4+1387+2177+2906+506+460.5</f>
        <v>1372431.19</v>
      </c>
      <c r="O554" s="542">
        <f>74718+42125+20203+8560+4755+1596+602+505+444+147+495+1162+1784+552+263+414+567+61+93</f>
        <v>159046</v>
      </c>
      <c r="P554" s="512">
        <f t="shared" si="14"/>
        <v>8.629146221847767</v>
      </c>
      <c r="Q554" s="513">
        <v>41278</v>
      </c>
    </row>
    <row r="555" spans="1:17" ht="11.25">
      <c r="A555" s="453">
        <v>554</v>
      </c>
      <c r="B555" s="497"/>
      <c r="C555" s="520" t="s">
        <v>354</v>
      </c>
      <c r="D555" s="490" t="s">
        <v>339</v>
      </c>
      <c r="E555" s="492" t="s">
        <v>67</v>
      </c>
      <c r="F555" s="496" t="s">
        <v>361</v>
      </c>
      <c r="G555" s="508">
        <v>41117</v>
      </c>
      <c r="H555" s="499" t="s">
        <v>59</v>
      </c>
      <c r="I555" s="556">
        <v>204</v>
      </c>
      <c r="J555" s="509">
        <v>1</v>
      </c>
      <c r="K555" s="509">
        <v>24</v>
      </c>
      <c r="L555" s="510">
        <v>180</v>
      </c>
      <c r="M555" s="514">
        <v>60</v>
      </c>
      <c r="N555" s="535">
        <f>674994.35+369964.61+173183.11+69607+36107.36+11079.36+4111.5+3251+2331+736+2494+5316+8932+2887.4+1387+2177+2906+506+460.5+1699+851+1438+2190+180</f>
        <v>1378789.19</v>
      </c>
      <c r="O555" s="547">
        <f>74718+42125+20203+8560+4755+1596+602+505+444+147+495+1162+1784+552+263+414+567+61+93+631+175+294+492+60</f>
        <v>160698</v>
      </c>
      <c r="P555" s="515">
        <f t="shared" si="14"/>
        <v>8.580002177998482</v>
      </c>
      <c r="Q555" s="516">
        <v>41313</v>
      </c>
    </row>
    <row r="556" spans="1:17" ht="11.25">
      <c r="A556" s="453">
        <v>555</v>
      </c>
      <c r="B556" s="497"/>
      <c r="C556" s="520" t="s">
        <v>354</v>
      </c>
      <c r="D556" s="500" t="s">
        <v>339</v>
      </c>
      <c r="E556" s="506" t="s">
        <v>67</v>
      </c>
      <c r="F556" s="560" t="s">
        <v>361</v>
      </c>
      <c r="G556" s="508">
        <v>41117</v>
      </c>
      <c r="H556" s="499" t="s">
        <v>59</v>
      </c>
      <c r="I556" s="556">
        <v>204</v>
      </c>
      <c r="J556" s="509">
        <v>1</v>
      </c>
      <c r="K556" s="509">
        <v>26</v>
      </c>
      <c r="L556" s="648">
        <v>40</v>
      </c>
      <c r="M556" s="649">
        <v>8</v>
      </c>
      <c r="N556" s="539">
        <f>674994.35+369964.61+173183.11+69607+36107.36+11079.36+4111.5+3251+2331+736+2494+5316+8932+2887.4+1387+2177+2906+506+460.5+1699+851+1438+2190+180+2412+40</f>
        <v>1381241.19</v>
      </c>
      <c r="O556" s="545">
        <f>74718+42125+20203+8560+4755+1596+602+505+444+147+495+1162+1784+552+263+414+567+61+93+631+175+294+492+60+397+8</f>
        <v>161103</v>
      </c>
      <c r="P556" s="512">
        <f t="shared" si="14"/>
        <v>8.57365281838327</v>
      </c>
      <c r="Q556" s="513">
        <v>41327</v>
      </c>
    </row>
    <row r="557" spans="1:17" ht="11.25">
      <c r="A557" s="453">
        <v>556</v>
      </c>
      <c r="B557" s="497"/>
      <c r="C557" s="518" t="s">
        <v>478</v>
      </c>
      <c r="D557" s="492" t="s">
        <v>70</v>
      </c>
      <c r="E557" s="490" t="s">
        <v>72</v>
      </c>
      <c r="F557" s="392" t="s">
        <v>478</v>
      </c>
      <c r="G557" s="493">
        <v>41201</v>
      </c>
      <c r="H557" s="499" t="s">
        <v>12</v>
      </c>
      <c r="I557" s="509">
        <v>102</v>
      </c>
      <c r="J557" s="601">
        <v>1</v>
      </c>
      <c r="K557" s="689">
        <v>16</v>
      </c>
      <c r="L557" s="554">
        <v>1884</v>
      </c>
      <c r="M557" s="534">
        <v>159</v>
      </c>
      <c r="N557" s="438">
        <v>2370725</v>
      </c>
      <c r="O557" s="552">
        <v>234056</v>
      </c>
      <c r="P557" s="515">
        <f t="shared" si="14"/>
        <v>10.1288794134737</v>
      </c>
      <c r="Q557" s="516">
        <v>41306</v>
      </c>
    </row>
    <row r="558" spans="1:17" ht="11.25">
      <c r="A558" s="453">
        <v>557</v>
      </c>
      <c r="B558" s="497"/>
      <c r="C558" s="518" t="s">
        <v>478</v>
      </c>
      <c r="D558" s="492" t="s">
        <v>70</v>
      </c>
      <c r="E558" s="490" t="s">
        <v>72</v>
      </c>
      <c r="F558" s="392" t="s">
        <v>478</v>
      </c>
      <c r="G558" s="493">
        <v>41201</v>
      </c>
      <c r="H558" s="499" t="s">
        <v>12</v>
      </c>
      <c r="I558" s="509">
        <v>102</v>
      </c>
      <c r="J558" s="575">
        <v>3</v>
      </c>
      <c r="K558" s="578">
        <v>12</v>
      </c>
      <c r="L558" s="554">
        <v>689</v>
      </c>
      <c r="M558" s="555">
        <v>104</v>
      </c>
      <c r="N558" s="550">
        <v>2367013</v>
      </c>
      <c r="O558" s="552">
        <v>233730</v>
      </c>
      <c r="P558" s="512">
        <f t="shared" si="14"/>
        <v>10.12712531553502</v>
      </c>
      <c r="Q558" s="513">
        <v>41278</v>
      </c>
    </row>
    <row r="559" spans="1:17" ht="11.25">
      <c r="A559" s="453">
        <v>558</v>
      </c>
      <c r="B559" s="497"/>
      <c r="C559" s="518" t="s">
        <v>478</v>
      </c>
      <c r="D559" s="492" t="s">
        <v>70</v>
      </c>
      <c r="E559" s="490" t="s">
        <v>72</v>
      </c>
      <c r="F559" s="392" t="s">
        <v>478</v>
      </c>
      <c r="G559" s="526">
        <v>41201</v>
      </c>
      <c r="H559" s="499" t="s">
        <v>12</v>
      </c>
      <c r="I559" s="509">
        <v>102</v>
      </c>
      <c r="J559" s="506">
        <v>1</v>
      </c>
      <c r="K559" s="506">
        <v>18</v>
      </c>
      <c r="L559" s="531">
        <v>655</v>
      </c>
      <c r="M559" s="534">
        <v>92</v>
      </c>
      <c r="N559" s="550">
        <v>2371575</v>
      </c>
      <c r="O559" s="552">
        <v>234167</v>
      </c>
      <c r="P559" s="512">
        <f t="shared" si="14"/>
        <v>10.12770800326263</v>
      </c>
      <c r="Q559" s="513">
        <v>41320</v>
      </c>
    </row>
    <row r="560" spans="1:17" ht="11.25">
      <c r="A560" s="453">
        <v>559</v>
      </c>
      <c r="B560" s="497"/>
      <c r="C560" s="518" t="s">
        <v>146</v>
      </c>
      <c r="D560" s="519" t="s">
        <v>390</v>
      </c>
      <c r="E560" s="519" t="s">
        <v>67</v>
      </c>
      <c r="F560" s="519" t="s">
        <v>147</v>
      </c>
      <c r="G560" s="495">
        <v>40347</v>
      </c>
      <c r="H560" s="499" t="s">
        <v>59</v>
      </c>
      <c r="I560" s="509">
        <v>66</v>
      </c>
      <c r="J560" s="509">
        <v>1</v>
      </c>
      <c r="K560" s="509">
        <v>42</v>
      </c>
      <c r="L560" s="528">
        <v>1782</v>
      </c>
      <c r="M560" s="532">
        <v>356</v>
      </c>
      <c r="N560" s="537">
        <f>478213+7083+3309.5+6055+4900+8378+4378.5+2349+3103+2074+7679.5+6108+2991.5+2180+2234+642+2775.5+1757+1151+3382+60+1782+2851+1188+713+286+2138.5+2138.5+2138.5+1782+1188+623+211.5+950.4+1782</f>
        <v>570575.9</v>
      </c>
      <c r="O560" s="543">
        <f>55327+1259+553+1133+756+1285+650+408+682+334+1688+1394+539+483+475+201+677+260+202+852+20+445+712+297+178+67+535+535+535+356+238+244+83+190+356</f>
        <v>73949</v>
      </c>
      <c r="P560" s="515">
        <f t="shared" si="14"/>
        <v>7.715802782999094</v>
      </c>
      <c r="Q560" s="516">
        <v>41474</v>
      </c>
    </row>
    <row r="561" spans="1:17" ht="11.25">
      <c r="A561" s="453">
        <v>560</v>
      </c>
      <c r="B561" s="497"/>
      <c r="C561" s="501" t="s">
        <v>146</v>
      </c>
      <c r="D561" s="392" t="s">
        <v>390</v>
      </c>
      <c r="E561" s="392" t="s">
        <v>67</v>
      </c>
      <c r="F561" s="392" t="s">
        <v>147</v>
      </c>
      <c r="G561" s="495">
        <v>40347</v>
      </c>
      <c r="H561" s="491" t="s">
        <v>59</v>
      </c>
      <c r="I561" s="506">
        <v>66</v>
      </c>
      <c r="J561" s="509">
        <v>1</v>
      </c>
      <c r="K561" s="509">
        <v>43</v>
      </c>
      <c r="L561" s="503">
        <v>1425.6</v>
      </c>
      <c r="M561" s="504">
        <v>285</v>
      </c>
      <c r="N561" s="538">
        <f>478213+7083+3309.5+6055+4900+8378+4378.5+2349+3103+2074+7679.5+6108+2991.5+2180+2234+642+2775.5+1757+1151+3382+60+1782+2851+1188+713+286+2138.5+2138.5+2138.5+1782+1188+623+211.5+950.4+1782+1425.6</f>
        <v>572001.5</v>
      </c>
      <c r="O561" s="544">
        <f>55327+1259+553+1133+756+1285+650+408+682+334+1688+1394+539+483+475+201+677+260+202+852+20+445+712+297+178+67+535+535+535+356+238+244+83+190+356+285</f>
        <v>74234</v>
      </c>
      <c r="P561" s="512">
        <f t="shared" si="14"/>
        <v>7.705384325241803</v>
      </c>
      <c r="Q561" s="513">
        <v>41495</v>
      </c>
    </row>
    <row r="562" spans="1:17" ht="11.25">
      <c r="A562" s="453">
        <v>561</v>
      </c>
      <c r="B562" s="497"/>
      <c r="C562" s="501" t="s">
        <v>146</v>
      </c>
      <c r="D562" s="392" t="s">
        <v>390</v>
      </c>
      <c r="E562" s="392" t="s">
        <v>67</v>
      </c>
      <c r="F562" s="392" t="s">
        <v>147</v>
      </c>
      <c r="G562" s="495">
        <v>40347</v>
      </c>
      <c r="H562" s="491" t="s">
        <v>59</v>
      </c>
      <c r="I562" s="506">
        <v>66</v>
      </c>
      <c r="J562" s="509">
        <v>1</v>
      </c>
      <c r="K562" s="509">
        <v>44</v>
      </c>
      <c r="L562" s="503">
        <v>1425.6</v>
      </c>
      <c r="M562" s="504">
        <v>285</v>
      </c>
      <c r="N562" s="503">
        <f>478213+7083+3309.5+6055+4900+8378+4378.5+2349+3103+2074+7679.5+6108+2991.5+2180+2234+642+2775.5+1757+1151+3382+60+1782+2851+1188+713+286+2138.5+2138.5+2138.5+1782+1188+623+211.5+950.4+1782+1425.6+1425.6</f>
        <v>573427.1</v>
      </c>
      <c r="O562" s="504">
        <f>55327+1259+553+1133+756+1285+650+408+682+334+1688+1394+539+483+475+201+677+260+202+852+20+445+712+297+178+67+535+535+535+356+238+244+83+190+356+285+285</f>
        <v>74519</v>
      </c>
      <c r="P562" s="512">
        <f t="shared" si="14"/>
        <v>7.6950455588507625</v>
      </c>
      <c r="Q562" s="513">
        <v>41509</v>
      </c>
    </row>
    <row r="563" spans="1:17" ht="11.25">
      <c r="A563" s="453">
        <v>562</v>
      </c>
      <c r="B563" s="497"/>
      <c r="C563" s="518" t="s">
        <v>146</v>
      </c>
      <c r="D563" s="519" t="s">
        <v>390</v>
      </c>
      <c r="E563" s="519" t="s">
        <v>67</v>
      </c>
      <c r="F563" s="519" t="s">
        <v>147</v>
      </c>
      <c r="G563" s="508">
        <v>40347</v>
      </c>
      <c r="H563" s="499" t="s">
        <v>59</v>
      </c>
      <c r="I563" s="509">
        <v>66</v>
      </c>
      <c r="J563" s="509">
        <v>1</v>
      </c>
      <c r="K563" s="509">
        <v>41</v>
      </c>
      <c r="L563" s="503">
        <v>950.4</v>
      </c>
      <c r="M563" s="504">
        <v>190</v>
      </c>
      <c r="N563" s="538">
        <f>478213+7083+3309.5+6055+4900+8378+4378.5+2349+3103+2074+7679.5+6108+2991.5+2180+2234+642+2775.5+1757+1151+3382+60+1782+2851+1188+713+286+2138.5+2138.5+2138.5+1782+1188+623+211.5+950.4</f>
        <v>568793.9</v>
      </c>
      <c r="O563" s="544">
        <f>55327+1259+553+1133+756+1285+650+408+682+334+1688+1394+539+483+475+201+677+260+202+852+20+445+712+297+178+67+535+535+535+356+238+244+83+190</f>
        <v>73593</v>
      </c>
      <c r="P563" s="512">
        <f t="shared" si="14"/>
        <v>7.7289130759719</v>
      </c>
      <c r="Q563" s="513">
        <v>41432</v>
      </c>
    </row>
    <row r="564" spans="1:17" ht="11.25">
      <c r="A564" s="453">
        <v>563</v>
      </c>
      <c r="B564" s="497"/>
      <c r="C564" s="518" t="s">
        <v>146</v>
      </c>
      <c r="D564" s="519" t="s">
        <v>390</v>
      </c>
      <c r="E564" s="519" t="s">
        <v>67</v>
      </c>
      <c r="F564" s="519" t="s">
        <v>147</v>
      </c>
      <c r="G564" s="508">
        <v>40347</v>
      </c>
      <c r="H564" s="499" t="s">
        <v>59</v>
      </c>
      <c r="I564" s="509">
        <v>66</v>
      </c>
      <c r="J564" s="509">
        <v>1</v>
      </c>
      <c r="K564" s="509">
        <v>38</v>
      </c>
      <c r="L564" s="648">
        <v>688</v>
      </c>
      <c r="M564" s="649">
        <v>138</v>
      </c>
      <c r="N564" s="539">
        <f>478213+7083+3309.5+6055+4900+8378+4378.5+2349+3103+2074+7679.5+6108+2991.5+2180+2234+642+2775.5+1757+1151+3382+60+1782+2851+1188+713+286+2138.5+2138.5+2138.5+1782+1188</f>
        <v>567009</v>
      </c>
      <c r="O564" s="545">
        <f>55327+1259+553+1133+756+1285+650+408+682+334+1688+1394+539+483+475+201+677+260+202+852+20+445+712+297+178+67+535+535+535+356+238</f>
        <v>73076</v>
      </c>
      <c r="P564" s="512">
        <f t="shared" si="14"/>
        <v>7.759168536865729</v>
      </c>
      <c r="Q564" s="513">
        <v>41348</v>
      </c>
    </row>
    <row r="565" spans="1:17" ht="11.25">
      <c r="A565" s="453">
        <v>564</v>
      </c>
      <c r="B565" s="497"/>
      <c r="C565" s="518" t="s">
        <v>146</v>
      </c>
      <c r="D565" s="519" t="s">
        <v>390</v>
      </c>
      <c r="E565" s="519" t="s">
        <v>67</v>
      </c>
      <c r="F565" s="519" t="s">
        <v>147</v>
      </c>
      <c r="G565" s="508">
        <v>40347</v>
      </c>
      <c r="H565" s="499" t="s">
        <v>59</v>
      </c>
      <c r="I565" s="509">
        <v>66</v>
      </c>
      <c r="J565" s="517">
        <v>1</v>
      </c>
      <c r="K565" s="517">
        <v>39</v>
      </c>
      <c r="L565" s="529">
        <v>623</v>
      </c>
      <c r="M565" s="514">
        <v>244</v>
      </c>
      <c r="N565" s="541">
        <f>478213+7083+3309.5+6055+4900+8378+4378.5+2349+3103+2074+7679.5+6108+2991.5+2180+2234+642+2775.5+1757+1151+3382+60+1782+2851+1188+713+286+2138.5+2138.5+2138.5+1782+1188+623</f>
        <v>567632</v>
      </c>
      <c r="O565" s="547">
        <f>55327+1259+553+1133+756+1285+650+408+682+334+1688+1394+539+483+475+201+677+260+202+852+20+445+712+297+178+67+535+535+535+356+238+244</f>
        <v>73320</v>
      </c>
      <c r="P565" s="515">
        <f t="shared" si="14"/>
        <v>7.741843971631206</v>
      </c>
      <c r="Q565" s="516">
        <v>41383</v>
      </c>
    </row>
    <row r="566" spans="1:17" ht="11.25">
      <c r="A566" s="453">
        <v>565</v>
      </c>
      <c r="B566" s="497"/>
      <c r="C566" s="518" t="s">
        <v>146</v>
      </c>
      <c r="D566" s="519" t="s">
        <v>390</v>
      </c>
      <c r="E566" s="519" t="s">
        <v>67</v>
      </c>
      <c r="F566" s="519" t="s">
        <v>147</v>
      </c>
      <c r="G566" s="508">
        <v>40347</v>
      </c>
      <c r="H566" s="499" t="s">
        <v>59</v>
      </c>
      <c r="I566" s="509">
        <v>66</v>
      </c>
      <c r="J566" s="509">
        <v>1</v>
      </c>
      <c r="K566" s="509">
        <v>40</v>
      </c>
      <c r="L566" s="510">
        <v>211.5</v>
      </c>
      <c r="M566" s="511">
        <v>83</v>
      </c>
      <c r="N566" s="535">
        <f>478213+7083+3309.5+6055+4900+8378+4378.5+2349+3103+2074+7679.5+6108+2991.5+2180+2234+642+2775.5+1757+1151+3382+60+1782+2851+1188+713+286+2138.5+2138.5+2138.5+1782+1188+623+211.5</f>
        <v>567843.5</v>
      </c>
      <c r="O566" s="542">
        <f>55327+1259+553+1133+756+1285+650+408+682+334+1688+1394+539+483+475+201+677+260+202+852+20+445+712+297+178+67+535+535+535+356+238+244+83</f>
        <v>73403</v>
      </c>
      <c r="P566" s="512">
        <f t="shared" si="14"/>
        <v>7.735971281827719</v>
      </c>
      <c r="Q566" s="513">
        <v>41390</v>
      </c>
    </row>
    <row r="567" spans="1:17" ht="11.25">
      <c r="A567" s="453">
        <v>566</v>
      </c>
      <c r="B567" s="498"/>
      <c r="C567" s="520" t="s">
        <v>976</v>
      </c>
      <c r="D567" s="506" t="s">
        <v>977</v>
      </c>
      <c r="E567" s="506" t="s">
        <v>81</v>
      </c>
      <c r="F567" s="560" t="s">
        <v>978</v>
      </c>
      <c r="G567" s="508">
        <v>41075</v>
      </c>
      <c r="H567" s="499" t="s">
        <v>59</v>
      </c>
      <c r="I567" s="556">
        <v>8</v>
      </c>
      <c r="J567" s="507">
        <v>1</v>
      </c>
      <c r="K567" s="507">
        <v>16</v>
      </c>
      <c r="L567" s="528">
        <v>1544.4</v>
      </c>
      <c r="M567" s="532">
        <v>309</v>
      </c>
      <c r="N567" s="537">
        <f>13794+6425.21+5848+1921.92+5865+3473.5+558+587+40+3821+2460+412+4348+2376+435+1544.4</f>
        <v>53909.03</v>
      </c>
      <c r="O567" s="543">
        <f>1061+577+525+268+773+393+71+80+5+745+357+77+916+476+129+309</f>
        <v>6762</v>
      </c>
      <c r="P567" s="515">
        <f t="shared" si="14"/>
        <v>7.972349896480331</v>
      </c>
      <c r="Q567" s="516">
        <v>41439</v>
      </c>
    </row>
    <row r="568" spans="1:17" ht="11.25">
      <c r="A568" s="453">
        <v>567</v>
      </c>
      <c r="B568" s="497"/>
      <c r="C568" s="518" t="s">
        <v>157</v>
      </c>
      <c r="D568" s="506" t="s">
        <v>330</v>
      </c>
      <c r="E568" s="507" t="s">
        <v>72</v>
      </c>
      <c r="F568" s="519" t="s">
        <v>158</v>
      </c>
      <c r="G568" s="508">
        <v>40921</v>
      </c>
      <c r="H568" s="499" t="s">
        <v>12</v>
      </c>
      <c r="I568" s="509">
        <v>101</v>
      </c>
      <c r="J568" s="507">
        <v>1</v>
      </c>
      <c r="K568" s="507">
        <v>62</v>
      </c>
      <c r="L568" s="554">
        <v>1722</v>
      </c>
      <c r="M568" s="555">
        <v>287</v>
      </c>
      <c r="N568" s="438">
        <v>7273265</v>
      </c>
      <c r="O568" s="439">
        <v>697522</v>
      </c>
      <c r="P568" s="515">
        <f t="shared" si="14"/>
        <v>10.427291182213608</v>
      </c>
      <c r="Q568" s="516">
        <v>41439</v>
      </c>
    </row>
    <row r="569" spans="1:17" ht="11.25">
      <c r="A569" s="453">
        <v>568</v>
      </c>
      <c r="B569" s="497"/>
      <c r="C569" s="518" t="s">
        <v>157</v>
      </c>
      <c r="D569" s="492" t="s">
        <v>330</v>
      </c>
      <c r="E569" s="339" t="s">
        <v>72</v>
      </c>
      <c r="F569" s="392" t="s">
        <v>158</v>
      </c>
      <c r="G569" s="508">
        <v>40921</v>
      </c>
      <c r="H569" s="499" t="s">
        <v>12</v>
      </c>
      <c r="I569" s="509">
        <v>101</v>
      </c>
      <c r="J569" s="509">
        <v>1</v>
      </c>
      <c r="K569" s="509">
        <v>57</v>
      </c>
      <c r="L569" s="531">
        <v>1190</v>
      </c>
      <c r="M569" s="555">
        <v>210</v>
      </c>
      <c r="N569" s="550">
        <v>7270949</v>
      </c>
      <c r="O569" s="439">
        <v>697130</v>
      </c>
      <c r="P569" s="515">
        <f t="shared" si="14"/>
        <v>10.429832312481173</v>
      </c>
      <c r="Q569" s="516">
        <v>41313</v>
      </c>
    </row>
    <row r="570" spans="1:17" ht="11.25">
      <c r="A570" s="453">
        <v>569</v>
      </c>
      <c r="B570" s="497"/>
      <c r="C570" s="518" t="s">
        <v>157</v>
      </c>
      <c r="D570" s="492" t="s">
        <v>330</v>
      </c>
      <c r="E570" s="339" t="s">
        <v>72</v>
      </c>
      <c r="F570" s="392" t="s">
        <v>158</v>
      </c>
      <c r="G570" s="495">
        <v>40921</v>
      </c>
      <c r="H570" s="499" t="s">
        <v>12</v>
      </c>
      <c r="I570" s="506">
        <v>101</v>
      </c>
      <c r="J570" s="509">
        <v>1</v>
      </c>
      <c r="K570" s="509">
        <v>55</v>
      </c>
      <c r="L570" s="531">
        <v>595</v>
      </c>
      <c r="M570" s="534">
        <v>105</v>
      </c>
      <c r="N570" s="550">
        <v>7269164</v>
      </c>
      <c r="O570" s="552">
        <v>696815</v>
      </c>
      <c r="P570" s="512">
        <f t="shared" si="14"/>
        <v>10.431985534180521</v>
      </c>
      <c r="Q570" s="513">
        <v>41299</v>
      </c>
    </row>
    <row r="571" spans="1:17" ht="11.25">
      <c r="A571" s="453">
        <v>570</v>
      </c>
      <c r="B571" s="497"/>
      <c r="C571" s="518" t="s">
        <v>157</v>
      </c>
      <c r="D571" s="492" t="s">
        <v>330</v>
      </c>
      <c r="E571" s="339" t="s">
        <v>72</v>
      </c>
      <c r="F571" s="392" t="s">
        <v>158</v>
      </c>
      <c r="G571" s="495">
        <v>40921</v>
      </c>
      <c r="H571" s="499" t="s">
        <v>12</v>
      </c>
      <c r="I571" s="506">
        <v>101</v>
      </c>
      <c r="J571" s="506">
        <v>1</v>
      </c>
      <c r="K571" s="506">
        <v>56</v>
      </c>
      <c r="L571" s="554">
        <v>595</v>
      </c>
      <c r="M571" s="534">
        <v>105</v>
      </c>
      <c r="N571" s="438">
        <v>7269759</v>
      </c>
      <c r="O571" s="552">
        <v>696920</v>
      </c>
      <c r="P571" s="515">
        <f t="shared" si="14"/>
        <v>10.431267577340297</v>
      </c>
      <c r="Q571" s="516">
        <v>41306</v>
      </c>
    </row>
    <row r="572" spans="1:17" ht="11.25">
      <c r="A572" s="453">
        <v>571</v>
      </c>
      <c r="B572" s="497"/>
      <c r="C572" s="518" t="s">
        <v>157</v>
      </c>
      <c r="D572" s="506" t="s">
        <v>330</v>
      </c>
      <c r="E572" s="507" t="s">
        <v>72</v>
      </c>
      <c r="F572" s="519" t="s">
        <v>158</v>
      </c>
      <c r="G572" s="508">
        <v>40921</v>
      </c>
      <c r="H572" s="499" t="s">
        <v>12</v>
      </c>
      <c r="I572" s="509">
        <v>101</v>
      </c>
      <c r="J572" s="509">
        <v>1</v>
      </c>
      <c r="K572" s="509">
        <v>62</v>
      </c>
      <c r="L572" s="530">
        <v>594</v>
      </c>
      <c r="M572" s="533">
        <v>105</v>
      </c>
      <c r="N572" s="551">
        <v>7271543</v>
      </c>
      <c r="O572" s="553">
        <v>697235</v>
      </c>
      <c r="P572" s="512">
        <f t="shared" si="14"/>
        <v>10.429113570030191</v>
      </c>
      <c r="Q572" s="513">
        <v>41348</v>
      </c>
    </row>
    <row r="573" spans="1:17" ht="11.25">
      <c r="A573" s="453">
        <v>572</v>
      </c>
      <c r="B573" s="498"/>
      <c r="C573" s="549" t="s">
        <v>579</v>
      </c>
      <c r="D573" s="496" t="s">
        <v>580</v>
      </c>
      <c r="E573" s="492" t="s">
        <v>400</v>
      </c>
      <c r="F573" s="496" t="s">
        <v>581</v>
      </c>
      <c r="G573" s="495">
        <v>41271</v>
      </c>
      <c r="H573" s="499" t="s">
        <v>8</v>
      </c>
      <c r="I573" s="556">
        <v>48</v>
      </c>
      <c r="J573" s="423">
        <v>48</v>
      </c>
      <c r="K573" s="423">
        <v>2</v>
      </c>
      <c r="L573" s="529">
        <v>135554</v>
      </c>
      <c r="M573" s="514">
        <v>10924</v>
      </c>
      <c r="N573" s="535">
        <v>414141</v>
      </c>
      <c r="O573" s="542">
        <v>32971</v>
      </c>
      <c r="P573" s="512">
        <f t="shared" si="14"/>
        <v>12.560765521215613</v>
      </c>
      <c r="Q573" s="513">
        <v>41278</v>
      </c>
    </row>
    <row r="574" spans="1:17" ht="11.25">
      <c r="A574" s="453">
        <v>573</v>
      </c>
      <c r="B574" s="498"/>
      <c r="C574" s="549" t="s">
        <v>579</v>
      </c>
      <c r="D574" s="496" t="s">
        <v>580</v>
      </c>
      <c r="E574" s="492" t="s">
        <v>400</v>
      </c>
      <c r="F574" s="496" t="s">
        <v>581</v>
      </c>
      <c r="G574" s="495">
        <v>41271</v>
      </c>
      <c r="H574" s="499" t="s">
        <v>8</v>
      </c>
      <c r="I574" s="556">
        <v>48</v>
      </c>
      <c r="J574" s="423">
        <v>16</v>
      </c>
      <c r="K574" s="423">
        <v>3</v>
      </c>
      <c r="L574" s="529">
        <v>27356</v>
      </c>
      <c r="M574" s="514">
        <v>2066</v>
      </c>
      <c r="N574" s="541">
        <v>441496</v>
      </c>
      <c r="O574" s="547">
        <v>35037</v>
      </c>
      <c r="P574" s="512">
        <f t="shared" si="14"/>
        <v>12.600850529440306</v>
      </c>
      <c r="Q574" s="513">
        <v>41285</v>
      </c>
    </row>
    <row r="575" spans="1:17" ht="11.25">
      <c r="A575" s="453">
        <v>574</v>
      </c>
      <c r="B575" s="498"/>
      <c r="C575" s="549" t="s">
        <v>579</v>
      </c>
      <c r="D575" s="496" t="s">
        <v>580</v>
      </c>
      <c r="E575" s="492" t="s">
        <v>400</v>
      </c>
      <c r="F575" s="496" t="s">
        <v>581</v>
      </c>
      <c r="G575" s="495">
        <v>41271</v>
      </c>
      <c r="H575" s="499" t="s">
        <v>8</v>
      </c>
      <c r="I575" s="556">
        <v>48</v>
      </c>
      <c r="J575" s="560">
        <v>1</v>
      </c>
      <c r="K575" s="560">
        <v>6</v>
      </c>
      <c r="L575" s="561">
        <v>1126</v>
      </c>
      <c r="M575" s="677">
        <v>166</v>
      </c>
      <c r="N575" s="678">
        <v>443762</v>
      </c>
      <c r="O575" s="679">
        <v>35375</v>
      </c>
      <c r="P575" s="515">
        <f t="shared" si="14"/>
        <v>12.544508833922261</v>
      </c>
      <c r="Q575" s="516">
        <v>41306</v>
      </c>
    </row>
    <row r="576" spans="1:17" ht="11.25">
      <c r="A576" s="453">
        <v>575</v>
      </c>
      <c r="B576" s="498"/>
      <c r="C576" s="549" t="s">
        <v>579</v>
      </c>
      <c r="D576" s="496" t="s">
        <v>580</v>
      </c>
      <c r="E576" s="492" t="s">
        <v>400</v>
      </c>
      <c r="F576" s="496" t="s">
        <v>581</v>
      </c>
      <c r="G576" s="495">
        <v>41271</v>
      </c>
      <c r="H576" s="499" t="s">
        <v>8</v>
      </c>
      <c r="I576" s="556">
        <v>48</v>
      </c>
      <c r="J576" s="423">
        <v>3</v>
      </c>
      <c r="K576" s="423">
        <v>5</v>
      </c>
      <c r="L576" s="510">
        <v>1090</v>
      </c>
      <c r="M576" s="511">
        <v>162</v>
      </c>
      <c r="N576" s="535">
        <v>442636</v>
      </c>
      <c r="O576" s="542">
        <v>35209</v>
      </c>
      <c r="P576" s="512">
        <f t="shared" si="14"/>
        <v>12.571672015677809</v>
      </c>
      <c r="Q576" s="513">
        <v>41299</v>
      </c>
    </row>
    <row r="577" spans="1:17" ht="11.25">
      <c r="A577" s="453">
        <v>576</v>
      </c>
      <c r="B577" s="498"/>
      <c r="C577" s="549" t="s">
        <v>579</v>
      </c>
      <c r="D577" s="496" t="s">
        <v>580</v>
      </c>
      <c r="E577" s="492" t="s">
        <v>400</v>
      </c>
      <c r="F577" s="496" t="s">
        <v>581</v>
      </c>
      <c r="G577" s="508">
        <v>41271</v>
      </c>
      <c r="H577" s="499" t="s">
        <v>8</v>
      </c>
      <c r="I577" s="556">
        <v>48</v>
      </c>
      <c r="J577" s="423">
        <v>1</v>
      </c>
      <c r="K577" s="423">
        <v>7</v>
      </c>
      <c r="L577" s="510">
        <v>695</v>
      </c>
      <c r="M577" s="514">
        <v>111</v>
      </c>
      <c r="N577" s="535">
        <v>444457</v>
      </c>
      <c r="O577" s="547">
        <v>35486</v>
      </c>
      <c r="P577" s="515">
        <f t="shared" si="14"/>
        <v>12.524854872344022</v>
      </c>
      <c r="Q577" s="516">
        <v>41313</v>
      </c>
    </row>
    <row r="578" spans="1:17" ht="11.25">
      <c r="A578" s="453">
        <v>577</v>
      </c>
      <c r="B578" s="498"/>
      <c r="C578" s="549" t="s">
        <v>579</v>
      </c>
      <c r="D578" s="560" t="s">
        <v>580</v>
      </c>
      <c r="E578" s="506" t="s">
        <v>400</v>
      </c>
      <c r="F578" s="560" t="s">
        <v>581</v>
      </c>
      <c r="G578" s="508">
        <v>41271</v>
      </c>
      <c r="H578" s="499" t="s">
        <v>8</v>
      </c>
      <c r="I578" s="556">
        <v>48</v>
      </c>
      <c r="J578" s="423">
        <v>1</v>
      </c>
      <c r="K578" s="423">
        <v>8</v>
      </c>
      <c r="L578" s="658">
        <v>496</v>
      </c>
      <c r="M578" s="659">
        <v>42</v>
      </c>
      <c r="N578" s="660">
        <v>444953</v>
      </c>
      <c r="O578" s="661">
        <v>35528</v>
      </c>
      <c r="P578" s="512">
        <f t="shared" si="14"/>
        <v>12.52400923215492</v>
      </c>
      <c r="Q578" s="513">
        <v>41369</v>
      </c>
    </row>
    <row r="579" spans="1:17" ht="11.25">
      <c r="A579" s="453">
        <v>578</v>
      </c>
      <c r="B579" s="498"/>
      <c r="C579" s="549" t="s">
        <v>579</v>
      </c>
      <c r="D579" s="496" t="s">
        <v>580</v>
      </c>
      <c r="E579" s="492" t="s">
        <v>400</v>
      </c>
      <c r="F579" s="496" t="s">
        <v>581</v>
      </c>
      <c r="G579" s="495">
        <v>41271</v>
      </c>
      <c r="H579" s="499" t="s">
        <v>8</v>
      </c>
      <c r="I579" s="556">
        <v>48</v>
      </c>
      <c r="J579" s="423">
        <v>1</v>
      </c>
      <c r="K579" s="423">
        <v>4</v>
      </c>
      <c r="L579" s="529">
        <v>50</v>
      </c>
      <c r="M579" s="514">
        <v>10</v>
      </c>
      <c r="N579" s="541">
        <v>441546</v>
      </c>
      <c r="O579" s="547">
        <v>35047</v>
      </c>
      <c r="P579" s="512">
        <f t="shared" si="14"/>
        <v>12.598681770194311</v>
      </c>
      <c r="Q579" s="513">
        <v>41292</v>
      </c>
    </row>
    <row r="580" spans="1:17" ht="11.25">
      <c r="A580" s="453">
        <v>579</v>
      </c>
      <c r="B580" s="497"/>
      <c r="C580" s="518" t="s">
        <v>979</v>
      </c>
      <c r="D580" s="506" t="s">
        <v>392</v>
      </c>
      <c r="E580" s="500" t="s">
        <v>81</v>
      </c>
      <c r="F580" s="519" t="s">
        <v>980</v>
      </c>
      <c r="G580" s="526">
        <v>40711</v>
      </c>
      <c r="H580" s="499" t="s">
        <v>59</v>
      </c>
      <c r="I580" s="509">
        <v>1</v>
      </c>
      <c r="J580" s="517">
        <v>1</v>
      </c>
      <c r="K580" s="517">
        <v>11</v>
      </c>
      <c r="L580" s="503">
        <v>4752</v>
      </c>
      <c r="M580" s="504">
        <v>950</v>
      </c>
      <c r="N580" s="538">
        <f>2079+2156+600+711+244+159+324.5+129+1425.6+1782+4752</f>
        <v>14362.1</v>
      </c>
      <c r="O580" s="544">
        <f>143+271+75+67+107+28+43+25+285+356+950</f>
        <v>2350</v>
      </c>
      <c r="P580" s="512">
        <f t="shared" si="14"/>
        <v>6.111531914893617</v>
      </c>
      <c r="Q580" s="513">
        <v>41460</v>
      </c>
    </row>
    <row r="581" spans="1:17" ht="11.25">
      <c r="A581" s="453">
        <v>580</v>
      </c>
      <c r="B581" s="498"/>
      <c r="C581" s="520" t="s">
        <v>498</v>
      </c>
      <c r="D581" s="490" t="s">
        <v>80</v>
      </c>
      <c r="E581" s="492" t="s">
        <v>69</v>
      </c>
      <c r="F581" s="496" t="s">
        <v>495</v>
      </c>
      <c r="G581" s="495">
        <v>41215</v>
      </c>
      <c r="H581" s="499" t="s">
        <v>59</v>
      </c>
      <c r="I581" s="556">
        <v>12</v>
      </c>
      <c r="J581" s="509">
        <v>5</v>
      </c>
      <c r="K581" s="509">
        <v>10</v>
      </c>
      <c r="L581" s="529">
        <v>3753</v>
      </c>
      <c r="M581" s="514">
        <v>565</v>
      </c>
      <c r="N581" s="535">
        <f>71370.5+29689+5432+4725.5+5021+9120+2181+2898+4134.5+3753</f>
        <v>138324.5</v>
      </c>
      <c r="O581" s="542">
        <f>5953+2142+447+469+529+1228+219+458+696+565</f>
        <v>12706</v>
      </c>
      <c r="P581" s="512">
        <f t="shared" si="14"/>
        <v>10.886549661577208</v>
      </c>
      <c r="Q581" s="513">
        <v>41278</v>
      </c>
    </row>
    <row r="582" spans="1:17" ht="11.25">
      <c r="A582" s="453">
        <v>581</v>
      </c>
      <c r="B582" s="498"/>
      <c r="C582" s="520" t="s">
        <v>498</v>
      </c>
      <c r="D582" s="500" t="s">
        <v>80</v>
      </c>
      <c r="E582" s="506" t="s">
        <v>69</v>
      </c>
      <c r="F582" s="560" t="s">
        <v>495</v>
      </c>
      <c r="G582" s="508">
        <v>41215</v>
      </c>
      <c r="H582" s="499" t="s">
        <v>59</v>
      </c>
      <c r="I582" s="556">
        <v>12</v>
      </c>
      <c r="J582" s="517">
        <v>1</v>
      </c>
      <c r="K582" s="517">
        <v>17</v>
      </c>
      <c r="L582" s="510">
        <v>3564</v>
      </c>
      <c r="M582" s="511">
        <v>713</v>
      </c>
      <c r="N582" s="535">
        <f>71370.5+29689+5432+4725.5+5021+9120+2181+2898+4134.5+3753+1177+512+2593.4+1190+759+1211.5+3564</f>
        <v>149331.4</v>
      </c>
      <c r="O582" s="542">
        <f>5953+2142+447+469+529+1228+219+458+696+565+177+63+425+183+93+182+713</f>
        <v>14542</v>
      </c>
      <c r="P582" s="512">
        <f t="shared" si="14"/>
        <v>10.268972630999862</v>
      </c>
      <c r="Q582" s="513">
        <v>41411</v>
      </c>
    </row>
    <row r="583" spans="1:17" ht="11.25">
      <c r="A583" s="453">
        <v>582</v>
      </c>
      <c r="B583" s="498"/>
      <c r="C583" s="520" t="s">
        <v>498</v>
      </c>
      <c r="D583" s="490" t="s">
        <v>80</v>
      </c>
      <c r="E583" s="492" t="s">
        <v>69</v>
      </c>
      <c r="F583" s="496" t="s">
        <v>495</v>
      </c>
      <c r="G583" s="508">
        <v>41215</v>
      </c>
      <c r="H583" s="499" t="s">
        <v>59</v>
      </c>
      <c r="I583" s="556">
        <v>12</v>
      </c>
      <c r="J583" s="509">
        <v>3</v>
      </c>
      <c r="K583" s="509">
        <v>13</v>
      </c>
      <c r="L583" s="510">
        <v>2593.4</v>
      </c>
      <c r="M583" s="514">
        <v>425</v>
      </c>
      <c r="N583" s="535">
        <f>71370.5+29689+5432+4725.5+5021+9120+2181+2898+4134.5+3753+1177+512+2593.4</f>
        <v>142606.9</v>
      </c>
      <c r="O583" s="547">
        <f>5953+2142+447+469+529+1228+219+458+696+565+177+63+425</f>
        <v>13371</v>
      </c>
      <c r="P583" s="515">
        <f t="shared" si="14"/>
        <v>10.665387779522847</v>
      </c>
      <c r="Q583" s="516">
        <v>41313</v>
      </c>
    </row>
    <row r="584" spans="1:17" ht="11.25">
      <c r="A584" s="453">
        <v>583</v>
      </c>
      <c r="B584" s="478"/>
      <c r="C584" s="461" t="s">
        <v>498</v>
      </c>
      <c r="D584" s="368" t="s">
        <v>80</v>
      </c>
      <c r="E584" s="364" t="s">
        <v>69</v>
      </c>
      <c r="F584" s="366" t="s">
        <v>495</v>
      </c>
      <c r="G584" s="367">
        <v>41215</v>
      </c>
      <c r="H584" s="365" t="s">
        <v>59</v>
      </c>
      <c r="I584" s="394">
        <v>12</v>
      </c>
      <c r="J584" s="361">
        <v>1</v>
      </c>
      <c r="K584" s="361">
        <v>18</v>
      </c>
      <c r="L584" s="503">
        <v>2376</v>
      </c>
      <c r="M584" s="504">
        <v>475</v>
      </c>
      <c r="N584" s="538">
        <v>151707.4</v>
      </c>
      <c r="O584" s="544">
        <v>15017</v>
      </c>
      <c r="P584" s="396">
        <v>10.102377305720184</v>
      </c>
      <c r="Q584" s="397">
        <v>41425</v>
      </c>
    </row>
    <row r="585" spans="1:17" ht="11.25">
      <c r="A585" s="453">
        <v>584</v>
      </c>
      <c r="B585" s="498"/>
      <c r="C585" s="520" t="s">
        <v>498</v>
      </c>
      <c r="D585" s="500" t="s">
        <v>80</v>
      </c>
      <c r="E585" s="506" t="s">
        <v>69</v>
      </c>
      <c r="F585" s="560" t="s">
        <v>495</v>
      </c>
      <c r="G585" s="508">
        <v>41215</v>
      </c>
      <c r="H585" s="499" t="s">
        <v>59</v>
      </c>
      <c r="I585" s="556">
        <v>12</v>
      </c>
      <c r="J585" s="517">
        <v>1</v>
      </c>
      <c r="K585" s="517">
        <v>16</v>
      </c>
      <c r="L585" s="510">
        <v>1211.5</v>
      </c>
      <c r="M585" s="511">
        <v>182</v>
      </c>
      <c r="N585" s="535">
        <f>71370.5+29689+5432+4725.5+5021+9120+2181+2898+4134.5+3753+1177+512+2593.4+1190+759+1211.5</f>
        <v>145767.4</v>
      </c>
      <c r="O585" s="542">
        <f>5953+2142+447+469+529+1228+219+458+696+565+177+63+425+183+93+182</f>
        <v>13829</v>
      </c>
      <c r="P585" s="512">
        <f aca="true" t="shared" si="15" ref="P585:P616">N585/O585</f>
        <v>10.540704317014969</v>
      </c>
      <c r="Q585" s="513">
        <v>41369</v>
      </c>
    </row>
    <row r="586" spans="1:17" ht="11.25">
      <c r="A586" s="453">
        <v>585</v>
      </c>
      <c r="B586" s="498"/>
      <c r="C586" s="520" t="s">
        <v>498</v>
      </c>
      <c r="D586" s="490" t="s">
        <v>80</v>
      </c>
      <c r="E586" s="492" t="s">
        <v>69</v>
      </c>
      <c r="F586" s="496" t="s">
        <v>495</v>
      </c>
      <c r="G586" s="508">
        <v>41215</v>
      </c>
      <c r="H586" s="499" t="s">
        <v>59</v>
      </c>
      <c r="I586" s="556">
        <v>12</v>
      </c>
      <c r="J586" s="506">
        <v>3</v>
      </c>
      <c r="K586" s="506">
        <v>14</v>
      </c>
      <c r="L586" s="510">
        <v>1190</v>
      </c>
      <c r="M586" s="511">
        <v>183</v>
      </c>
      <c r="N586" s="535">
        <f>71370.5+29689+5432+4725.5+5021+9120+2181+2898+4134.5+3753+1177+512+2593.4+1190</f>
        <v>143796.9</v>
      </c>
      <c r="O586" s="542">
        <f>5953+2142+447+469+529+1228+219+458+696+565+177+63+425+183</f>
        <v>13554</v>
      </c>
      <c r="P586" s="512">
        <f t="shared" si="15"/>
        <v>10.609185480301019</v>
      </c>
      <c r="Q586" s="513">
        <v>41320</v>
      </c>
    </row>
    <row r="587" spans="1:17" ht="11.25">
      <c r="A587" s="453">
        <v>586</v>
      </c>
      <c r="B587" s="498"/>
      <c r="C587" s="520" t="s">
        <v>498</v>
      </c>
      <c r="D587" s="490" t="s">
        <v>80</v>
      </c>
      <c r="E587" s="492" t="s">
        <v>69</v>
      </c>
      <c r="F587" s="496" t="s">
        <v>495</v>
      </c>
      <c r="G587" s="495">
        <v>41215</v>
      </c>
      <c r="H587" s="499" t="s">
        <v>59</v>
      </c>
      <c r="I587" s="556">
        <v>12</v>
      </c>
      <c r="J587" s="509">
        <v>2</v>
      </c>
      <c r="K587" s="509">
        <v>11</v>
      </c>
      <c r="L587" s="529">
        <v>1177</v>
      </c>
      <c r="M587" s="514">
        <v>177</v>
      </c>
      <c r="N587" s="541">
        <f>71370.5+29689+5432+4725.5+5021+9120+2181+2898+4134.5+3753+1177</f>
        <v>139501.5</v>
      </c>
      <c r="O587" s="547">
        <f>5953+2142+447+469+529+1228+219+458+696+565+177</f>
        <v>12883</v>
      </c>
      <c r="P587" s="512">
        <f t="shared" si="15"/>
        <v>10.828339672436543</v>
      </c>
      <c r="Q587" s="513">
        <v>41299</v>
      </c>
    </row>
    <row r="588" spans="1:17" ht="11.25">
      <c r="A588" s="453">
        <v>587</v>
      </c>
      <c r="B588" s="498"/>
      <c r="C588" s="520" t="s">
        <v>498</v>
      </c>
      <c r="D588" s="500" t="s">
        <v>80</v>
      </c>
      <c r="E588" s="506" t="s">
        <v>69</v>
      </c>
      <c r="F588" s="560" t="s">
        <v>495</v>
      </c>
      <c r="G588" s="508">
        <v>41215</v>
      </c>
      <c r="H588" s="499" t="s">
        <v>59</v>
      </c>
      <c r="I588" s="556">
        <v>12</v>
      </c>
      <c r="J588" s="517">
        <v>1</v>
      </c>
      <c r="K588" s="517">
        <v>15</v>
      </c>
      <c r="L588" s="529">
        <v>759</v>
      </c>
      <c r="M588" s="514">
        <v>93</v>
      </c>
      <c r="N588" s="541">
        <f>71370.5+29689+5432+4725.5+5021+9120+2181+2898+4134.5+3753+1177+512+2593.4+1190+759</f>
        <v>144555.9</v>
      </c>
      <c r="O588" s="547">
        <f>5953+2142+447+469+529+1228+219+458+696+565+177+63+425+183+93</f>
        <v>13647</v>
      </c>
      <c r="P588" s="515">
        <f t="shared" si="15"/>
        <v>10.59250384699934</v>
      </c>
      <c r="Q588" s="516">
        <v>41355</v>
      </c>
    </row>
    <row r="589" spans="1:17" ht="11.25">
      <c r="A589" s="453">
        <v>588</v>
      </c>
      <c r="B589" s="498"/>
      <c r="C589" s="520" t="s">
        <v>498</v>
      </c>
      <c r="D589" s="500" t="s">
        <v>80</v>
      </c>
      <c r="E589" s="506" t="s">
        <v>69</v>
      </c>
      <c r="F589" s="560" t="s">
        <v>495</v>
      </c>
      <c r="G589" s="508">
        <v>41215</v>
      </c>
      <c r="H589" s="499" t="s">
        <v>59</v>
      </c>
      <c r="I589" s="556">
        <v>12</v>
      </c>
      <c r="J589" s="507">
        <v>1</v>
      </c>
      <c r="K589" s="507">
        <v>19</v>
      </c>
      <c r="L589" s="528">
        <v>578</v>
      </c>
      <c r="M589" s="532">
        <v>75</v>
      </c>
      <c r="N589" s="537">
        <f>71370.5+29689+5432+4725.5+5021+9120+2181+2898+4134.5+3753+1177+512+2593.4+1190+759+1211.5+3564+2376+578</f>
        <v>152285.4</v>
      </c>
      <c r="O589" s="543">
        <f>5953+2142+447+469+529+1228+219+458+696+565+177+63+425+183+93+182+713+475+75</f>
        <v>15092</v>
      </c>
      <c r="P589" s="515">
        <f t="shared" si="15"/>
        <v>10.090471773124834</v>
      </c>
      <c r="Q589" s="516">
        <v>41439</v>
      </c>
    </row>
    <row r="590" spans="1:17" ht="11.25">
      <c r="A590" s="453">
        <v>589</v>
      </c>
      <c r="B590" s="498"/>
      <c r="C590" s="520" t="s">
        <v>498</v>
      </c>
      <c r="D590" s="490" t="s">
        <v>80</v>
      </c>
      <c r="E590" s="492" t="s">
        <v>69</v>
      </c>
      <c r="F590" s="496" t="s">
        <v>495</v>
      </c>
      <c r="G590" s="495">
        <v>41215</v>
      </c>
      <c r="H590" s="499" t="s">
        <v>59</v>
      </c>
      <c r="I590" s="556">
        <v>12</v>
      </c>
      <c r="J590" s="506">
        <v>1</v>
      </c>
      <c r="K590" s="506">
        <v>12</v>
      </c>
      <c r="L590" s="529">
        <v>512</v>
      </c>
      <c r="M590" s="511">
        <v>63</v>
      </c>
      <c r="N590" s="541">
        <f>71370.5+29689+5432+4725.5+5021+9120+2181+2898+4134.5+3753+1177+512</f>
        <v>140013.5</v>
      </c>
      <c r="O590" s="542">
        <f>5953+2142+447+469+529+1228+219+458+696+565+177+63</f>
        <v>12946</v>
      </c>
      <c r="P590" s="515">
        <f t="shared" si="15"/>
        <v>10.81519388228024</v>
      </c>
      <c r="Q590" s="516">
        <v>41306</v>
      </c>
    </row>
    <row r="591" spans="1:17" ht="11.25">
      <c r="A591" s="453">
        <v>590</v>
      </c>
      <c r="B591" s="498"/>
      <c r="C591" s="520" t="s">
        <v>498</v>
      </c>
      <c r="D591" s="500" t="s">
        <v>80</v>
      </c>
      <c r="E591" s="506" t="s">
        <v>69</v>
      </c>
      <c r="F591" s="560" t="s">
        <v>495</v>
      </c>
      <c r="G591" s="508">
        <v>41215</v>
      </c>
      <c r="H591" s="499" t="s">
        <v>59</v>
      </c>
      <c r="I591" s="556">
        <v>12</v>
      </c>
      <c r="J591" s="668">
        <v>1</v>
      </c>
      <c r="K591" s="668">
        <v>20</v>
      </c>
      <c r="L591" s="503">
        <v>202</v>
      </c>
      <c r="M591" s="504">
        <v>29</v>
      </c>
      <c r="N591" s="538">
        <f>71370.5+29689+5432+4725.5+5021+9120+2181+2898+4134.5+3753+1177+512+2593.4+1190+759+1211.5+3564+2376+578+202</f>
        <v>152487.4</v>
      </c>
      <c r="O591" s="544">
        <f>5953+2142+447+469+529+1228+219+458+696+565+177+63+425+183+93+182+713+475+75+29</f>
        <v>15121</v>
      </c>
      <c r="P591" s="371">
        <f t="shared" si="15"/>
        <v>10.084478539779115</v>
      </c>
      <c r="Q591" s="372">
        <v>41446</v>
      </c>
    </row>
    <row r="592" spans="1:17" ht="11.25">
      <c r="A592" s="453">
        <v>591</v>
      </c>
      <c r="B592" s="498"/>
      <c r="C592" s="520" t="s">
        <v>498</v>
      </c>
      <c r="D592" s="500" t="s">
        <v>80</v>
      </c>
      <c r="E592" s="506" t="s">
        <v>69</v>
      </c>
      <c r="F592" s="560" t="s">
        <v>495</v>
      </c>
      <c r="G592" s="508">
        <v>41215</v>
      </c>
      <c r="H592" s="499" t="s">
        <v>59</v>
      </c>
      <c r="I592" s="556">
        <v>12</v>
      </c>
      <c r="J592" s="517">
        <v>1</v>
      </c>
      <c r="K592" s="517">
        <v>21</v>
      </c>
      <c r="L592" s="503">
        <v>128</v>
      </c>
      <c r="M592" s="504">
        <v>16</v>
      </c>
      <c r="N592" s="538">
        <f>71370.5+29689+5432+4725.5+5021+9120+2181+2898+4134.5+3753+1177+512+2593.4+1190+759+1211.5+3564+2376+578+202+128</f>
        <v>152615.4</v>
      </c>
      <c r="O592" s="544">
        <f>5953+2142+447+469+529+1228+219+458+696+565+177+63+425+183+93+182+713+475+75+29+16</f>
        <v>15137</v>
      </c>
      <c r="P592" s="512">
        <f t="shared" si="15"/>
        <v>10.082275219660435</v>
      </c>
      <c r="Q592" s="513">
        <v>41453</v>
      </c>
    </row>
    <row r="593" spans="1:17" ht="11.25">
      <c r="A593" s="453">
        <v>592</v>
      </c>
      <c r="B593" s="497"/>
      <c r="C593" s="518" t="s">
        <v>455</v>
      </c>
      <c r="D593" s="492" t="s">
        <v>457</v>
      </c>
      <c r="E593" s="490" t="s">
        <v>72</v>
      </c>
      <c r="F593" s="392" t="s">
        <v>456</v>
      </c>
      <c r="G593" s="493">
        <v>41187</v>
      </c>
      <c r="H593" s="499" t="s">
        <v>12</v>
      </c>
      <c r="I593" s="509">
        <v>171</v>
      </c>
      <c r="J593" s="509">
        <v>12</v>
      </c>
      <c r="K593" s="509">
        <v>16</v>
      </c>
      <c r="L593" s="554">
        <v>21068</v>
      </c>
      <c r="M593" s="555">
        <v>3783</v>
      </c>
      <c r="N593" s="438">
        <v>2039062</v>
      </c>
      <c r="O593" s="439">
        <v>194945</v>
      </c>
      <c r="P593" s="512">
        <f t="shared" si="15"/>
        <v>10.45967837082254</v>
      </c>
      <c r="Q593" s="513">
        <v>41292</v>
      </c>
    </row>
    <row r="594" spans="1:17" ht="11.25">
      <c r="A594" s="453">
        <v>593</v>
      </c>
      <c r="B594" s="497"/>
      <c r="C594" s="518" t="s">
        <v>455</v>
      </c>
      <c r="D594" s="492" t="s">
        <v>457</v>
      </c>
      <c r="E594" s="490" t="s">
        <v>72</v>
      </c>
      <c r="F594" s="392" t="s">
        <v>456</v>
      </c>
      <c r="G594" s="493">
        <v>41187</v>
      </c>
      <c r="H594" s="499" t="s">
        <v>12</v>
      </c>
      <c r="I594" s="509">
        <v>171</v>
      </c>
      <c r="J594" s="509">
        <v>11</v>
      </c>
      <c r="K594" s="509">
        <v>17</v>
      </c>
      <c r="L594" s="531">
        <v>16366</v>
      </c>
      <c r="M594" s="534">
        <v>2528</v>
      </c>
      <c r="N594" s="550">
        <v>2055428</v>
      </c>
      <c r="O594" s="552">
        <v>197473</v>
      </c>
      <c r="P594" s="512">
        <f t="shared" si="15"/>
        <v>10.408653334886289</v>
      </c>
      <c r="Q594" s="513">
        <v>41299</v>
      </c>
    </row>
    <row r="595" spans="1:17" ht="11.25">
      <c r="A595" s="453">
        <v>594</v>
      </c>
      <c r="B595" s="497"/>
      <c r="C595" s="518" t="s">
        <v>455</v>
      </c>
      <c r="D595" s="492" t="s">
        <v>457</v>
      </c>
      <c r="E595" s="490" t="s">
        <v>72</v>
      </c>
      <c r="F595" s="392" t="s">
        <v>456</v>
      </c>
      <c r="G595" s="493">
        <v>41187</v>
      </c>
      <c r="H595" s="499" t="s">
        <v>12</v>
      </c>
      <c r="I595" s="509">
        <v>171</v>
      </c>
      <c r="J595" s="506">
        <v>9</v>
      </c>
      <c r="K595" s="506">
        <v>18</v>
      </c>
      <c r="L595" s="554">
        <v>11868</v>
      </c>
      <c r="M595" s="534">
        <v>1637</v>
      </c>
      <c r="N595" s="438">
        <v>2067296</v>
      </c>
      <c r="O595" s="552">
        <v>199110</v>
      </c>
      <c r="P595" s="515">
        <f t="shared" si="15"/>
        <v>10.3826829390789</v>
      </c>
      <c r="Q595" s="516">
        <v>41306</v>
      </c>
    </row>
    <row r="596" spans="1:17" ht="11.25">
      <c r="A596" s="453">
        <v>595</v>
      </c>
      <c r="B596" s="497"/>
      <c r="C596" s="518" t="s">
        <v>455</v>
      </c>
      <c r="D596" s="492" t="s">
        <v>457</v>
      </c>
      <c r="E596" s="490" t="s">
        <v>72</v>
      </c>
      <c r="F596" s="392" t="s">
        <v>456</v>
      </c>
      <c r="G596" s="493">
        <v>41187</v>
      </c>
      <c r="H596" s="499" t="s">
        <v>12</v>
      </c>
      <c r="I596" s="509">
        <v>171</v>
      </c>
      <c r="J596" s="509">
        <v>16</v>
      </c>
      <c r="K596" s="509">
        <v>14</v>
      </c>
      <c r="L596" s="554">
        <v>11473</v>
      </c>
      <c r="M596" s="555">
        <v>1509</v>
      </c>
      <c r="N596" s="550">
        <v>2010487</v>
      </c>
      <c r="O596" s="552">
        <v>189974</v>
      </c>
      <c r="P596" s="512">
        <f t="shared" si="15"/>
        <v>10.582958720667039</v>
      </c>
      <c r="Q596" s="513">
        <v>41278</v>
      </c>
    </row>
    <row r="597" spans="1:17" ht="11.25">
      <c r="A597" s="453">
        <v>596</v>
      </c>
      <c r="B597" s="497"/>
      <c r="C597" s="518" t="s">
        <v>455</v>
      </c>
      <c r="D597" s="492" t="s">
        <v>457</v>
      </c>
      <c r="E597" s="490" t="s">
        <v>72</v>
      </c>
      <c r="F597" s="392" t="s">
        <v>456</v>
      </c>
      <c r="G597" s="493">
        <v>41187</v>
      </c>
      <c r="H597" s="499" t="s">
        <v>12</v>
      </c>
      <c r="I597" s="509">
        <v>171</v>
      </c>
      <c r="J597" s="509">
        <v>10</v>
      </c>
      <c r="K597" s="509">
        <v>15</v>
      </c>
      <c r="L597" s="530">
        <v>7507</v>
      </c>
      <c r="M597" s="533">
        <v>1188</v>
      </c>
      <c r="N597" s="551">
        <v>2017994</v>
      </c>
      <c r="O597" s="553">
        <v>191162</v>
      </c>
      <c r="P597" s="512">
        <f t="shared" si="15"/>
        <v>10.556459965892802</v>
      </c>
      <c r="Q597" s="513">
        <v>41285</v>
      </c>
    </row>
    <row r="598" spans="1:17" ht="11.25">
      <c r="A598" s="453">
        <v>597</v>
      </c>
      <c r="B598" s="497"/>
      <c r="C598" s="518" t="s">
        <v>455</v>
      </c>
      <c r="D598" s="492" t="s">
        <v>457</v>
      </c>
      <c r="E598" s="490" t="s">
        <v>72</v>
      </c>
      <c r="F598" s="392" t="s">
        <v>456</v>
      </c>
      <c r="G598" s="526">
        <v>41187</v>
      </c>
      <c r="H598" s="499" t="s">
        <v>12</v>
      </c>
      <c r="I598" s="509">
        <v>171</v>
      </c>
      <c r="J598" s="509">
        <v>9</v>
      </c>
      <c r="K598" s="509">
        <v>19</v>
      </c>
      <c r="L598" s="531">
        <v>6986</v>
      </c>
      <c r="M598" s="555">
        <v>1010</v>
      </c>
      <c r="N598" s="550">
        <v>2074282</v>
      </c>
      <c r="O598" s="439">
        <v>200120</v>
      </c>
      <c r="P598" s="515">
        <f t="shared" si="15"/>
        <v>10.365190885468719</v>
      </c>
      <c r="Q598" s="516">
        <v>41313</v>
      </c>
    </row>
    <row r="599" spans="1:17" ht="11.25">
      <c r="A599" s="453">
        <v>598</v>
      </c>
      <c r="B599" s="497"/>
      <c r="C599" s="518" t="s">
        <v>455</v>
      </c>
      <c r="D599" s="506" t="s">
        <v>457</v>
      </c>
      <c r="E599" s="500" t="s">
        <v>72</v>
      </c>
      <c r="F599" s="519" t="s">
        <v>456</v>
      </c>
      <c r="G599" s="526">
        <v>41187</v>
      </c>
      <c r="H599" s="499" t="s">
        <v>12</v>
      </c>
      <c r="I599" s="509">
        <v>171</v>
      </c>
      <c r="J599" s="509">
        <v>2</v>
      </c>
      <c r="K599" s="509">
        <v>24</v>
      </c>
      <c r="L599" s="530">
        <v>2477</v>
      </c>
      <c r="M599" s="533">
        <v>414</v>
      </c>
      <c r="N599" s="551">
        <v>2080627</v>
      </c>
      <c r="O599" s="553">
        <v>201208</v>
      </c>
      <c r="P599" s="512">
        <f t="shared" si="15"/>
        <v>10.340677309053318</v>
      </c>
      <c r="Q599" s="513">
        <v>41348</v>
      </c>
    </row>
    <row r="600" spans="1:17" ht="11.25">
      <c r="A600" s="453">
        <v>599</v>
      </c>
      <c r="B600" s="497"/>
      <c r="C600" s="518" t="s">
        <v>455</v>
      </c>
      <c r="D600" s="506" t="s">
        <v>457</v>
      </c>
      <c r="E600" s="500" t="s">
        <v>72</v>
      </c>
      <c r="F600" s="519" t="s">
        <v>456</v>
      </c>
      <c r="G600" s="526">
        <v>41187</v>
      </c>
      <c r="H600" s="499" t="s">
        <v>12</v>
      </c>
      <c r="I600" s="509">
        <v>171</v>
      </c>
      <c r="J600" s="509">
        <v>2</v>
      </c>
      <c r="K600" s="509">
        <v>23</v>
      </c>
      <c r="L600" s="531">
        <v>2429</v>
      </c>
      <c r="M600" s="534">
        <v>406</v>
      </c>
      <c r="N600" s="550">
        <v>2078150</v>
      </c>
      <c r="O600" s="552">
        <v>200794</v>
      </c>
      <c r="P600" s="512">
        <f t="shared" si="15"/>
        <v>10.349661842485332</v>
      </c>
      <c r="Q600" s="513">
        <v>41341</v>
      </c>
    </row>
    <row r="601" spans="1:17" ht="11.25">
      <c r="A601" s="453">
        <v>600</v>
      </c>
      <c r="B601" s="497"/>
      <c r="C601" s="518" t="s">
        <v>455</v>
      </c>
      <c r="D601" s="506" t="s">
        <v>457</v>
      </c>
      <c r="E601" s="500" t="s">
        <v>72</v>
      </c>
      <c r="F601" s="519" t="s">
        <v>456</v>
      </c>
      <c r="G601" s="526">
        <v>41187</v>
      </c>
      <c r="H601" s="499" t="s">
        <v>12</v>
      </c>
      <c r="I601" s="509">
        <v>171</v>
      </c>
      <c r="J601" s="509">
        <v>1</v>
      </c>
      <c r="K601" s="509">
        <v>40</v>
      </c>
      <c r="L601" s="531">
        <v>2387</v>
      </c>
      <c r="M601" s="534">
        <v>399</v>
      </c>
      <c r="N601" s="550">
        <v>2085756</v>
      </c>
      <c r="O601" s="552">
        <v>201969</v>
      </c>
      <c r="P601" s="512">
        <f t="shared" si="15"/>
        <v>10.327109605929623</v>
      </c>
      <c r="Q601" s="513">
        <v>41460</v>
      </c>
    </row>
    <row r="602" spans="1:17" ht="11.25">
      <c r="A602" s="453">
        <v>601</v>
      </c>
      <c r="B602" s="497"/>
      <c r="C602" s="518" t="s">
        <v>455</v>
      </c>
      <c r="D602" s="506" t="s">
        <v>457</v>
      </c>
      <c r="E602" s="500" t="s">
        <v>72</v>
      </c>
      <c r="F602" s="519" t="s">
        <v>456</v>
      </c>
      <c r="G602" s="526">
        <v>41187</v>
      </c>
      <c r="H602" s="499" t="s">
        <v>12</v>
      </c>
      <c r="I602" s="509">
        <v>171</v>
      </c>
      <c r="J602" s="517">
        <v>2</v>
      </c>
      <c r="K602" s="517">
        <v>25</v>
      </c>
      <c r="L602" s="554">
        <v>1485</v>
      </c>
      <c r="M602" s="555">
        <v>163</v>
      </c>
      <c r="N602" s="438">
        <v>2082112</v>
      </c>
      <c r="O602" s="439">
        <v>201371</v>
      </c>
      <c r="P602" s="515">
        <f t="shared" si="15"/>
        <v>10.33968148343108</v>
      </c>
      <c r="Q602" s="516">
        <v>41355</v>
      </c>
    </row>
    <row r="603" spans="1:17" ht="11.25">
      <c r="A603" s="453">
        <v>602</v>
      </c>
      <c r="B603" s="497"/>
      <c r="C603" s="518" t="s">
        <v>455</v>
      </c>
      <c r="D603" s="492" t="s">
        <v>457</v>
      </c>
      <c r="E603" s="490" t="s">
        <v>72</v>
      </c>
      <c r="F603" s="392" t="s">
        <v>456</v>
      </c>
      <c r="G603" s="526">
        <v>41187</v>
      </c>
      <c r="H603" s="499" t="s">
        <v>12</v>
      </c>
      <c r="I603" s="509">
        <v>171</v>
      </c>
      <c r="J603" s="506">
        <v>4</v>
      </c>
      <c r="K603" s="506">
        <v>20</v>
      </c>
      <c r="L603" s="531">
        <v>1285</v>
      </c>
      <c r="M603" s="534">
        <v>214</v>
      </c>
      <c r="N603" s="550">
        <v>2074881</v>
      </c>
      <c r="O603" s="552">
        <v>200250</v>
      </c>
      <c r="P603" s="512">
        <f t="shared" si="15"/>
        <v>10.361453183520599</v>
      </c>
      <c r="Q603" s="513">
        <v>41320</v>
      </c>
    </row>
    <row r="604" spans="1:17" ht="11.25">
      <c r="A604" s="453">
        <v>603</v>
      </c>
      <c r="B604" s="497"/>
      <c r="C604" s="518" t="s">
        <v>455</v>
      </c>
      <c r="D604" s="506" t="s">
        <v>457</v>
      </c>
      <c r="E604" s="500" t="s">
        <v>72</v>
      </c>
      <c r="F604" s="519" t="s">
        <v>456</v>
      </c>
      <c r="G604" s="526">
        <v>41187</v>
      </c>
      <c r="H604" s="499" t="s">
        <v>12</v>
      </c>
      <c r="I604" s="509">
        <v>171</v>
      </c>
      <c r="J604" s="506">
        <v>1</v>
      </c>
      <c r="K604" s="506">
        <v>37</v>
      </c>
      <c r="L604" s="554">
        <v>1197</v>
      </c>
      <c r="M604" s="555">
        <v>189</v>
      </c>
      <c r="N604" s="438">
        <v>2083369</v>
      </c>
      <c r="O604" s="439">
        <v>201570</v>
      </c>
      <c r="P604" s="515">
        <f t="shared" si="15"/>
        <v>10.335709679019695</v>
      </c>
      <c r="Q604" s="516">
        <v>41439</v>
      </c>
    </row>
    <row r="605" spans="1:17" ht="11.25">
      <c r="A605" s="453">
        <v>604</v>
      </c>
      <c r="B605" s="497"/>
      <c r="C605" s="518" t="s">
        <v>455</v>
      </c>
      <c r="D605" s="506" t="s">
        <v>457</v>
      </c>
      <c r="E605" s="500" t="s">
        <v>72</v>
      </c>
      <c r="F605" s="519" t="s">
        <v>456</v>
      </c>
      <c r="G605" s="526">
        <v>41187</v>
      </c>
      <c r="H605" s="499" t="s">
        <v>12</v>
      </c>
      <c r="I605" s="509">
        <v>171</v>
      </c>
      <c r="J605" s="509">
        <v>3</v>
      </c>
      <c r="K605" s="509">
        <v>21</v>
      </c>
      <c r="L605" s="530">
        <v>606</v>
      </c>
      <c r="M605" s="533">
        <v>99</v>
      </c>
      <c r="N605" s="551">
        <v>2075487</v>
      </c>
      <c r="O605" s="553">
        <v>200349</v>
      </c>
      <c r="P605" s="512">
        <f t="shared" si="15"/>
        <v>10.359357920428852</v>
      </c>
      <c r="Q605" s="513">
        <v>41327</v>
      </c>
    </row>
    <row r="606" spans="1:17" ht="11.25">
      <c r="A606" s="453">
        <v>605</v>
      </c>
      <c r="B606" s="497"/>
      <c r="C606" s="518" t="s">
        <v>455</v>
      </c>
      <c r="D606" s="506" t="s">
        <v>457</v>
      </c>
      <c r="E606" s="500" t="s">
        <v>72</v>
      </c>
      <c r="F606" s="519" t="s">
        <v>456</v>
      </c>
      <c r="G606" s="526">
        <v>41187</v>
      </c>
      <c r="H606" s="499" t="s">
        <v>12</v>
      </c>
      <c r="I606" s="509">
        <v>171</v>
      </c>
      <c r="J606" s="509">
        <v>1</v>
      </c>
      <c r="K606" s="509">
        <v>22</v>
      </c>
      <c r="L606" s="554">
        <v>234</v>
      </c>
      <c r="M606" s="555">
        <v>39</v>
      </c>
      <c r="N606" s="438">
        <v>2075721</v>
      </c>
      <c r="O606" s="439">
        <v>200388</v>
      </c>
      <c r="P606" s="512">
        <f t="shared" si="15"/>
        <v>10.358509491586323</v>
      </c>
      <c r="Q606" s="513">
        <v>41334</v>
      </c>
    </row>
    <row r="607" spans="1:17" ht="11.25">
      <c r="A607" s="453">
        <v>606</v>
      </c>
      <c r="B607" s="497"/>
      <c r="C607" s="518" t="s">
        <v>455</v>
      </c>
      <c r="D607" s="506" t="s">
        <v>457</v>
      </c>
      <c r="E607" s="500" t="s">
        <v>72</v>
      </c>
      <c r="F607" s="519" t="s">
        <v>456</v>
      </c>
      <c r="G607" s="526">
        <v>41187</v>
      </c>
      <c r="H607" s="499" t="s">
        <v>12</v>
      </c>
      <c r="I607" s="509">
        <v>171</v>
      </c>
      <c r="J607" s="509">
        <v>1</v>
      </c>
      <c r="K607" s="509">
        <v>27</v>
      </c>
      <c r="L607" s="531">
        <v>36</v>
      </c>
      <c r="M607" s="534">
        <v>6</v>
      </c>
      <c r="N607" s="550">
        <v>2082172</v>
      </c>
      <c r="O607" s="552">
        <v>201381</v>
      </c>
      <c r="P607" s="512">
        <f t="shared" si="15"/>
        <v>10.339465987357299</v>
      </c>
      <c r="Q607" s="513">
        <v>41369</v>
      </c>
    </row>
    <row r="608" spans="1:17" ht="11.25">
      <c r="A608" s="453">
        <v>607</v>
      </c>
      <c r="B608" s="497"/>
      <c r="C608" s="518" t="s">
        <v>455</v>
      </c>
      <c r="D608" s="506" t="s">
        <v>457</v>
      </c>
      <c r="E608" s="500" t="s">
        <v>72</v>
      </c>
      <c r="F608" s="519" t="s">
        <v>456</v>
      </c>
      <c r="G608" s="526">
        <v>41187</v>
      </c>
      <c r="H608" s="499" t="s">
        <v>12</v>
      </c>
      <c r="I608" s="509">
        <v>171</v>
      </c>
      <c r="J608" s="509">
        <v>1</v>
      </c>
      <c r="K608" s="509">
        <v>26</v>
      </c>
      <c r="L608" s="531">
        <v>24</v>
      </c>
      <c r="M608" s="534">
        <v>4</v>
      </c>
      <c r="N608" s="550">
        <v>2082136</v>
      </c>
      <c r="O608" s="552">
        <v>201375</v>
      </c>
      <c r="P608" s="512">
        <f t="shared" si="15"/>
        <v>10.33959528243327</v>
      </c>
      <c r="Q608" s="513">
        <v>41362</v>
      </c>
    </row>
    <row r="609" spans="1:17" ht="11.25">
      <c r="A609" s="453">
        <v>608</v>
      </c>
      <c r="B609" s="497"/>
      <c r="C609" s="520" t="s">
        <v>242</v>
      </c>
      <c r="D609" s="506" t="s">
        <v>285</v>
      </c>
      <c r="E609" s="500" t="s">
        <v>284</v>
      </c>
      <c r="F609" s="499" t="s">
        <v>243</v>
      </c>
      <c r="G609" s="508">
        <v>41033</v>
      </c>
      <c r="H609" s="499" t="s">
        <v>244</v>
      </c>
      <c r="I609" s="517">
        <v>60</v>
      </c>
      <c r="J609" s="517">
        <v>3</v>
      </c>
      <c r="K609" s="517">
        <v>42</v>
      </c>
      <c r="L609" s="529">
        <v>7265</v>
      </c>
      <c r="M609" s="514">
        <v>1216</v>
      </c>
      <c r="N609" s="541">
        <v>410095</v>
      </c>
      <c r="O609" s="547">
        <v>48859</v>
      </c>
      <c r="P609" s="512">
        <f t="shared" si="15"/>
        <v>8.39343826111873</v>
      </c>
      <c r="Q609" s="513">
        <v>41334</v>
      </c>
    </row>
    <row r="610" spans="1:17" ht="11.25">
      <c r="A610" s="453">
        <v>609</v>
      </c>
      <c r="B610" s="497"/>
      <c r="C610" s="460" t="s">
        <v>242</v>
      </c>
      <c r="D610" s="492" t="s">
        <v>285</v>
      </c>
      <c r="E610" s="490" t="s">
        <v>284</v>
      </c>
      <c r="F610" s="491" t="s">
        <v>243</v>
      </c>
      <c r="G610" s="495">
        <v>41033</v>
      </c>
      <c r="H610" s="499" t="s">
        <v>244</v>
      </c>
      <c r="I610" s="507">
        <v>60</v>
      </c>
      <c r="J610" s="507">
        <v>2</v>
      </c>
      <c r="K610" s="507">
        <v>38</v>
      </c>
      <c r="L610" s="529">
        <v>2891</v>
      </c>
      <c r="M610" s="511">
        <v>480</v>
      </c>
      <c r="N610" s="541">
        <v>402830</v>
      </c>
      <c r="O610" s="542">
        <v>47643</v>
      </c>
      <c r="P610" s="515">
        <f t="shared" si="15"/>
        <v>8.45517704594589</v>
      </c>
      <c r="Q610" s="516">
        <v>41306</v>
      </c>
    </row>
    <row r="611" spans="1:17" ht="11.25">
      <c r="A611" s="453">
        <v>610</v>
      </c>
      <c r="B611" s="497"/>
      <c r="C611" s="460" t="s">
        <v>242</v>
      </c>
      <c r="D611" s="492" t="s">
        <v>285</v>
      </c>
      <c r="E611" s="490" t="s">
        <v>284</v>
      </c>
      <c r="F611" s="491" t="s">
        <v>243</v>
      </c>
      <c r="G611" s="495">
        <v>41033</v>
      </c>
      <c r="H611" s="499" t="s">
        <v>244</v>
      </c>
      <c r="I611" s="507">
        <v>60</v>
      </c>
      <c r="J611" s="517">
        <v>2</v>
      </c>
      <c r="K611" s="517">
        <v>36</v>
      </c>
      <c r="L611" s="529">
        <v>1778</v>
      </c>
      <c r="M611" s="514">
        <v>214</v>
      </c>
      <c r="N611" s="541">
        <v>399939</v>
      </c>
      <c r="O611" s="547">
        <v>47163</v>
      </c>
      <c r="P611" s="512">
        <f t="shared" si="15"/>
        <v>8.47993130208002</v>
      </c>
      <c r="Q611" s="513">
        <v>41292</v>
      </c>
    </row>
    <row r="612" spans="1:17" ht="11.25">
      <c r="A612" s="453">
        <v>611</v>
      </c>
      <c r="B612" s="497"/>
      <c r="C612" s="520" t="s">
        <v>242</v>
      </c>
      <c r="D612" s="506" t="s">
        <v>285</v>
      </c>
      <c r="E612" s="500" t="s">
        <v>284</v>
      </c>
      <c r="F612" s="499" t="s">
        <v>243</v>
      </c>
      <c r="G612" s="508">
        <v>41033</v>
      </c>
      <c r="H612" s="499" t="s">
        <v>244</v>
      </c>
      <c r="I612" s="517">
        <v>60</v>
      </c>
      <c r="J612" s="517">
        <v>1</v>
      </c>
      <c r="K612" s="517">
        <v>51</v>
      </c>
      <c r="L612" s="510">
        <v>954</v>
      </c>
      <c r="M612" s="511">
        <v>155</v>
      </c>
      <c r="N612" s="535">
        <v>412681</v>
      </c>
      <c r="O612" s="542">
        <v>49342</v>
      </c>
      <c r="P612" s="512">
        <f t="shared" si="15"/>
        <v>8.363686109197033</v>
      </c>
      <c r="Q612" s="513">
        <v>41404</v>
      </c>
    </row>
    <row r="613" spans="1:17" ht="11.25">
      <c r="A613" s="453">
        <v>612</v>
      </c>
      <c r="B613" s="497"/>
      <c r="C613" s="520" t="s">
        <v>242</v>
      </c>
      <c r="D613" s="506" t="s">
        <v>285</v>
      </c>
      <c r="E613" s="500" t="s">
        <v>284</v>
      </c>
      <c r="F613" s="499" t="s">
        <v>243</v>
      </c>
      <c r="G613" s="508">
        <v>41033</v>
      </c>
      <c r="H613" s="499" t="s">
        <v>244</v>
      </c>
      <c r="I613" s="517">
        <v>60</v>
      </c>
      <c r="J613" s="517">
        <v>1</v>
      </c>
      <c r="K613" s="517">
        <v>47</v>
      </c>
      <c r="L613" s="558">
        <v>932</v>
      </c>
      <c r="M613" s="559">
        <v>177</v>
      </c>
      <c r="N613" s="440">
        <v>411727</v>
      </c>
      <c r="O613" s="441">
        <v>49187</v>
      </c>
      <c r="P613" s="515">
        <f t="shared" si="15"/>
        <v>8.370646715595583</v>
      </c>
      <c r="Q613" s="516">
        <v>41376</v>
      </c>
    </row>
    <row r="614" spans="1:17" ht="11.25">
      <c r="A614" s="453">
        <v>613</v>
      </c>
      <c r="B614" s="497"/>
      <c r="C614" s="520" t="s">
        <v>242</v>
      </c>
      <c r="D614" s="506" t="s">
        <v>285</v>
      </c>
      <c r="E614" s="500" t="s">
        <v>284</v>
      </c>
      <c r="F614" s="499" t="s">
        <v>243</v>
      </c>
      <c r="G614" s="508">
        <v>41033</v>
      </c>
      <c r="H614" s="499" t="s">
        <v>244</v>
      </c>
      <c r="I614" s="517">
        <v>60</v>
      </c>
      <c r="J614" s="517">
        <v>1</v>
      </c>
      <c r="K614" s="517">
        <v>44</v>
      </c>
      <c r="L614" s="658">
        <v>910</v>
      </c>
      <c r="M614" s="659">
        <v>151</v>
      </c>
      <c r="N614" s="660">
        <v>410795</v>
      </c>
      <c r="O614" s="661">
        <v>49010</v>
      </c>
      <c r="P614" s="512">
        <f t="shared" si="15"/>
        <v>8.381860844725566</v>
      </c>
      <c r="Q614" s="513">
        <v>41348</v>
      </c>
    </row>
    <row r="615" spans="1:17" ht="11.25">
      <c r="A615" s="453">
        <v>614</v>
      </c>
      <c r="B615" s="497" t="s">
        <v>48</v>
      </c>
      <c r="C615" s="518" t="s">
        <v>628</v>
      </c>
      <c r="D615" s="392" t="s">
        <v>81</v>
      </c>
      <c r="E615" s="490"/>
      <c r="F615" s="392" t="s">
        <v>628</v>
      </c>
      <c r="G615" s="495">
        <v>40242</v>
      </c>
      <c r="H615" s="499" t="s">
        <v>59</v>
      </c>
      <c r="I615" s="506">
        <v>74</v>
      </c>
      <c r="J615" s="509">
        <v>1</v>
      </c>
      <c r="K615" s="509">
        <v>30</v>
      </c>
      <c r="L615" s="529">
        <v>950.4</v>
      </c>
      <c r="M615" s="514">
        <v>190</v>
      </c>
      <c r="N615" s="539">
        <f>421210.25+356+162+4324+208+552+958+360+1188+950.4</f>
        <v>430268.65</v>
      </c>
      <c r="O615" s="545">
        <f>55245+64+29+994+22+92+124+60+297+190</f>
        <v>57117</v>
      </c>
      <c r="P615" s="512">
        <f t="shared" si="15"/>
        <v>7.533110107323564</v>
      </c>
      <c r="Q615" s="513">
        <v>41292</v>
      </c>
    </row>
    <row r="616" spans="1:17" ht="11.25">
      <c r="A616" s="453">
        <v>615</v>
      </c>
      <c r="B616" s="497"/>
      <c r="C616" s="518" t="s">
        <v>463</v>
      </c>
      <c r="D616" s="492" t="s">
        <v>332</v>
      </c>
      <c r="E616" s="490" t="s">
        <v>81</v>
      </c>
      <c r="F616" s="494" t="s">
        <v>464</v>
      </c>
      <c r="G616" s="526">
        <v>41187</v>
      </c>
      <c r="H616" s="499" t="s">
        <v>59</v>
      </c>
      <c r="I616" s="509">
        <v>8</v>
      </c>
      <c r="J616" s="509">
        <v>4</v>
      </c>
      <c r="K616" s="509">
        <v>8</v>
      </c>
      <c r="L616" s="510">
        <v>7131.5</v>
      </c>
      <c r="M616" s="514">
        <v>876</v>
      </c>
      <c r="N616" s="535">
        <f>20762.15+6021.59+849+172+434.5+752+636+7131.5</f>
        <v>36758.740000000005</v>
      </c>
      <c r="O616" s="547">
        <f>1636+559+92+17+58+222+102+876</f>
        <v>3562</v>
      </c>
      <c r="P616" s="515">
        <f t="shared" si="15"/>
        <v>10.319691184727683</v>
      </c>
      <c r="Q616" s="516">
        <v>41313</v>
      </c>
    </row>
    <row r="617" spans="1:17" ht="11.25">
      <c r="A617" s="453">
        <v>616</v>
      </c>
      <c r="B617" s="497"/>
      <c r="C617" s="518" t="s">
        <v>463</v>
      </c>
      <c r="D617" s="506" t="s">
        <v>332</v>
      </c>
      <c r="E617" s="500" t="s">
        <v>81</v>
      </c>
      <c r="F617" s="525" t="s">
        <v>464</v>
      </c>
      <c r="G617" s="526">
        <v>41187</v>
      </c>
      <c r="H617" s="499" t="s">
        <v>59</v>
      </c>
      <c r="I617" s="509">
        <v>8</v>
      </c>
      <c r="J617" s="517">
        <v>2</v>
      </c>
      <c r="K617" s="517">
        <v>9</v>
      </c>
      <c r="L617" s="510">
        <v>1774.5</v>
      </c>
      <c r="M617" s="511">
        <v>230</v>
      </c>
      <c r="N617" s="535">
        <f>20762.15+6021.59+849+172+434.5+752+636+7131.5+1774.5</f>
        <v>38533.240000000005</v>
      </c>
      <c r="O617" s="542">
        <f>1636+559+92+17+58+222+102+876+230</f>
        <v>3792</v>
      </c>
      <c r="P617" s="512">
        <f aca="true" t="shared" si="16" ref="P617:P648">N617/O617</f>
        <v>10.161719409282702</v>
      </c>
      <c r="Q617" s="513">
        <v>41362</v>
      </c>
    </row>
    <row r="618" spans="1:17" ht="11.25">
      <c r="A618" s="453">
        <v>617</v>
      </c>
      <c r="B618" s="497"/>
      <c r="C618" s="521" t="s">
        <v>981</v>
      </c>
      <c r="D618" s="492" t="s">
        <v>353</v>
      </c>
      <c r="E618" s="491" t="s">
        <v>81</v>
      </c>
      <c r="F618" s="491" t="s">
        <v>982</v>
      </c>
      <c r="G618" s="495">
        <v>40942</v>
      </c>
      <c r="H618" s="491" t="s">
        <v>139</v>
      </c>
      <c r="I618" s="506">
        <v>17</v>
      </c>
      <c r="J618" s="517">
        <v>1</v>
      </c>
      <c r="K618" s="517">
        <v>20</v>
      </c>
      <c r="L618" s="531">
        <v>1868</v>
      </c>
      <c r="M618" s="534">
        <v>203</v>
      </c>
      <c r="N618" s="550">
        <v>231223</v>
      </c>
      <c r="O618" s="552">
        <v>19624</v>
      </c>
      <c r="P618" s="512">
        <f t="shared" si="16"/>
        <v>11.78266408479413</v>
      </c>
      <c r="Q618" s="513">
        <v>41495</v>
      </c>
    </row>
    <row r="619" spans="1:17" ht="11.25">
      <c r="A619" s="453">
        <v>618</v>
      </c>
      <c r="B619" s="498"/>
      <c r="C619" s="549" t="s">
        <v>502</v>
      </c>
      <c r="D619" s="496" t="s">
        <v>505</v>
      </c>
      <c r="E619" s="492" t="s">
        <v>240</v>
      </c>
      <c r="F619" s="496" t="s">
        <v>501</v>
      </c>
      <c r="G619" s="495">
        <v>41222</v>
      </c>
      <c r="H619" s="499" t="s">
        <v>8</v>
      </c>
      <c r="I619" s="527">
        <v>79</v>
      </c>
      <c r="J619" s="560">
        <v>1</v>
      </c>
      <c r="K619" s="560">
        <v>8</v>
      </c>
      <c r="L619" s="561">
        <v>2067</v>
      </c>
      <c r="M619" s="677">
        <v>196</v>
      </c>
      <c r="N619" s="678">
        <v>1034811</v>
      </c>
      <c r="O619" s="679">
        <v>87128</v>
      </c>
      <c r="P619" s="515">
        <f t="shared" si="16"/>
        <v>11.876905242861078</v>
      </c>
      <c r="Q619" s="516">
        <v>41306</v>
      </c>
    </row>
    <row r="620" spans="1:17" ht="11.25">
      <c r="A620" s="453">
        <v>619</v>
      </c>
      <c r="B620" s="497"/>
      <c r="C620" s="520" t="s">
        <v>401</v>
      </c>
      <c r="D620" s="491" t="s">
        <v>402</v>
      </c>
      <c r="E620" s="491" t="s">
        <v>403</v>
      </c>
      <c r="F620" s="491" t="s">
        <v>404</v>
      </c>
      <c r="G620" s="495">
        <v>41145</v>
      </c>
      <c r="H620" s="499" t="s">
        <v>46</v>
      </c>
      <c r="I620" s="509">
        <v>10</v>
      </c>
      <c r="J620" s="640">
        <v>1</v>
      </c>
      <c r="K620" s="640">
        <v>16</v>
      </c>
      <c r="L620" s="554">
        <v>285</v>
      </c>
      <c r="M620" s="555">
        <v>55</v>
      </c>
      <c r="N620" s="438">
        <v>69716.16</v>
      </c>
      <c r="O620" s="439">
        <v>9302</v>
      </c>
      <c r="P620" s="512">
        <f t="shared" si="16"/>
        <v>7.494749516233068</v>
      </c>
      <c r="Q620" s="513">
        <v>41285</v>
      </c>
    </row>
    <row r="621" spans="1:17" ht="11.25">
      <c r="A621" s="453">
        <v>620</v>
      </c>
      <c r="B621" s="497"/>
      <c r="C621" s="520" t="s">
        <v>401</v>
      </c>
      <c r="D621" s="491" t="s">
        <v>402</v>
      </c>
      <c r="E621" s="491" t="s">
        <v>403</v>
      </c>
      <c r="F621" s="491" t="s">
        <v>404</v>
      </c>
      <c r="G621" s="495">
        <v>41145</v>
      </c>
      <c r="H621" s="499" t="s">
        <v>46</v>
      </c>
      <c r="I621" s="509">
        <v>10</v>
      </c>
      <c r="J621" s="647">
        <v>1</v>
      </c>
      <c r="K621" s="647">
        <v>15</v>
      </c>
      <c r="L621" s="554">
        <v>239</v>
      </c>
      <c r="M621" s="555">
        <v>43</v>
      </c>
      <c r="N621" s="646">
        <v>69431.16</v>
      </c>
      <c r="O621" s="645">
        <v>9247</v>
      </c>
      <c r="P621" s="512">
        <f t="shared" si="16"/>
        <v>7.508506542662485</v>
      </c>
      <c r="Q621" s="513">
        <v>41278</v>
      </c>
    </row>
    <row r="622" spans="1:17" ht="11.25">
      <c r="A622" s="453">
        <v>621</v>
      </c>
      <c r="B622" s="497" t="s">
        <v>48</v>
      </c>
      <c r="C622" s="518" t="s">
        <v>532</v>
      </c>
      <c r="D622" s="506" t="s">
        <v>533</v>
      </c>
      <c r="E622" s="500"/>
      <c r="F622" s="525" t="s">
        <v>532</v>
      </c>
      <c r="G622" s="526">
        <v>41243</v>
      </c>
      <c r="H622" s="499" t="s">
        <v>59</v>
      </c>
      <c r="I622" s="506">
        <v>10</v>
      </c>
      <c r="J622" s="506">
        <v>1</v>
      </c>
      <c r="K622" s="506">
        <v>13</v>
      </c>
      <c r="L622" s="510">
        <v>4158</v>
      </c>
      <c r="M622" s="514">
        <v>832</v>
      </c>
      <c r="N622" s="535">
        <f>49848+41364+13475+9515+3093+851.5+294+3194+112+2397.4+1503.5+579+4158</f>
        <v>130384.4</v>
      </c>
      <c r="O622" s="547">
        <f>5213+4386+1786+1657+400+97+141+888+16+315+222+93+832</f>
        <v>16046</v>
      </c>
      <c r="P622" s="515">
        <f t="shared" si="16"/>
        <v>8.12566371681416</v>
      </c>
      <c r="Q622" s="516">
        <v>41397</v>
      </c>
    </row>
    <row r="623" spans="1:17" ht="11.25">
      <c r="A623" s="453">
        <v>622</v>
      </c>
      <c r="B623" s="497" t="s">
        <v>48</v>
      </c>
      <c r="C623" s="518" t="s">
        <v>532</v>
      </c>
      <c r="D623" s="524" t="s">
        <v>533</v>
      </c>
      <c r="E623" s="490"/>
      <c r="F623" s="494" t="s">
        <v>532</v>
      </c>
      <c r="G623" s="493">
        <v>41243</v>
      </c>
      <c r="H623" s="499" t="s">
        <v>59</v>
      </c>
      <c r="I623" s="509">
        <v>10</v>
      </c>
      <c r="J623" s="666">
        <v>2</v>
      </c>
      <c r="K623" s="666">
        <v>8</v>
      </c>
      <c r="L623" s="529">
        <v>3194</v>
      </c>
      <c r="M623" s="514">
        <v>888</v>
      </c>
      <c r="N623" s="539">
        <f>49848+41364+13475+9515+3093+851.5+294+3194</f>
        <v>121634.5</v>
      </c>
      <c r="O623" s="545">
        <f>5213+4386+1786+1657+400+97+141+888</f>
        <v>14568</v>
      </c>
      <c r="P623" s="512">
        <f t="shared" si="16"/>
        <v>8.349430258099945</v>
      </c>
      <c r="Q623" s="513">
        <v>41292</v>
      </c>
    </row>
    <row r="624" spans="1:17" ht="11.25">
      <c r="A624" s="453">
        <v>623</v>
      </c>
      <c r="B624" s="497" t="s">
        <v>48</v>
      </c>
      <c r="C624" s="518" t="s">
        <v>532</v>
      </c>
      <c r="D624" s="506" t="s">
        <v>533</v>
      </c>
      <c r="E624" s="500"/>
      <c r="F624" s="525" t="s">
        <v>532</v>
      </c>
      <c r="G624" s="526">
        <v>41243</v>
      </c>
      <c r="H624" s="499" t="s">
        <v>59</v>
      </c>
      <c r="I624" s="509">
        <v>10</v>
      </c>
      <c r="J624" s="684">
        <v>3</v>
      </c>
      <c r="K624" s="684">
        <v>10</v>
      </c>
      <c r="L624" s="529">
        <v>2397.4</v>
      </c>
      <c r="M624" s="514">
        <v>315</v>
      </c>
      <c r="N624" s="438">
        <v>123002</v>
      </c>
      <c r="O624" s="547">
        <v>14733</v>
      </c>
      <c r="P624" s="515">
        <f t="shared" si="16"/>
        <v>8.34874092174031</v>
      </c>
      <c r="Q624" s="516">
        <v>41355</v>
      </c>
    </row>
    <row r="625" spans="1:17" ht="11.25">
      <c r="A625" s="453">
        <v>624</v>
      </c>
      <c r="B625" s="497" t="s">
        <v>48</v>
      </c>
      <c r="C625" s="518" t="s">
        <v>532</v>
      </c>
      <c r="D625" s="506" t="s">
        <v>533</v>
      </c>
      <c r="E625" s="500"/>
      <c r="F625" s="525" t="s">
        <v>532</v>
      </c>
      <c r="G625" s="526">
        <v>41243</v>
      </c>
      <c r="H625" s="499" t="s">
        <v>59</v>
      </c>
      <c r="I625" s="509">
        <v>10</v>
      </c>
      <c r="J625" s="509">
        <v>4</v>
      </c>
      <c r="K625" s="509">
        <v>11</v>
      </c>
      <c r="L625" s="510">
        <v>1503.5</v>
      </c>
      <c r="M625" s="511">
        <v>222</v>
      </c>
      <c r="N625" s="535">
        <f>49848+41364+13475+9515+3093+851.5+294+3194+112+2397.4+1503.5</f>
        <v>125647.4</v>
      </c>
      <c r="O625" s="542">
        <f>5213+4386+1786+1657+400+97+141+888+16+315+222</f>
        <v>15121</v>
      </c>
      <c r="P625" s="512">
        <f t="shared" si="16"/>
        <v>8.30946365981086</v>
      </c>
      <c r="Q625" s="513">
        <v>41362</v>
      </c>
    </row>
    <row r="626" spans="1:17" ht="11.25">
      <c r="A626" s="453">
        <v>625</v>
      </c>
      <c r="B626" s="497" t="s">
        <v>48</v>
      </c>
      <c r="C626" s="518" t="s">
        <v>532</v>
      </c>
      <c r="D626" s="524" t="s">
        <v>533</v>
      </c>
      <c r="E626" s="490"/>
      <c r="F626" s="494" t="s">
        <v>532</v>
      </c>
      <c r="G626" s="493">
        <v>41243</v>
      </c>
      <c r="H626" s="499" t="s">
        <v>59</v>
      </c>
      <c r="I626" s="509">
        <v>10</v>
      </c>
      <c r="J626" s="575">
        <v>3</v>
      </c>
      <c r="K626" s="575">
        <v>6</v>
      </c>
      <c r="L626" s="529">
        <v>851.5</v>
      </c>
      <c r="M626" s="514">
        <v>97</v>
      </c>
      <c r="N626" s="535">
        <f>49848+41364+13475+9515+3093+851.5</f>
        <v>118146.5</v>
      </c>
      <c r="O626" s="542">
        <f>5213+4386+1786+1657+400+97</f>
        <v>13539</v>
      </c>
      <c r="P626" s="512">
        <f t="shared" si="16"/>
        <v>8.726383041583574</v>
      </c>
      <c r="Q626" s="513">
        <v>41278</v>
      </c>
    </row>
    <row r="627" spans="1:17" ht="11.25">
      <c r="A627" s="453">
        <v>626</v>
      </c>
      <c r="B627" s="497" t="s">
        <v>48</v>
      </c>
      <c r="C627" s="518" t="s">
        <v>532</v>
      </c>
      <c r="D627" s="506" t="s">
        <v>533</v>
      </c>
      <c r="E627" s="500"/>
      <c r="F627" s="525" t="s">
        <v>532</v>
      </c>
      <c r="G627" s="526">
        <v>41243</v>
      </c>
      <c r="H627" s="499" t="s">
        <v>59</v>
      </c>
      <c r="I627" s="509">
        <v>10</v>
      </c>
      <c r="J627" s="666">
        <v>3</v>
      </c>
      <c r="K627" s="666">
        <v>12</v>
      </c>
      <c r="L627" s="510">
        <v>579</v>
      </c>
      <c r="M627" s="511">
        <v>93</v>
      </c>
      <c r="N627" s="535">
        <f>49848+41364+13475+9515+3093+851.5+294+3194+112+2397.4+1503.5+579</f>
        <v>126226.4</v>
      </c>
      <c r="O627" s="542">
        <f>5213+4386+1786+1657+400+97+141+888+16+315+222+93</f>
        <v>15214</v>
      </c>
      <c r="P627" s="512">
        <f t="shared" si="16"/>
        <v>8.29672669909294</v>
      </c>
      <c r="Q627" s="513">
        <v>41369</v>
      </c>
    </row>
    <row r="628" spans="1:17" ht="11.25">
      <c r="A628" s="453">
        <v>627</v>
      </c>
      <c r="B628" s="497" t="s">
        <v>48</v>
      </c>
      <c r="C628" s="518" t="s">
        <v>532</v>
      </c>
      <c r="D628" s="524" t="s">
        <v>533</v>
      </c>
      <c r="E628" s="490"/>
      <c r="F628" s="494" t="s">
        <v>532</v>
      </c>
      <c r="G628" s="493">
        <v>41243</v>
      </c>
      <c r="H628" s="499" t="s">
        <v>59</v>
      </c>
      <c r="I628" s="509">
        <v>10</v>
      </c>
      <c r="J628" s="509">
        <v>1</v>
      </c>
      <c r="K628" s="509">
        <v>7</v>
      </c>
      <c r="L628" s="529">
        <v>294</v>
      </c>
      <c r="M628" s="514">
        <v>141</v>
      </c>
      <c r="N628" s="541">
        <f>49848+41364+13475+9515+3093+851.5+294</f>
        <v>118440.5</v>
      </c>
      <c r="O628" s="547">
        <f>5213+4386+1786+1657+400+97+141</f>
        <v>13680</v>
      </c>
      <c r="P628" s="512">
        <f t="shared" si="16"/>
        <v>8.657931286549708</v>
      </c>
      <c r="Q628" s="513">
        <v>41285</v>
      </c>
    </row>
    <row r="629" spans="1:17" ht="11.25">
      <c r="A629" s="453">
        <v>628</v>
      </c>
      <c r="B629" s="497" t="s">
        <v>48</v>
      </c>
      <c r="C629" s="518" t="s">
        <v>532</v>
      </c>
      <c r="D629" s="524" t="s">
        <v>533</v>
      </c>
      <c r="E629" s="490"/>
      <c r="F629" s="494" t="s">
        <v>532</v>
      </c>
      <c r="G629" s="493">
        <v>41243</v>
      </c>
      <c r="H629" s="499" t="s">
        <v>59</v>
      </c>
      <c r="I629" s="509">
        <v>10</v>
      </c>
      <c r="J629" s="509">
        <v>1</v>
      </c>
      <c r="K629" s="509">
        <v>9</v>
      </c>
      <c r="L629" s="529">
        <v>112</v>
      </c>
      <c r="M629" s="514">
        <v>16</v>
      </c>
      <c r="N629" s="541">
        <f>49848+41364+13475+9515+3093+851.5+294+3194+112</f>
        <v>121746.5</v>
      </c>
      <c r="O629" s="547">
        <f>5213+4386+1786+1657+400+97+141+888+16</f>
        <v>14584</v>
      </c>
      <c r="P629" s="512">
        <f t="shared" si="16"/>
        <v>8.347949808008776</v>
      </c>
      <c r="Q629" s="513">
        <v>41299</v>
      </c>
    </row>
    <row r="630" spans="1:17" ht="11.25">
      <c r="A630" s="453">
        <v>629</v>
      </c>
      <c r="B630" s="497"/>
      <c r="C630" s="518" t="s">
        <v>491</v>
      </c>
      <c r="D630" s="506" t="s">
        <v>266</v>
      </c>
      <c r="E630" s="500" t="s">
        <v>73</v>
      </c>
      <c r="F630" s="519" t="s">
        <v>492</v>
      </c>
      <c r="G630" s="493">
        <v>41215</v>
      </c>
      <c r="H630" s="499" t="s">
        <v>10</v>
      </c>
      <c r="I630" s="509">
        <v>151</v>
      </c>
      <c r="J630" s="391">
        <v>2</v>
      </c>
      <c r="K630" s="391">
        <v>19</v>
      </c>
      <c r="L630" s="558">
        <v>5950</v>
      </c>
      <c r="M630" s="559">
        <v>1190</v>
      </c>
      <c r="N630" s="440">
        <v>7042175</v>
      </c>
      <c r="O630" s="441">
        <v>634459</v>
      </c>
      <c r="P630" s="515">
        <f t="shared" si="16"/>
        <v>11.09949579090217</v>
      </c>
      <c r="Q630" s="516">
        <v>41474</v>
      </c>
    </row>
    <row r="631" spans="1:17" ht="11.25">
      <c r="A631" s="453">
        <v>630</v>
      </c>
      <c r="B631" s="497"/>
      <c r="C631" s="518" t="s">
        <v>491</v>
      </c>
      <c r="D631" s="506" t="s">
        <v>266</v>
      </c>
      <c r="E631" s="500" t="s">
        <v>73</v>
      </c>
      <c r="F631" s="519" t="s">
        <v>492</v>
      </c>
      <c r="G631" s="493">
        <v>41215</v>
      </c>
      <c r="H631" s="499" t="s">
        <v>10</v>
      </c>
      <c r="I631" s="509">
        <v>151</v>
      </c>
      <c r="J631" s="391">
        <v>1</v>
      </c>
      <c r="K631" s="391">
        <v>20</v>
      </c>
      <c r="L631" s="503">
        <v>5950</v>
      </c>
      <c r="M631" s="504">
        <v>1190</v>
      </c>
      <c r="N631" s="538">
        <f>7042175+5950</f>
        <v>7048125</v>
      </c>
      <c r="O631" s="544">
        <f>634459+1190</f>
        <v>635649</v>
      </c>
      <c r="P631" s="512">
        <f t="shared" si="16"/>
        <v>11.088076910370345</v>
      </c>
      <c r="Q631" s="513">
        <v>41481</v>
      </c>
    </row>
    <row r="632" spans="1:17" ht="11.25">
      <c r="A632" s="453">
        <v>631</v>
      </c>
      <c r="B632" s="497"/>
      <c r="C632" s="518" t="s">
        <v>491</v>
      </c>
      <c r="D632" s="492" t="s">
        <v>266</v>
      </c>
      <c r="E632" s="490" t="s">
        <v>73</v>
      </c>
      <c r="F632" s="392" t="s">
        <v>492</v>
      </c>
      <c r="G632" s="493">
        <v>41215</v>
      </c>
      <c r="H632" s="499" t="s">
        <v>10</v>
      </c>
      <c r="I632" s="509">
        <v>151</v>
      </c>
      <c r="J632" s="391">
        <v>6</v>
      </c>
      <c r="K632" s="391">
        <v>10</v>
      </c>
      <c r="L632" s="529">
        <v>2982</v>
      </c>
      <c r="M632" s="514">
        <v>453</v>
      </c>
      <c r="N632" s="535">
        <v>7020047</v>
      </c>
      <c r="O632" s="542">
        <v>629574</v>
      </c>
      <c r="P632" s="512">
        <f t="shared" si="16"/>
        <v>11.150471588725074</v>
      </c>
      <c r="Q632" s="513">
        <v>41278</v>
      </c>
    </row>
    <row r="633" spans="1:17" ht="11.25">
      <c r="A633" s="453">
        <v>632</v>
      </c>
      <c r="B633" s="497"/>
      <c r="C633" s="518" t="s">
        <v>491</v>
      </c>
      <c r="D633" s="492" t="s">
        <v>266</v>
      </c>
      <c r="E633" s="490" t="s">
        <v>73</v>
      </c>
      <c r="F633" s="392" t="s">
        <v>492</v>
      </c>
      <c r="G633" s="493">
        <v>41215</v>
      </c>
      <c r="H633" s="499" t="s">
        <v>10</v>
      </c>
      <c r="I633" s="509">
        <v>151</v>
      </c>
      <c r="J633" s="391">
        <v>1</v>
      </c>
      <c r="K633" s="391">
        <v>12</v>
      </c>
      <c r="L633" s="510">
        <v>2976</v>
      </c>
      <c r="M633" s="511">
        <v>744</v>
      </c>
      <c r="N633" s="535">
        <v>7023449</v>
      </c>
      <c r="O633" s="542">
        <v>630396</v>
      </c>
      <c r="P633" s="512">
        <f t="shared" si="16"/>
        <v>11.141328625181632</v>
      </c>
      <c r="Q633" s="513">
        <v>41299</v>
      </c>
    </row>
    <row r="634" spans="1:17" ht="11.25">
      <c r="A634" s="453">
        <v>633</v>
      </c>
      <c r="B634" s="497"/>
      <c r="C634" s="518" t="s">
        <v>491</v>
      </c>
      <c r="D634" s="506" t="s">
        <v>266</v>
      </c>
      <c r="E634" s="500" t="s">
        <v>73</v>
      </c>
      <c r="F634" s="519" t="s">
        <v>492</v>
      </c>
      <c r="G634" s="526">
        <v>41215</v>
      </c>
      <c r="H634" s="499" t="s">
        <v>10</v>
      </c>
      <c r="I634" s="509">
        <v>151</v>
      </c>
      <c r="J634" s="391">
        <v>1</v>
      </c>
      <c r="K634" s="391">
        <v>15</v>
      </c>
      <c r="L634" s="658">
        <v>2976</v>
      </c>
      <c r="M634" s="659">
        <v>744</v>
      </c>
      <c r="N634" s="660">
        <v>7031780</v>
      </c>
      <c r="O634" s="661">
        <v>632211</v>
      </c>
      <c r="P634" s="512">
        <f t="shared" si="16"/>
        <v>11.122520803972092</v>
      </c>
      <c r="Q634" s="513">
        <v>41348</v>
      </c>
    </row>
    <row r="635" spans="1:17" ht="11.25">
      <c r="A635" s="453">
        <v>634</v>
      </c>
      <c r="B635" s="497"/>
      <c r="C635" s="518" t="s">
        <v>491</v>
      </c>
      <c r="D635" s="492" t="s">
        <v>266</v>
      </c>
      <c r="E635" s="490" t="s">
        <v>73</v>
      </c>
      <c r="F635" s="392" t="s">
        <v>492</v>
      </c>
      <c r="G635" s="526">
        <v>41215</v>
      </c>
      <c r="H635" s="499" t="s">
        <v>10</v>
      </c>
      <c r="I635" s="509">
        <v>151</v>
      </c>
      <c r="J635" s="391">
        <v>1</v>
      </c>
      <c r="K635" s="391">
        <v>13</v>
      </c>
      <c r="L635" s="510">
        <v>2975</v>
      </c>
      <c r="M635" s="514">
        <v>595</v>
      </c>
      <c r="N635" s="535">
        <f>7023449+2975</f>
        <v>7026424</v>
      </c>
      <c r="O635" s="547">
        <f>630396+595</f>
        <v>630991</v>
      </c>
      <c r="P635" s="515">
        <f t="shared" si="16"/>
        <v>11.135537590868966</v>
      </c>
      <c r="Q635" s="516">
        <v>41313</v>
      </c>
    </row>
    <row r="636" spans="1:17" ht="11.25">
      <c r="A636" s="453">
        <v>635</v>
      </c>
      <c r="B636" s="497"/>
      <c r="C636" s="518" t="s">
        <v>491</v>
      </c>
      <c r="D636" s="506" t="s">
        <v>266</v>
      </c>
      <c r="E636" s="500" t="s">
        <v>73</v>
      </c>
      <c r="F636" s="519" t="s">
        <v>492</v>
      </c>
      <c r="G636" s="526">
        <v>41215</v>
      </c>
      <c r="H636" s="499" t="s">
        <v>10</v>
      </c>
      <c r="I636" s="509">
        <v>151</v>
      </c>
      <c r="J636" s="391">
        <v>2</v>
      </c>
      <c r="K636" s="391">
        <v>18</v>
      </c>
      <c r="L636" s="503">
        <v>2975</v>
      </c>
      <c r="M636" s="504">
        <v>624</v>
      </c>
      <c r="N636" s="538">
        <v>7036225</v>
      </c>
      <c r="O636" s="544">
        <v>633269</v>
      </c>
      <c r="P636" s="512">
        <f t="shared" si="16"/>
        <v>11.110957586744338</v>
      </c>
      <c r="Q636" s="513">
        <v>41467</v>
      </c>
    </row>
    <row r="637" spans="1:17" ht="11.25">
      <c r="A637" s="453">
        <v>636</v>
      </c>
      <c r="B637" s="497"/>
      <c r="C637" s="518" t="s">
        <v>491</v>
      </c>
      <c r="D637" s="506" t="s">
        <v>266</v>
      </c>
      <c r="E637" s="500" t="s">
        <v>73</v>
      </c>
      <c r="F637" s="519" t="s">
        <v>492</v>
      </c>
      <c r="G637" s="526">
        <v>41215</v>
      </c>
      <c r="H637" s="499" t="s">
        <v>10</v>
      </c>
      <c r="I637" s="509">
        <v>151</v>
      </c>
      <c r="J637" s="391">
        <v>1</v>
      </c>
      <c r="K637" s="391">
        <v>14</v>
      </c>
      <c r="L637" s="510">
        <v>2380</v>
      </c>
      <c r="M637" s="511">
        <v>476</v>
      </c>
      <c r="N637" s="535">
        <v>7028804</v>
      </c>
      <c r="O637" s="542">
        <v>631467</v>
      </c>
      <c r="P637" s="512">
        <f t="shared" si="16"/>
        <v>11.130912620928726</v>
      </c>
      <c r="Q637" s="513">
        <v>41341</v>
      </c>
    </row>
    <row r="638" spans="1:17" ht="11.25">
      <c r="A638" s="453">
        <v>637</v>
      </c>
      <c r="B638" s="497"/>
      <c r="C638" s="518" t="s">
        <v>491</v>
      </c>
      <c r="D638" s="506" t="s">
        <v>266</v>
      </c>
      <c r="E638" s="500" t="s">
        <v>73</v>
      </c>
      <c r="F638" s="519" t="s">
        <v>492</v>
      </c>
      <c r="G638" s="526">
        <v>41215</v>
      </c>
      <c r="H638" s="499" t="s">
        <v>10</v>
      </c>
      <c r="I638" s="509">
        <v>151</v>
      </c>
      <c r="J638" s="391">
        <v>1</v>
      </c>
      <c r="K638" s="391">
        <v>16</v>
      </c>
      <c r="L638" s="658">
        <v>875</v>
      </c>
      <c r="M638" s="659">
        <v>315</v>
      </c>
      <c r="N638" s="660">
        <v>7032655</v>
      </c>
      <c r="O638" s="661">
        <v>632526</v>
      </c>
      <c r="P638" s="512">
        <f t="shared" si="16"/>
        <v>11.118365094873571</v>
      </c>
      <c r="Q638" s="513">
        <v>41362</v>
      </c>
    </row>
    <row r="639" spans="1:17" ht="11.25">
      <c r="A639" s="453">
        <v>638</v>
      </c>
      <c r="B639" s="497"/>
      <c r="C639" s="518" t="s">
        <v>491</v>
      </c>
      <c r="D639" s="506" t="s">
        <v>266</v>
      </c>
      <c r="E639" s="500" t="s">
        <v>73</v>
      </c>
      <c r="F639" s="519" t="s">
        <v>492</v>
      </c>
      <c r="G639" s="526">
        <v>41215</v>
      </c>
      <c r="H639" s="499" t="s">
        <v>10</v>
      </c>
      <c r="I639" s="509">
        <v>151</v>
      </c>
      <c r="J639" s="391">
        <v>1</v>
      </c>
      <c r="K639" s="391">
        <v>17</v>
      </c>
      <c r="L639" s="503">
        <v>595</v>
      </c>
      <c r="M639" s="504">
        <v>119</v>
      </c>
      <c r="N639" s="538">
        <v>7033250</v>
      </c>
      <c r="O639" s="544">
        <v>632645</v>
      </c>
      <c r="P639" s="512">
        <f t="shared" si="16"/>
        <v>11.11721423547171</v>
      </c>
      <c r="Q639" s="513">
        <v>41460</v>
      </c>
    </row>
    <row r="640" spans="1:17" ht="11.25">
      <c r="A640" s="453">
        <v>639</v>
      </c>
      <c r="B640" s="497"/>
      <c r="C640" s="518" t="s">
        <v>491</v>
      </c>
      <c r="D640" s="492" t="s">
        <v>266</v>
      </c>
      <c r="E640" s="490" t="s">
        <v>73</v>
      </c>
      <c r="F640" s="392" t="s">
        <v>492</v>
      </c>
      <c r="G640" s="493">
        <v>41215</v>
      </c>
      <c r="H640" s="499" t="s">
        <v>10</v>
      </c>
      <c r="I640" s="509">
        <v>151</v>
      </c>
      <c r="J640" s="391">
        <v>2</v>
      </c>
      <c r="K640" s="391">
        <v>11</v>
      </c>
      <c r="L640" s="529">
        <v>426</v>
      </c>
      <c r="M640" s="514">
        <v>78</v>
      </c>
      <c r="N640" s="541">
        <v>7020473</v>
      </c>
      <c r="O640" s="547">
        <v>629652</v>
      </c>
      <c r="P640" s="512">
        <f t="shared" si="16"/>
        <v>11.149766855342316</v>
      </c>
      <c r="Q640" s="513">
        <v>41285</v>
      </c>
    </row>
    <row r="641" spans="1:17" ht="11.25">
      <c r="A641" s="453">
        <v>640</v>
      </c>
      <c r="B641" s="497"/>
      <c r="C641" s="518" t="s">
        <v>326</v>
      </c>
      <c r="D641" s="492" t="s">
        <v>66</v>
      </c>
      <c r="E641" s="490" t="s">
        <v>72</v>
      </c>
      <c r="F641" s="494" t="s">
        <v>280</v>
      </c>
      <c r="G641" s="526">
        <v>41061</v>
      </c>
      <c r="H641" s="499" t="s">
        <v>12</v>
      </c>
      <c r="I641" s="509">
        <v>144</v>
      </c>
      <c r="J641" s="509">
        <v>1</v>
      </c>
      <c r="K641" s="509">
        <v>37</v>
      </c>
      <c r="L641" s="531">
        <v>2387</v>
      </c>
      <c r="M641" s="555">
        <v>399</v>
      </c>
      <c r="N641" s="550">
        <v>3842143</v>
      </c>
      <c r="O641" s="439">
        <v>412298</v>
      </c>
      <c r="P641" s="515">
        <f t="shared" si="16"/>
        <v>9.318849472954028</v>
      </c>
      <c r="Q641" s="516">
        <v>41313</v>
      </c>
    </row>
    <row r="642" spans="1:17" ht="11.25">
      <c r="A642" s="453">
        <v>641</v>
      </c>
      <c r="B642" s="498"/>
      <c r="C642" s="520" t="s">
        <v>412</v>
      </c>
      <c r="D642" s="500" t="s">
        <v>414</v>
      </c>
      <c r="E642" s="506" t="s">
        <v>81</v>
      </c>
      <c r="F642" s="560" t="s">
        <v>413</v>
      </c>
      <c r="G642" s="508">
        <v>41152</v>
      </c>
      <c r="H642" s="499" t="s">
        <v>59</v>
      </c>
      <c r="I642" s="556">
        <v>17</v>
      </c>
      <c r="J642" s="517">
        <v>1</v>
      </c>
      <c r="K642" s="517">
        <v>20</v>
      </c>
      <c r="L642" s="529">
        <v>1138.5</v>
      </c>
      <c r="M642" s="514">
        <v>155</v>
      </c>
      <c r="N642" s="541">
        <f>50468.34+32249.64+21173.92+26776.5+16326.5+20220.5+15720.07+11211.85+50388.5+4659+8572+2290+1682+3472+1735.4+418+3682+11404.5+1006+1138.5</f>
        <v>284595.22000000003</v>
      </c>
      <c r="O642" s="547">
        <f>5441+3513+2329+3422+2112+2584+2123+1573+6155+604+1320+491+274+537+273+58+546+1519+141+155</f>
        <v>35170</v>
      </c>
      <c r="P642" s="515">
        <f t="shared" si="16"/>
        <v>8.091988058003981</v>
      </c>
      <c r="Q642" s="516">
        <v>41383</v>
      </c>
    </row>
    <row r="643" spans="1:17" ht="11.25">
      <c r="A643" s="453">
        <v>642</v>
      </c>
      <c r="B643" s="498"/>
      <c r="C643" s="520" t="s">
        <v>412</v>
      </c>
      <c r="D643" s="490" t="s">
        <v>414</v>
      </c>
      <c r="E643" s="492" t="s">
        <v>81</v>
      </c>
      <c r="F643" s="496" t="s">
        <v>413</v>
      </c>
      <c r="G643" s="495">
        <v>41152</v>
      </c>
      <c r="H643" s="499" t="s">
        <v>59</v>
      </c>
      <c r="I643" s="556">
        <v>17</v>
      </c>
      <c r="J643" s="509">
        <v>3</v>
      </c>
      <c r="K643" s="509">
        <v>14</v>
      </c>
      <c r="L643" s="529">
        <v>1006</v>
      </c>
      <c r="M643" s="514">
        <v>141</v>
      </c>
      <c r="N643" s="535">
        <f>50468.34+32249.64+21173.92+26776.5+16326.5+20220.5+15720.07+11211.85+50388.5+4659+8572+2290+1682+3472+1735.4+418+3682+11404.5+1006</f>
        <v>283456.72000000003</v>
      </c>
      <c r="O643" s="542">
        <f>5441+3513+2329+3422+2112+2584+2123+1573+6155+604+1320+491+274+537+273+58+546+1519+141</f>
        <v>35015</v>
      </c>
      <c r="P643" s="512">
        <f t="shared" si="16"/>
        <v>8.095294016849921</v>
      </c>
      <c r="Q643" s="513">
        <v>41278</v>
      </c>
    </row>
    <row r="644" spans="1:17" ht="11.25">
      <c r="A644" s="453">
        <v>643</v>
      </c>
      <c r="B644" s="498"/>
      <c r="C644" s="520" t="s">
        <v>412</v>
      </c>
      <c r="D644" s="500" t="s">
        <v>414</v>
      </c>
      <c r="E644" s="506" t="s">
        <v>81</v>
      </c>
      <c r="F644" s="560" t="s">
        <v>413</v>
      </c>
      <c r="G644" s="508">
        <v>41152</v>
      </c>
      <c r="H644" s="499" t="s">
        <v>59</v>
      </c>
      <c r="I644" s="556">
        <v>17</v>
      </c>
      <c r="J644" s="509">
        <v>1</v>
      </c>
      <c r="K644" s="509">
        <v>21</v>
      </c>
      <c r="L644" s="510">
        <v>631.5</v>
      </c>
      <c r="M644" s="511">
        <v>94</v>
      </c>
      <c r="N644" s="535">
        <f>50468.34+32249.64+21173.92+26776.5+16326.5+20220.5+15720.07+11211.85+50388.5+4659+8572+2290+1682+3472+1735.4+418+3682+11404.5+1006+1138.5+631.5</f>
        <v>285226.72000000003</v>
      </c>
      <c r="O644" s="542">
        <f>5441+3513+2329+3422+2112+2584+2123+1573+6155+604+1320+491+274+537+273+58+546+1519+141+155+94</f>
        <v>35264</v>
      </c>
      <c r="P644" s="512">
        <f t="shared" si="16"/>
        <v>8.088325771324865</v>
      </c>
      <c r="Q644" s="513">
        <v>41390</v>
      </c>
    </row>
    <row r="645" spans="1:17" ht="11.25">
      <c r="A645" s="453">
        <v>644</v>
      </c>
      <c r="B645" s="498"/>
      <c r="C645" s="520" t="s">
        <v>740</v>
      </c>
      <c r="D645" s="500" t="s">
        <v>739</v>
      </c>
      <c r="E645" s="506" t="s">
        <v>69</v>
      </c>
      <c r="F645" s="560" t="s">
        <v>738</v>
      </c>
      <c r="G645" s="508">
        <v>39927</v>
      </c>
      <c r="H645" s="499" t="s">
        <v>59</v>
      </c>
      <c r="I645" s="556">
        <v>40</v>
      </c>
      <c r="J645" s="517">
        <v>1</v>
      </c>
      <c r="K645" s="517">
        <v>58</v>
      </c>
      <c r="L645" s="529">
        <v>3325</v>
      </c>
      <c r="M645" s="514">
        <v>665</v>
      </c>
      <c r="N645" s="541">
        <f>35864.5+53058.5+35303.5+15734.5+12778.5+9687.5+8045+13953.5+10307+6140.75+1296+667+231+755+1970+2246+752.5+591.5+130+445+2051+750+1477+2060+1816+47+72+84+378+2301+1280+700+256+1780+92+200+187+6592.5+2601.5+325.5+274.5+250.5+1365+122.5+3435+71.5+299+201.5+277+84.5+3065.5+890.5+45.5+13+13+449+592+1424+3325</f>
        <v>251206.25</v>
      </c>
      <c r="O645" s="547">
        <f>3971+5771+3969+2398+2257+2131+1634+2509+1783+912+230+126+48+181+472+311+114+91+20+78+493+183+365+462+452+9+24+28+94+494+182+115+64+445+35+80+73+1697+671+84+61+68+336+35+599+11+46+31+42+13+757+149+7+2+2+127+148+356+665</f>
        <v>38511</v>
      </c>
      <c r="P645" s="515">
        <f t="shared" si="16"/>
        <v>6.522973955493236</v>
      </c>
      <c r="Q645" s="516">
        <v>41355</v>
      </c>
    </row>
    <row r="646" spans="1:17" ht="11.25">
      <c r="A646" s="453">
        <v>645</v>
      </c>
      <c r="B646" s="498"/>
      <c r="C646" s="520" t="s">
        <v>740</v>
      </c>
      <c r="D646" s="500" t="s">
        <v>739</v>
      </c>
      <c r="E646" s="506" t="s">
        <v>69</v>
      </c>
      <c r="F646" s="560" t="s">
        <v>738</v>
      </c>
      <c r="G646" s="508">
        <v>39927</v>
      </c>
      <c r="H646" s="499" t="s">
        <v>59</v>
      </c>
      <c r="I646" s="556">
        <v>40</v>
      </c>
      <c r="J646" s="517">
        <v>1</v>
      </c>
      <c r="K646" s="517">
        <v>59</v>
      </c>
      <c r="L646" s="529">
        <v>3325</v>
      </c>
      <c r="M646" s="514">
        <v>665</v>
      </c>
      <c r="N646" s="541">
        <f>35864.5+53058.5+35303.5+15734.5+12778.5+9687.5+8045+13953.5+10307+6140.75+1296+667+231+755+1970+2246+752.5+591.5+130+445+2051+750+1477+2060+1816+47+72+84+378+2301+1280+700+256+1780+92+200+187+6592.5+2601.5+325.5+274.5+250.5+1365+122.5+3435+71.5+299+201.5+277+84.5+3065.5+890.5+45.5+13+13+449+592+1424+3325+3325</f>
        <v>254531.25</v>
      </c>
      <c r="O646" s="547">
        <f>3971+5771+3969+2398+2257+2131+1634+2509+1783+912+230+126+48+181+472+311+114+91+20+78+493+183+365+462+452+9+24+28+94+494+182+115+64+445+35+80+73+1697+671+84+61+68+336+35+599+11+46+31+42+13+757+149+7+2+2+127+148+356+665+665</f>
        <v>39176</v>
      </c>
      <c r="P646" s="515">
        <f t="shared" si="16"/>
        <v>6.497121962425975</v>
      </c>
      <c r="Q646" s="516">
        <v>41376</v>
      </c>
    </row>
    <row r="647" spans="1:17" ht="11.25">
      <c r="A647" s="453">
        <v>646</v>
      </c>
      <c r="B647" s="497"/>
      <c r="C647" s="518" t="s">
        <v>461</v>
      </c>
      <c r="D647" s="492" t="s">
        <v>80</v>
      </c>
      <c r="E647" s="490" t="s">
        <v>69</v>
      </c>
      <c r="F647" s="494" t="s">
        <v>462</v>
      </c>
      <c r="G647" s="526">
        <v>41187</v>
      </c>
      <c r="H647" s="499" t="s">
        <v>59</v>
      </c>
      <c r="I647" s="509">
        <v>77</v>
      </c>
      <c r="J647" s="601">
        <v>1</v>
      </c>
      <c r="K647" s="601">
        <v>13</v>
      </c>
      <c r="L647" s="510">
        <v>1782</v>
      </c>
      <c r="M647" s="511">
        <v>356</v>
      </c>
      <c r="N647" s="535">
        <f>567839.42+306858.76+249717.97+121036.01+13242.5+9157+6485+608+5296.4+2738.75+2482.6+838+1782</f>
        <v>1288082.4100000001</v>
      </c>
      <c r="O647" s="542">
        <f>51776+27909+21201+11466+1633+1268+1252+98+1117+275+435+116+356</f>
        <v>118902</v>
      </c>
      <c r="P647" s="512">
        <f t="shared" si="16"/>
        <v>10.833143344939531</v>
      </c>
      <c r="Q647" s="513">
        <v>41320</v>
      </c>
    </row>
    <row r="648" spans="1:17" ht="13.5" customHeight="1">
      <c r="A648" s="453">
        <v>647</v>
      </c>
      <c r="B648" s="497"/>
      <c r="C648" s="518" t="s">
        <v>461</v>
      </c>
      <c r="D648" s="492" t="s">
        <v>80</v>
      </c>
      <c r="E648" s="490" t="s">
        <v>69</v>
      </c>
      <c r="F648" s="494" t="s">
        <v>462</v>
      </c>
      <c r="G648" s="493">
        <v>41187</v>
      </c>
      <c r="H648" s="499" t="s">
        <v>59</v>
      </c>
      <c r="I648" s="509">
        <v>77</v>
      </c>
      <c r="J648" s="575">
        <v>1</v>
      </c>
      <c r="K648" s="575">
        <v>12</v>
      </c>
      <c r="L648" s="529">
        <v>838</v>
      </c>
      <c r="M648" s="514">
        <v>116</v>
      </c>
      <c r="N648" s="535">
        <f>567839.42+306858.76+249717.97+121036.01+13242.5+9157+6485+608+5296.4+2738.75+2482.6+838</f>
        <v>1286300.4100000001</v>
      </c>
      <c r="O648" s="542">
        <f>51776+27909+21201+11466+1633+1268+1252+98+1117+275+435+116</f>
        <v>118546</v>
      </c>
      <c r="P648" s="512">
        <f t="shared" si="16"/>
        <v>10.850643716363269</v>
      </c>
      <c r="Q648" s="513">
        <v>41278</v>
      </c>
    </row>
    <row r="649" spans="1:17" ht="13.5" customHeight="1">
      <c r="A649" s="453">
        <v>648</v>
      </c>
      <c r="B649" s="497"/>
      <c r="C649" s="520" t="s">
        <v>983</v>
      </c>
      <c r="D649" s="499" t="s">
        <v>279</v>
      </c>
      <c r="E649" s="499" t="s">
        <v>81</v>
      </c>
      <c r="F649" s="499" t="s">
        <v>984</v>
      </c>
      <c r="G649" s="495">
        <v>40739</v>
      </c>
      <c r="H649" s="499" t="s">
        <v>139</v>
      </c>
      <c r="I649" s="509">
        <v>3</v>
      </c>
      <c r="J649" s="517">
        <v>1</v>
      </c>
      <c r="K649" s="517">
        <v>21</v>
      </c>
      <c r="L649" s="554">
        <v>1425.6</v>
      </c>
      <c r="M649" s="555">
        <v>285</v>
      </c>
      <c r="N649" s="438">
        <v>48746.1</v>
      </c>
      <c r="O649" s="439">
        <v>6484</v>
      </c>
      <c r="P649" s="515">
        <f aca="true" t="shared" si="17" ref="P649:P680">N649/O649</f>
        <v>7.51790561381863</v>
      </c>
      <c r="Q649" s="516">
        <v>41474</v>
      </c>
    </row>
    <row r="650" spans="1:17" ht="13.5" customHeight="1">
      <c r="A650" s="453">
        <v>649</v>
      </c>
      <c r="B650" s="497" t="s">
        <v>48</v>
      </c>
      <c r="C650" s="518" t="s">
        <v>269</v>
      </c>
      <c r="D650" s="519" t="s">
        <v>192</v>
      </c>
      <c r="E650" s="519"/>
      <c r="F650" s="519" t="s">
        <v>269</v>
      </c>
      <c r="G650" s="508">
        <v>39703</v>
      </c>
      <c r="H650" s="499" t="s">
        <v>59</v>
      </c>
      <c r="I650" s="506">
        <v>6</v>
      </c>
      <c r="J650" s="507">
        <v>1</v>
      </c>
      <c r="K650" s="507">
        <v>28</v>
      </c>
      <c r="L650" s="510">
        <v>2375</v>
      </c>
      <c r="M650" s="514">
        <v>475</v>
      </c>
      <c r="N650" s="535">
        <f>18453+18044+4959+3105.5+2221+2795+1156+907+1188+3416+108+86+53+73+1664+1508+46+2020+75.88+226.58+109.64+1190+1185+3565+4870+3565+950+2375</f>
        <v>79914.6</v>
      </c>
      <c r="O650" s="547">
        <f>1896+1808+596+485+314+510+270+216+297+854+33+15+9+11+416+377+4+505+18+57+27+238+237+713+974+713+190+475</f>
        <v>12258</v>
      </c>
      <c r="P650" s="515">
        <f t="shared" si="17"/>
        <v>6.519383259911895</v>
      </c>
      <c r="Q650" s="516">
        <v>41397</v>
      </c>
    </row>
    <row r="651" spans="1:17" ht="13.5" customHeight="1">
      <c r="A651" s="453">
        <v>650</v>
      </c>
      <c r="B651" s="497" t="s">
        <v>48</v>
      </c>
      <c r="C651" s="518" t="s">
        <v>269</v>
      </c>
      <c r="D651" s="519" t="s">
        <v>192</v>
      </c>
      <c r="E651" s="519"/>
      <c r="F651" s="519" t="s">
        <v>269</v>
      </c>
      <c r="G651" s="508">
        <v>39703</v>
      </c>
      <c r="H651" s="499" t="s">
        <v>59</v>
      </c>
      <c r="I651" s="509">
        <v>6</v>
      </c>
      <c r="J651" s="517">
        <v>1</v>
      </c>
      <c r="K651" s="517">
        <v>29</v>
      </c>
      <c r="L651" s="510">
        <v>2375</v>
      </c>
      <c r="M651" s="511">
        <v>475</v>
      </c>
      <c r="N651" s="535">
        <f>18453+18044+4959+3105.5+2221+2795+1156+907+1188+3416+108+86+53+73+1664+1508+46+2020+75.88+226.58+109.64+1190+1185+3565+4870+3565+950+2375+2375</f>
        <v>82289.6</v>
      </c>
      <c r="O651" s="542">
        <f>1896+1808+596+485+314+510+270+216+297+854+33+15+9+11+416+377+4+505+18+57+27+238+237+713+974+713+190+475+475</f>
        <v>12733</v>
      </c>
      <c r="P651" s="512">
        <f t="shared" si="17"/>
        <v>6.462703212125972</v>
      </c>
      <c r="Q651" s="513">
        <v>41404</v>
      </c>
    </row>
    <row r="652" spans="1:17" ht="13.5" customHeight="1">
      <c r="A652" s="453">
        <v>651</v>
      </c>
      <c r="B652" s="497" t="s">
        <v>48</v>
      </c>
      <c r="C652" s="518" t="s">
        <v>269</v>
      </c>
      <c r="D652" s="519" t="s">
        <v>192</v>
      </c>
      <c r="E652" s="519"/>
      <c r="F652" s="519" t="s">
        <v>269</v>
      </c>
      <c r="G652" s="508">
        <v>39703</v>
      </c>
      <c r="H652" s="499" t="s">
        <v>59</v>
      </c>
      <c r="I652" s="509">
        <v>6</v>
      </c>
      <c r="J652" s="517">
        <v>1</v>
      </c>
      <c r="K652" s="517">
        <v>30</v>
      </c>
      <c r="L652" s="510">
        <v>2375</v>
      </c>
      <c r="M652" s="511">
        <v>475</v>
      </c>
      <c r="N652" s="535">
        <f>18453+18044+4959+3105.5+2221+2795+1156+907+1188+3416+108+86+53+73+1664+1508+46+2020+75.88+226.58+109.64+1190+1185+3565+4870+3565+950+2375+2375+2375</f>
        <v>84664.6</v>
      </c>
      <c r="O652" s="542">
        <f>1896+1808+596+485+314+510+270+216+297+854+33+15+9+11+416+377+4+505+18+57+27+238+237+713+974+713+190+475+475+475</f>
        <v>13208</v>
      </c>
      <c r="P652" s="512">
        <f t="shared" si="17"/>
        <v>6.410099939430649</v>
      </c>
      <c r="Q652" s="513">
        <v>41411</v>
      </c>
    </row>
    <row r="653" spans="1:17" ht="13.5" customHeight="1">
      <c r="A653" s="453">
        <v>652</v>
      </c>
      <c r="B653" s="497" t="s">
        <v>48</v>
      </c>
      <c r="C653" s="518" t="s">
        <v>269</v>
      </c>
      <c r="D653" s="519" t="s">
        <v>192</v>
      </c>
      <c r="E653" s="519"/>
      <c r="F653" s="519" t="s">
        <v>269</v>
      </c>
      <c r="G653" s="508">
        <v>39703</v>
      </c>
      <c r="H653" s="499" t="s">
        <v>59</v>
      </c>
      <c r="I653" s="509">
        <v>6</v>
      </c>
      <c r="J653" s="507">
        <v>1</v>
      </c>
      <c r="K653" s="507">
        <v>31</v>
      </c>
      <c r="L653" s="529">
        <v>2375</v>
      </c>
      <c r="M653" s="514">
        <v>475</v>
      </c>
      <c r="N653" s="541">
        <f>18453+18044+4959+3105.5+2221+2795+1156+907+1188+3416+108+86+53+73+1664+1508+46+2020+75.88+226.58+109.64+1190+1185+3565+4870+3565+950+2375+2375+2375+2375</f>
        <v>87039.6</v>
      </c>
      <c r="O653" s="547">
        <f>1896+1808+596+485+314+510+270+216+297+854+33+15+9+11+416+377+4+505+18+57+27+238+237+713+974+713+190+475+475+475+475</f>
        <v>13683</v>
      </c>
      <c r="P653" s="515">
        <f t="shared" si="17"/>
        <v>6.361148870861654</v>
      </c>
      <c r="Q653" s="516">
        <v>41418</v>
      </c>
    </row>
    <row r="654" spans="1:17" ht="13.5" customHeight="1">
      <c r="A654" s="453">
        <v>653</v>
      </c>
      <c r="B654" s="497" t="s">
        <v>48</v>
      </c>
      <c r="C654" s="518" t="s">
        <v>269</v>
      </c>
      <c r="D654" s="519" t="s">
        <v>192</v>
      </c>
      <c r="E654" s="519"/>
      <c r="F654" s="519" t="s">
        <v>269</v>
      </c>
      <c r="G654" s="508">
        <v>39703</v>
      </c>
      <c r="H654" s="499" t="s">
        <v>59</v>
      </c>
      <c r="I654" s="509">
        <v>6</v>
      </c>
      <c r="J654" s="509">
        <v>1</v>
      </c>
      <c r="K654" s="509">
        <v>27</v>
      </c>
      <c r="L654" s="510">
        <v>950</v>
      </c>
      <c r="M654" s="511">
        <v>190</v>
      </c>
      <c r="N654" s="535">
        <f>18453+18044+4959+3105.5+2221+2795+1156+907+1188+3416+108+86+53+73+1664+1508+46+2020+75.88+226.58+109.64+1190+1185+3565+4870+3565+950</f>
        <v>77539.6</v>
      </c>
      <c r="O654" s="542">
        <f>1896+1808+596+485+314+510+270+216+297+854+33+15+9+11+416+377+4+505+18+57+27+238+237+713+974+713+190</f>
        <v>11783</v>
      </c>
      <c r="P654" s="512">
        <f t="shared" si="17"/>
        <v>6.58063311550539</v>
      </c>
      <c r="Q654" s="513">
        <v>41341</v>
      </c>
    </row>
    <row r="655" spans="1:17" ht="13.5" customHeight="1">
      <c r="A655" s="453">
        <v>654</v>
      </c>
      <c r="B655" s="497" t="s">
        <v>48</v>
      </c>
      <c r="C655" s="523" t="s">
        <v>550</v>
      </c>
      <c r="D655" s="524" t="s">
        <v>192</v>
      </c>
      <c r="E655" s="490"/>
      <c r="F655" s="494" t="s">
        <v>550</v>
      </c>
      <c r="G655" s="493">
        <v>41257</v>
      </c>
      <c r="H655" s="499" t="s">
        <v>59</v>
      </c>
      <c r="I655" s="509">
        <v>12</v>
      </c>
      <c r="J655" s="509">
        <v>9</v>
      </c>
      <c r="K655" s="509">
        <v>5</v>
      </c>
      <c r="L655" s="529">
        <v>15610</v>
      </c>
      <c r="M655" s="514">
        <v>2394</v>
      </c>
      <c r="N655" s="541">
        <f>89498.54+46564.78+27996+11245+15610</f>
        <v>190914.32</v>
      </c>
      <c r="O655" s="547">
        <f>8836+4262+2778+1423+2394</f>
        <v>19693</v>
      </c>
      <c r="P655" s="512">
        <f t="shared" si="17"/>
        <v>9.694526989285533</v>
      </c>
      <c r="Q655" s="513">
        <v>41285</v>
      </c>
    </row>
    <row r="656" spans="1:17" ht="13.5" customHeight="1">
      <c r="A656" s="453">
        <v>655</v>
      </c>
      <c r="B656" s="497" t="s">
        <v>48</v>
      </c>
      <c r="C656" s="523" t="s">
        <v>550</v>
      </c>
      <c r="D656" s="524" t="s">
        <v>192</v>
      </c>
      <c r="E656" s="490"/>
      <c r="F656" s="494" t="s">
        <v>550</v>
      </c>
      <c r="G656" s="493">
        <v>41257</v>
      </c>
      <c r="H656" s="499" t="s">
        <v>59</v>
      </c>
      <c r="I656" s="509">
        <v>12</v>
      </c>
      <c r="J656" s="509">
        <v>9</v>
      </c>
      <c r="K656" s="509">
        <v>4</v>
      </c>
      <c r="L656" s="529">
        <v>11245</v>
      </c>
      <c r="M656" s="514">
        <v>1423</v>
      </c>
      <c r="N656" s="535">
        <f>89498.54+46564.78+27996+11245</f>
        <v>175304.32</v>
      </c>
      <c r="O656" s="542">
        <f>8836+4262+2778+1423</f>
        <v>17299</v>
      </c>
      <c r="P656" s="512">
        <f t="shared" si="17"/>
        <v>10.13378345569108</v>
      </c>
      <c r="Q656" s="513">
        <v>41278</v>
      </c>
    </row>
    <row r="657" spans="1:17" ht="13.5" customHeight="1">
      <c r="A657" s="453">
        <v>656</v>
      </c>
      <c r="B657" s="497" t="s">
        <v>48</v>
      </c>
      <c r="C657" s="518" t="s">
        <v>550</v>
      </c>
      <c r="D657" s="506" t="s">
        <v>192</v>
      </c>
      <c r="E657" s="500"/>
      <c r="F657" s="525" t="s">
        <v>550</v>
      </c>
      <c r="G657" s="526">
        <v>41257</v>
      </c>
      <c r="H657" s="499" t="s">
        <v>59</v>
      </c>
      <c r="I657" s="509">
        <v>12</v>
      </c>
      <c r="J657" s="509">
        <v>4</v>
      </c>
      <c r="K657" s="509">
        <v>12</v>
      </c>
      <c r="L657" s="648">
        <v>9504</v>
      </c>
      <c r="M657" s="649">
        <v>1900</v>
      </c>
      <c r="N657" s="539">
        <f>89498.54+46564.78+27996+11245+15610+3212+3469+1645+270+3589.5+1782+9504</f>
        <v>214385.82</v>
      </c>
      <c r="O657" s="545">
        <f>8836+4262+2778+1423+2394+623+907+261+45+714+356+1900</f>
        <v>24499</v>
      </c>
      <c r="P657" s="512">
        <f t="shared" si="17"/>
        <v>8.750798808114617</v>
      </c>
      <c r="Q657" s="513">
        <v>41348</v>
      </c>
    </row>
    <row r="658" spans="1:17" ht="13.5" customHeight="1">
      <c r="A658" s="453">
        <v>657</v>
      </c>
      <c r="B658" s="402" t="s">
        <v>48</v>
      </c>
      <c r="C658" s="501" t="s">
        <v>550</v>
      </c>
      <c r="D658" s="492" t="s">
        <v>192</v>
      </c>
      <c r="E658" s="490"/>
      <c r="F658" s="494" t="s">
        <v>550</v>
      </c>
      <c r="G658" s="493">
        <v>41257</v>
      </c>
      <c r="H658" s="491" t="s">
        <v>59</v>
      </c>
      <c r="I658" s="506">
        <v>12</v>
      </c>
      <c r="J658" s="509">
        <v>1</v>
      </c>
      <c r="K658" s="509">
        <v>18</v>
      </c>
      <c r="L658" s="528">
        <v>5940</v>
      </c>
      <c r="M658" s="532">
        <v>1190</v>
      </c>
      <c r="N658" s="537">
        <f>89498.54+46564.78+27996+11245+15610+3212+3469+1645+270+3589.5+1782+9504+217.5+42+2257+1188+1544.4+5940</f>
        <v>225574.72</v>
      </c>
      <c r="O658" s="543">
        <f>8836+4262+2778+1423+2394+623+907+261+45+714+356+1900+31+7+427+238+310+1190</f>
        <v>26702</v>
      </c>
      <c r="P658" s="515">
        <f t="shared" si="17"/>
        <v>8.447858587371732</v>
      </c>
      <c r="Q658" s="516">
        <v>41502</v>
      </c>
    </row>
    <row r="659" spans="1:17" ht="13.5" customHeight="1">
      <c r="A659" s="453">
        <v>658</v>
      </c>
      <c r="B659" s="497" t="s">
        <v>48</v>
      </c>
      <c r="C659" s="518" t="s">
        <v>550</v>
      </c>
      <c r="D659" s="506" t="s">
        <v>192</v>
      </c>
      <c r="E659" s="500"/>
      <c r="F659" s="525" t="s">
        <v>550</v>
      </c>
      <c r="G659" s="526">
        <v>41257</v>
      </c>
      <c r="H659" s="499" t="s">
        <v>59</v>
      </c>
      <c r="I659" s="509">
        <v>12</v>
      </c>
      <c r="J659" s="509">
        <v>3</v>
      </c>
      <c r="K659" s="509">
        <v>10</v>
      </c>
      <c r="L659" s="529">
        <v>3589.5</v>
      </c>
      <c r="M659" s="514">
        <v>714</v>
      </c>
      <c r="N659" s="541">
        <f>89498.54+46564.78+27996+11245+15610+3212+3469+1645+270+3589.5</f>
        <v>203099.82</v>
      </c>
      <c r="O659" s="547">
        <f>8836+4262+2778+1423+2394+623+907+261+45+714</f>
        <v>22243</v>
      </c>
      <c r="P659" s="512">
        <f t="shared" si="17"/>
        <v>9.130954457582162</v>
      </c>
      <c r="Q659" s="513">
        <v>41334</v>
      </c>
    </row>
    <row r="660" spans="1:17" ht="13.5" customHeight="1">
      <c r="A660" s="453">
        <v>659</v>
      </c>
      <c r="B660" s="497" t="s">
        <v>48</v>
      </c>
      <c r="C660" s="523" t="s">
        <v>550</v>
      </c>
      <c r="D660" s="524" t="s">
        <v>192</v>
      </c>
      <c r="E660" s="490"/>
      <c r="F660" s="494" t="s">
        <v>550</v>
      </c>
      <c r="G660" s="493">
        <v>41257</v>
      </c>
      <c r="H660" s="499" t="s">
        <v>59</v>
      </c>
      <c r="I660" s="509">
        <v>12</v>
      </c>
      <c r="J660" s="509">
        <v>2</v>
      </c>
      <c r="K660" s="509">
        <v>7</v>
      </c>
      <c r="L660" s="529">
        <v>3469</v>
      </c>
      <c r="M660" s="514">
        <v>907</v>
      </c>
      <c r="N660" s="541">
        <f>89498.54+46564.78+27996+11245+15610+3212+3469</f>
        <v>197595.32</v>
      </c>
      <c r="O660" s="547">
        <f>8836+4262+2778+1423+2394+623+907</f>
        <v>21223</v>
      </c>
      <c r="P660" s="512">
        <f t="shared" si="17"/>
        <v>9.310433020779344</v>
      </c>
      <c r="Q660" s="513">
        <v>41299</v>
      </c>
    </row>
    <row r="661" spans="1:17" ht="13.5" customHeight="1">
      <c r="A661" s="453">
        <v>660</v>
      </c>
      <c r="B661" s="497" t="s">
        <v>48</v>
      </c>
      <c r="C661" s="523" t="s">
        <v>550</v>
      </c>
      <c r="D661" s="524" t="s">
        <v>192</v>
      </c>
      <c r="E661" s="490"/>
      <c r="F661" s="494" t="s">
        <v>550</v>
      </c>
      <c r="G661" s="493">
        <v>41257</v>
      </c>
      <c r="H661" s="499" t="s">
        <v>59</v>
      </c>
      <c r="I661" s="509">
        <v>12</v>
      </c>
      <c r="J661" s="666">
        <v>3</v>
      </c>
      <c r="K661" s="666">
        <v>6</v>
      </c>
      <c r="L661" s="529">
        <v>3212</v>
      </c>
      <c r="M661" s="514">
        <v>623</v>
      </c>
      <c r="N661" s="539">
        <f>89498.54+46564.78+27996+11245+15610+3212</f>
        <v>194126.32</v>
      </c>
      <c r="O661" s="545">
        <f>8836+4262+2778+1423+2394+623</f>
        <v>20316</v>
      </c>
      <c r="P661" s="512">
        <f t="shared" si="17"/>
        <v>9.555341602677693</v>
      </c>
      <c r="Q661" s="513">
        <v>41292</v>
      </c>
    </row>
    <row r="662" spans="1:17" ht="13.5" customHeight="1">
      <c r="A662" s="453">
        <v>661</v>
      </c>
      <c r="B662" s="497" t="s">
        <v>48</v>
      </c>
      <c r="C662" s="518" t="s">
        <v>550</v>
      </c>
      <c r="D662" s="506" t="s">
        <v>192</v>
      </c>
      <c r="E662" s="500"/>
      <c r="F662" s="525" t="s">
        <v>550</v>
      </c>
      <c r="G662" s="526">
        <v>41257</v>
      </c>
      <c r="H662" s="499" t="s">
        <v>59</v>
      </c>
      <c r="I662" s="509">
        <v>12</v>
      </c>
      <c r="J662" s="509">
        <v>2</v>
      </c>
      <c r="K662" s="509">
        <v>11</v>
      </c>
      <c r="L662" s="529">
        <v>2257</v>
      </c>
      <c r="M662" s="514">
        <v>427</v>
      </c>
      <c r="N662" s="541">
        <f>89498.54+46564.78+27996+11245+15610+3212+3469+1645+270+3589.5+1782+9504+217.5+42+2257</f>
        <v>216902.32</v>
      </c>
      <c r="O662" s="547">
        <f>8836+4262+2778+1423+2394+623+907+261+45+714+356+1900+31+7+427</f>
        <v>24964</v>
      </c>
      <c r="P662" s="515">
        <f t="shared" si="17"/>
        <v>8.688604390322064</v>
      </c>
      <c r="Q662" s="516">
        <v>41376</v>
      </c>
    </row>
    <row r="663" spans="1:17" ht="13.5" customHeight="1">
      <c r="A663" s="453">
        <v>662</v>
      </c>
      <c r="B663" s="497" t="s">
        <v>48</v>
      </c>
      <c r="C663" s="518" t="s">
        <v>550</v>
      </c>
      <c r="D663" s="506" t="s">
        <v>192</v>
      </c>
      <c r="E663" s="500"/>
      <c r="F663" s="525" t="s">
        <v>550</v>
      </c>
      <c r="G663" s="526">
        <v>41257</v>
      </c>
      <c r="H663" s="499" t="s">
        <v>59</v>
      </c>
      <c r="I663" s="509">
        <v>12</v>
      </c>
      <c r="J663" s="509">
        <v>1</v>
      </c>
      <c r="K663" s="509">
        <v>11</v>
      </c>
      <c r="L663" s="510">
        <v>1782</v>
      </c>
      <c r="M663" s="511">
        <v>356</v>
      </c>
      <c r="N663" s="535">
        <f>89498.54+46564.78+27996+11245+15610+3212+3469+1645+270+3589.5+1782</f>
        <v>204881.82</v>
      </c>
      <c r="O663" s="542">
        <f>8836+4262+2778+1423+2394+623+907+261+45+714+356</f>
        <v>22599</v>
      </c>
      <c r="P663" s="512">
        <f t="shared" si="17"/>
        <v>9.065968405681668</v>
      </c>
      <c r="Q663" s="513">
        <v>41341</v>
      </c>
    </row>
    <row r="664" spans="1:17" ht="13.5" customHeight="1">
      <c r="A664" s="453">
        <v>663</v>
      </c>
      <c r="B664" s="497" t="s">
        <v>48</v>
      </c>
      <c r="C664" s="523" t="s">
        <v>550</v>
      </c>
      <c r="D664" s="524" t="s">
        <v>192</v>
      </c>
      <c r="E664" s="490"/>
      <c r="F664" s="494" t="s">
        <v>550</v>
      </c>
      <c r="G664" s="493">
        <v>41257</v>
      </c>
      <c r="H664" s="499" t="s">
        <v>59</v>
      </c>
      <c r="I664" s="509">
        <v>12</v>
      </c>
      <c r="J664" s="506">
        <v>1</v>
      </c>
      <c r="K664" s="506">
        <v>8</v>
      </c>
      <c r="L664" s="529">
        <v>1645</v>
      </c>
      <c r="M664" s="511">
        <v>261</v>
      </c>
      <c r="N664" s="541">
        <f>89498.54+46564.78+27996+11245+15610+3212+3469+1645</f>
        <v>199240.32</v>
      </c>
      <c r="O664" s="542">
        <f>8836+4262+2778+1423+2394+623+907+261</f>
        <v>21484</v>
      </c>
      <c r="P664" s="515">
        <f t="shared" si="17"/>
        <v>9.273893129770993</v>
      </c>
      <c r="Q664" s="516">
        <v>41306</v>
      </c>
    </row>
    <row r="665" spans="1:17" ht="13.5" customHeight="1">
      <c r="A665" s="453">
        <v>664</v>
      </c>
      <c r="B665" s="497" t="s">
        <v>48</v>
      </c>
      <c r="C665" s="518" t="s">
        <v>550</v>
      </c>
      <c r="D665" s="506" t="s">
        <v>192</v>
      </c>
      <c r="E665" s="500"/>
      <c r="F665" s="525" t="s">
        <v>550</v>
      </c>
      <c r="G665" s="526">
        <v>41257</v>
      </c>
      <c r="H665" s="499" t="s">
        <v>59</v>
      </c>
      <c r="I665" s="509">
        <v>12</v>
      </c>
      <c r="J665" s="650">
        <v>1</v>
      </c>
      <c r="K665" s="650">
        <v>17</v>
      </c>
      <c r="L665" s="503">
        <v>1544.4</v>
      </c>
      <c r="M665" s="504">
        <v>310</v>
      </c>
      <c r="N665" s="538">
        <f>89498.54+46564.78+27996+11245+15610+3212+3469+1645+270+3589.5+1782+9504+217.5+42+2257+1188+1544.4</f>
        <v>219634.72</v>
      </c>
      <c r="O665" s="544">
        <f>8836+4262+2778+1423+2394+623+907+261+45+714+356+1900+31+7+427+238+310</f>
        <v>25512</v>
      </c>
      <c r="P665" s="371">
        <f t="shared" si="17"/>
        <v>8.609074945123863</v>
      </c>
      <c r="Q665" s="372">
        <v>41446</v>
      </c>
    </row>
    <row r="666" spans="1:17" ht="13.5" customHeight="1">
      <c r="A666" s="453">
        <v>665</v>
      </c>
      <c r="B666" s="497" t="s">
        <v>48</v>
      </c>
      <c r="C666" s="518" t="s">
        <v>550</v>
      </c>
      <c r="D666" s="506" t="s">
        <v>192</v>
      </c>
      <c r="E666" s="500"/>
      <c r="F666" s="525" t="s">
        <v>550</v>
      </c>
      <c r="G666" s="526">
        <v>41257</v>
      </c>
      <c r="H666" s="499" t="s">
        <v>59</v>
      </c>
      <c r="I666" s="506">
        <v>12</v>
      </c>
      <c r="J666" s="506">
        <v>1</v>
      </c>
      <c r="K666" s="506">
        <v>16</v>
      </c>
      <c r="L666" s="510">
        <v>1188</v>
      </c>
      <c r="M666" s="514">
        <v>238</v>
      </c>
      <c r="N666" s="535">
        <f>89498.54+46564.78+27996+11245+15610+3212+3469+1645+270+3589.5+1782+9504+217.5+42+2257+1188</f>
        <v>218090.32</v>
      </c>
      <c r="O666" s="547">
        <f>8836+4262+2778+1423+2394+623+907+261+45+714+356+1900+31+7+427+238</f>
        <v>25202</v>
      </c>
      <c r="P666" s="515">
        <f t="shared" si="17"/>
        <v>8.653690976906596</v>
      </c>
      <c r="Q666" s="516">
        <v>41397</v>
      </c>
    </row>
    <row r="667" spans="1:17" ht="11.25">
      <c r="A667" s="453">
        <v>666</v>
      </c>
      <c r="B667" s="402" t="s">
        <v>48</v>
      </c>
      <c r="C667" s="501" t="s">
        <v>550</v>
      </c>
      <c r="D667" s="492" t="s">
        <v>192</v>
      </c>
      <c r="E667" s="490"/>
      <c r="F667" s="494" t="s">
        <v>550</v>
      </c>
      <c r="G667" s="493">
        <v>41257</v>
      </c>
      <c r="H667" s="491" t="s">
        <v>59</v>
      </c>
      <c r="I667" s="509">
        <v>12</v>
      </c>
      <c r="J667" s="509">
        <v>1</v>
      </c>
      <c r="K667" s="509">
        <v>19</v>
      </c>
      <c r="L667" s="503">
        <v>1188</v>
      </c>
      <c r="M667" s="504">
        <v>238</v>
      </c>
      <c r="N667" s="538">
        <f>89498.54+46564.78+27996+11245+15610+3212+3469+1645+270+3589.5+1782+9504+217.5+42+2257+1188+1544.4+5940+1188</f>
        <v>226762.72</v>
      </c>
      <c r="O667" s="544">
        <f>8836+4262+2778+1423+2394+623+907+261+45+714+356+1900+31+7+427+238+310+1190+238</f>
        <v>26940</v>
      </c>
      <c r="P667" s="512">
        <f t="shared" si="17"/>
        <v>8.417324424647365</v>
      </c>
      <c r="Q667" s="513">
        <v>41516</v>
      </c>
    </row>
    <row r="668" spans="1:17" ht="11.25">
      <c r="A668" s="453">
        <v>667</v>
      </c>
      <c r="B668" s="497" t="s">
        <v>48</v>
      </c>
      <c r="C668" s="518" t="s">
        <v>550</v>
      </c>
      <c r="D668" s="492" t="s">
        <v>192</v>
      </c>
      <c r="E668" s="490"/>
      <c r="F668" s="494" t="s">
        <v>550</v>
      </c>
      <c r="G668" s="526">
        <v>41257</v>
      </c>
      <c r="H668" s="499" t="s">
        <v>59</v>
      </c>
      <c r="I668" s="509">
        <v>12</v>
      </c>
      <c r="J668" s="509">
        <v>1</v>
      </c>
      <c r="K668" s="509">
        <v>9</v>
      </c>
      <c r="L668" s="510">
        <v>270</v>
      </c>
      <c r="M668" s="514">
        <v>45</v>
      </c>
      <c r="N668" s="535">
        <f>89498.54+46564.78+27996+11245+15610+3212+3469+1645+270</f>
        <v>199510.32</v>
      </c>
      <c r="O668" s="547">
        <f>8836+4262+2778+1423+2394+623+907+261+45</f>
        <v>21529</v>
      </c>
      <c r="P668" s="515">
        <f t="shared" si="17"/>
        <v>9.267050025546936</v>
      </c>
      <c r="Q668" s="516">
        <v>41313</v>
      </c>
    </row>
    <row r="669" spans="1:17" ht="11.25">
      <c r="A669" s="453">
        <v>668</v>
      </c>
      <c r="B669" s="497" t="s">
        <v>48</v>
      </c>
      <c r="C669" s="518" t="s">
        <v>550</v>
      </c>
      <c r="D669" s="506" t="s">
        <v>192</v>
      </c>
      <c r="E669" s="500"/>
      <c r="F669" s="525" t="s">
        <v>550</v>
      </c>
      <c r="G669" s="526">
        <v>41257</v>
      </c>
      <c r="H669" s="499" t="s">
        <v>59</v>
      </c>
      <c r="I669" s="509">
        <v>12</v>
      </c>
      <c r="J669" s="517">
        <v>1</v>
      </c>
      <c r="K669" s="517">
        <v>13</v>
      </c>
      <c r="L669" s="510">
        <v>217.5</v>
      </c>
      <c r="M669" s="511">
        <v>31</v>
      </c>
      <c r="N669" s="535">
        <f>89498.54+46564.78+27996+11245+15610+3212+3469+1645+270+3589.5+1782+9504+217.5</f>
        <v>214603.32</v>
      </c>
      <c r="O669" s="542">
        <f>8836+4262+2778+1423+2394+623+907+261+45+714+356+1900+31</f>
        <v>24530</v>
      </c>
      <c r="P669" s="512">
        <f t="shared" si="17"/>
        <v>8.748606604158175</v>
      </c>
      <c r="Q669" s="513">
        <v>41362</v>
      </c>
    </row>
    <row r="670" spans="1:17" ht="11.25">
      <c r="A670" s="453">
        <v>669</v>
      </c>
      <c r="B670" s="497" t="s">
        <v>48</v>
      </c>
      <c r="C670" s="518" t="s">
        <v>550</v>
      </c>
      <c r="D670" s="506" t="s">
        <v>192</v>
      </c>
      <c r="E670" s="500"/>
      <c r="F670" s="525" t="s">
        <v>550</v>
      </c>
      <c r="G670" s="526">
        <v>41257</v>
      </c>
      <c r="H670" s="499" t="s">
        <v>59</v>
      </c>
      <c r="I670" s="509">
        <v>12</v>
      </c>
      <c r="J670" s="517">
        <v>1</v>
      </c>
      <c r="K670" s="517">
        <v>14</v>
      </c>
      <c r="L670" s="510">
        <v>42</v>
      </c>
      <c r="M670" s="511">
        <v>7</v>
      </c>
      <c r="N670" s="535">
        <f>89498.54+46564.78+27996+11245+15610+3212+3469+1645+270+3589.5+1782+9504+217.5+42</f>
        <v>214645.32</v>
      </c>
      <c r="O670" s="542">
        <f>8836+4262+2778+1423+2394+623+907+261+45+714+356+1900+31+7</f>
        <v>24537</v>
      </c>
      <c r="P670" s="512">
        <f t="shared" si="17"/>
        <v>8.747822472184865</v>
      </c>
      <c r="Q670" s="513">
        <v>41369</v>
      </c>
    </row>
    <row r="671" spans="1:17" ht="11.25">
      <c r="A671" s="453">
        <v>670</v>
      </c>
      <c r="B671" s="403"/>
      <c r="C671" s="502" t="s">
        <v>483</v>
      </c>
      <c r="D671" s="490" t="s">
        <v>392</v>
      </c>
      <c r="E671" s="492" t="s">
        <v>81</v>
      </c>
      <c r="F671" s="496" t="s">
        <v>484</v>
      </c>
      <c r="G671" s="495">
        <v>41201</v>
      </c>
      <c r="H671" s="491" t="s">
        <v>59</v>
      </c>
      <c r="I671" s="556">
        <v>1</v>
      </c>
      <c r="J671" s="517">
        <v>1</v>
      </c>
      <c r="K671" s="517">
        <v>17</v>
      </c>
      <c r="L671" s="503">
        <v>2376</v>
      </c>
      <c r="M671" s="504">
        <v>475</v>
      </c>
      <c r="N671" s="538">
        <f>8782+4172+2326+1508+1087+971+1188+1362+889+1782+358+713+951+30+630+1425.6+2376</f>
        <v>30550.6</v>
      </c>
      <c r="O671" s="544">
        <f>828+394+220+144+170+152+238+123+81+356+176+135+264+4+63+285+475</f>
        <v>4108</v>
      </c>
      <c r="P671" s="512">
        <f t="shared" si="17"/>
        <v>7.436854917234664</v>
      </c>
      <c r="Q671" s="513">
        <v>41516</v>
      </c>
    </row>
    <row r="672" spans="1:17" ht="11.25">
      <c r="A672" s="453">
        <v>671</v>
      </c>
      <c r="B672" s="498"/>
      <c r="C672" s="520" t="s">
        <v>483</v>
      </c>
      <c r="D672" s="500" t="s">
        <v>392</v>
      </c>
      <c r="E672" s="506" t="s">
        <v>81</v>
      </c>
      <c r="F672" s="560" t="s">
        <v>484</v>
      </c>
      <c r="G672" s="508">
        <v>41201</v>
      </c>
      <c r="H672" s="499" t="s">
        <v>59</v>
      </c>
      <c r="I672" s="556">
        <v>1</v>
      </c>
      <c r="J672" s="509">
        <v>1</v>
      </c>
      <c r="K672" s="509">
        <v>10</v>
      </c>
      <c r="L672" s="529">
        <v>1782</v>
      </c>
      <c r="M672" s="514">
        <v>356</v>
      </c>
      <c r="N672" s="541">
        <f>8782+4172+2326+1508+1087+971+1188+1362+889+1782</f>
        <v>24067</v>
      </c>
      <c r="O672" s="547">
        <f>828+394+220+144+170+152+238+123+81+356</f>
        <v>2706</v>
      </c>
      <c r="P672" s="512">
        <f t="shared" si="17"/>
        <v>8.893939393939394</v>
      </c>
      <c r="Q672" s="513">
        <v>41334</v>
      </c>
    </row>
    <row r="673" spans="1:17" ht="11.25">
      <c r="A673" s="453">
        <v>672</v>
      </c>
      <c r="B673" s="403"/>
      <c r="C673" s="502" t="s">
        <v>483</v>
      </c>
      <c r="D673" s="490" t="s">
        <v>392</v>
      </c>
      <c r="E673" s="492" t="s">
        <v>81</v>
      </c>
      <c r="F673" s="496" t="s">
        <v>484</v>
      </c>
      <c r="G673" s="495">
        <v>41201</v>
      </c>
      <c r="H673" s="491" t="s">
        <v>59</v>
      </c>
      <c r="I673" s="527">
        <v>1</v>
      </c>
      <c r="J673" s="517">
        <v>1</v>
      </c>
      <c r="K673" s="517">
        <v>16</v>
      </c>
      <c r="L673" s="528">
        <v>1425.6</v>
      </c>
      <c r="M673" s="532">
        <v>285</v>
      </c>
      <c r="N673" s="537">
        <f>8782+4172+2326+1508+1087+971+1188+1362+889+1782+358+713+951+30+630+1425.6</f>
        <v>28174.6</v>
      </c>
      <c r="O673" s="543">
        <f>828+394+220+144+170+152+238+123+81+356+176+135+264+4+63+285</f>
        <v>3633</v>
      </c>
      <c r="P673" s="515">
        <f t="shared" si="17"/>
        <v>7.755188549408202</v>
      </c>
      <c r="Q673" s="516">
        <v>41502</v>
      </c>
    </row>
    <row r="674" spans="1:17" ht="11.25">
      <c r="A674" s="453">
        <v>673</v>
      </c>
      <c r="B674" s="498"/>
      <c r="C674" s="520" t="s">
        <v>483</v>
      </c>
      <c r="D674" s="490" t="s">
        <v>392</v>
      </c>
      <c r="E674" s="492" t="s">
        <v>81</v>
      </c>
      <c r="F674" s="496" t="s">
        <v>484</v>
      </c>
      <c r="G674" s="495">
        <v>41201</v>
      </c>
      <c r="H674" s="499" t="s">
        <v>59</v>
      </c>
      <c r="I674" s="527">
        <v>1</v>
      </c>
      <c r="J674" s="509">
        <v>1</v>
      </c>
      <c r="K674" s="509">
        <v>8</v>
      </c>
      <c r="L674" s="529">
        <v>1362</v>
      </c>
      <c r="M674" s="514">
        <v>123</v>
      </c>
      <c r="N674" s="541">
        <f>8782+4172+2326+1508+1087+971+1188+1362</f>
        <v>21396</v>
      </c>
      <c r="O674" s="547">
        <f>828+394+220+144+170+152+238+123</f>
        <v>2269</v>
      </c>
      <c r="P674" s="512">
        <f t="shared" si="17"/>
        <v>9.429704715733804</v>
      </c>
      <c r="Q674" s="513">
        <v>41285</v>
      </c>
    </row>
    <row r="675" spans="1:17" ht="11.25">
      <c r="A675" s="453">
        <v>674</v>
      </c>
      <c r="B675" s="498"/>
      <c r="C675" s="520" t="s">
        <v>483</v>
      </c>
      <c r="D675" s="500" t="s">
        <v>392</v>
      </c>
      <c r="E675" s="506" t="s">
        <v>81</v>
      </c>
      <c r="F675" s="560" t="s">
        <v>484</v>
      </c>
      <c r="G675" s="508">
        <v>41201</v>
      </c>
      <c r="H675" s="499" t="s">
        <v>59</v>
      </c>
      <c r="I675" s="556">
        <v>1</v>
      </c>
      <c r="J675" s="517">
        <v>1</v>
      </c>
      <c r="K675" s="517">
        <v>13</v>
      </c>
      <c r="L675" s="510">
        <v>951</v>
      </c>
      <c r="M675" s="511">
        <v>264</v>
      </c>
      <c r="N675" s="535">
        <f>8782+4172+2326+1508+1087+971+1188+1362+889+1782+358+713+951</f>
        <v>26089</v>
      </c>
      <c r="O675" s="542">
        <f>828+394+220+144+170+152+238+123+81+356+176+135+264</f>
        <v>3281</v>
      </c>
      <c r="P675" s="512">
        <f t="shared" si="17"/>
        <v>7.951539164888754</v>
      </c>
      <c r="Q675" s="513">
        <v>41362</v>
      </c>
    </row>
    <row r="676" spans="1:17" ht="11.25">
      <c r="A676" s="453">
        <v>675</v>
      </c>
      <c r="B676" s="498"/>
      <c r="C676" s="520" t="s">
        <v>483</v>
      </c>
      <c r="D676" s="490" t="s">
        <v>392</v>
      </c>
      <c r="E676" s="492" t="s">
        <v>81</v>
      </c>
      <c r="F676" s="496" t="s">
        <v>484</v>
      </c>
      <c r="G676" s="495">
        <v>41201</v>
      </c>
      <c r="H676" s="499" t="s">
        <v>59</v>
      </c>
      <c r="I676" s="527">
        <v>1</v>
      </c>
      <c r="J676" s="666">
        <v>1</v>
      </c>
      <c r="K676" s="666">
        <v>9</v>
      </c>
      <c r="L676" s="529">
        <v>889</v>
      </c>
      <c r="M676" s="514">
        <v>81</v>
      </c>
      <c r="N676" s="539">
        <f>8782+4172+2326+1508+1087+971+1188+1362+889</f>
        <v>22285</v>
      </c>
      <c r="O676" s="545">
        <f>828+394+220+144+170+152+238+123+81</f>
        <v>2350</v>
      </c>
      <c r="P676" s="512">
        <f t="shared" si="17"/>
        <v>9.482978723404255</v>
      </c>
      <c r="Q676" s="513">
        <v>41292</v>
      </c>
    </row>
    <row r="677" spans="1:17" ht="11.25">
      <c r="A677" s="453">
        <v>676</v>
      </c>
      <c r="B677" s="498"/>
      <c r="C677" s="520" t="s">
        <v>483</v>
      </c>
      <c r="D677" s="500" t="s">
        <v>392</v>
      </c>
      <c r="E677" s="506" t="s">
        <v>81</v>
      </c>
      <c r="F677" s="560" t="s">
        <v>484</v>
      </c>
      <c r="G677" s="508">
        <v>41201</v>
      </c>
      <c r="H677" s="499" t="s">
        <v>59</v>
      </c>
      <c r="I677" s="556">
        <v>1</v>
      </c>
      <c r="J677" s="517">
        <v>1</v>
      </c>
      <c r="K677" s="517">
        <v>12</v>
      </c>
      <c r="L677" s="529">
        <v>713</v>
      </c>
      <c r="M677" s="514">
        <v>135</v>
      </c>
      <c r="N677" s="541">
        <f>8782+4172+2326+1508+1087+971+1188+1362+889+1782+358+713</f>
        <v>25138</v>
      </c>
      <c r="O677" s="547">
        <f>828+394+220+144+170+152+238+123+81+356+176+135</f>
        <v>3017</v>
      </c>
      <c r="P677" s="515">
        <f t="shared" si="17"/>
        <v>8.33211799801127</v>
      </c>
      <c r="Q677" s="516">
        <v>41355</v>
      </c>
    </row>
    <row r="678" spans="1:17" ht="11.25">
      <c r="A678" s="453">
        <v>677</v>
      </c>
      <c r="B678" s="498"/>
      <c r="C678" s="502" t="s">
        <v>483</v>
      </c>
      <c r="D678" s="490" t="s">
        <v>392</v>
      </c>
      <c r="E678" s="492" t="s">
        <v>81</v>
      </c>
      <c r="F678" s="496" t="s">
        <v>484</v>
      </c>
      <c r="G678" s="495">
        <v>41201</v>
      </c>
      <c r="H678" s="491" t="s">
        <v>59</v>
      </c>
      <c r="I678" s="527">
        <v>1</v>
      </c>
      <c r="J678" s="507">
        <v>1</v>
      </c>
      <c r="K678" s="507">
        <v>15</v>
      </c>
      <c r="L678" s="528">
        <v>630</v>
      </c>
      <c r="M678" s="532">
        <v>63</v>
      </c>
      <c r="N678" s="537">
        <f>8782+4172+2326+1508+1087+971+1188+1362+889+1782+358+713+951+30+630</f>
        <v>26749</v>
      </c>
      <c r="O678" s="543">
        <f>828+394+220+144+170+152+238+123+81+356+176+135+264+4+63</f>
        <v>3348</v>
      </c>
      <c r="P678" s="515">
        <f t="shared" si="17"/>
        <v>7.989545997610514</v>
      </c>
      <c r="Q678" s="516">
        <v>41488</v>
      </c>
    </row>
    <row r="679" spans="1:17" ht="11.25">
      <c r="A679" s="453">
        <v>678</v>
      </c>
      <c r="B679" s="498"/>
      <c r="C679" s="520" t="s">
        <v>483</v>
      </c>
      <c r="D679" s="500" t="s">
        <v>392</v>
      </c>
      <c r="E679" s="506" t="s">
        <v>81</v>
      </c>
      <c r="F679" s="560" t="s">
        <v>484</v>
      </c>
      <c r="G679" s="508">
        <v>41201</v>
      </c>
      <c r="H679" s="499" t="s">
        <v>59</v>
      </c>
      <c r="I679" s="556">
        <v>1</v>
      </c>
      <c r="J679" s="509">
        <v>1</v>
      </c>
      <c r="K679" s="509">
        <v>11</v>
      </c>
      <c r="L679" s="510">
        <v>358</v>
      </c>
      <c r="M679" s="511">
        <v>176</v>
      </c>
      <c r="N679" s="535">
        <f>8782+4172+2326+1508+1087+971+1188+1362+889+1782+358</f>
        <v>24425</v>
      </c>
      <c r="O679" s="542">
        <f>828+394+220+144+170+152+238+123+81+356+176</f>
        <v>2882</v>
      </c>
      <c r="P679" s="512">
        <f t="shared" si="17"/>
        <v>8.475017349063151</v>
      </c>
      <c r="Q679" s="513">
        <v>41348</v>
      </c>
    </row>
    <row r="680" spans="1:17" ht="11.25">
      <c r="A680" s="453">
        <v>679</v>
      </c>
      <c r="B680" s="498"/>
      <c r="C680" s="520" t="s">
        <v>483</v>
      </c>
      <c r="D680" s="500" t="s">
        <v>392</v>
      </c>
      <c r="E680" s="506" t="s">
        <v>81</v>
      </c>
      <c r="F680" s="560" t="s">
        <v>484</v>
      </c>
      <c r="G680" s="508">
        <v>41201</v>
      </c>
      <c r="H680" s="499" t="s">
        <v>59</v>
      </c>
      <c r="I680" s="556">
        <v>1</v>
      </c>
      <c r="J680" s="517">
        <v>1</v>
      </c>
      <c r="K680" s="517">
        <v>14</v>
      </c>
      <c r="L680" s="529">
        <v>30</v>
      </c>
      <c r="M680" s="514">
        <v>4</v>
      </c>
      <c r="N680" s="541">
        <f>8782+4172+2326+1508+1087+971+1188+1362+889+1782+358+713+951+30</f>
        <v>26119</v>
      </c>
      <c r="O680" s="547">
        <f>828+394+220+144+170+152+238+123+81+356+176+135+264+4</f>
        <v>3285</v>
      </c>
      <c r="P680" s="515">
        <f t="shared" si="17"/>
        <v>7.9509893455098934</v>
      </c>
      <c r="Q680" s="516">
        <v>41383</v>
      </c>
    </row>
    <row r="681" spans="1:17" ht="11.25">
      <c r="A681" s="453">
        <v>680</v>
      </c>
      <c r="B681" s="497"/>
      <c r="C681" s="518" t="s">
        <v>985</v>
      </c>
      <c r="D681" s="506" t="s">
        <v>392</v>
      </c>
      <c r="E681" s="499" t="s">
        <v>81</v>
      </c>
      <c r="F681" s="519" t="s">
        <v>986</v>
      </c>
      <c r="G681" s="495">
        <v>40935</v>
      </c>
      <c r="H681" s="499" t="s">
        <v>59</v>
      </c>
      <c r="I681" s="509">
        <v>24</v>
      </c>
      <c r="J681" s="517">
        <v>1</v>
      </c>
      <c r="K681" s="517">
        <v>24</v>
      </c>
      <c r="L681" s="503">
        <v>1188</v>
      </c>
      <c r="M681" s="504">
        <v>238</v>
      </c>
      <c r="N681" s="538">
        <f>219512+172510+97324.5+20509.5+35119+75025.4+23655.5+8708+2633.5+3076.5+627+2210.5+4756+1926+2138.5+4837+2210+487+1425.5+1135+150+569+1782+1188</f>
        <v>683515.4</v>
      </c>
      <c r="O681" s="544">
        <f>16452+13782+8143+1750+3275+6017+2126+1042+267+599+87+410+722+372+428+470+208+45+356+116+15+72+356+238</f>
        <v>57348</v>
      </c>
      <c r="P681" s="512">
        <f aca="true" t="shared" si="18" ref="P681:P712">N681/O681</f>
        <v>11.918731254795285</v>
      </c>
      <c r="Q681" s="513">
        <v>41481</v>
      </c>
    </row>
    <row r="682" spans="1:17" ht="11.25">
      <c r="A682" s="453">
        <v>681</v>
      </c>
      <c r="B682" s="497"/>
      <c r="C682" s="501" t="s">
        <v>985</v>
      </c>
      <c r="D682" s="492" t="s">
        <v>392</v>
      </c>
      <c r="E682" s="491" t="s">
        <v>81</v>
      </c>
      <c r="F682" s="392" t="s">
        <v>986</v>
      </c>
      <c r="G682" s="495">
        <v>40935</v>
      </c>
      <c r="H682" s="491" t="s">
        <v>59</v>
      </c>
      <c r="I682" s="506">
        <v>24</v>
      </c>
      <c r="J682" s="507">
        <v>1</v>
      </c>
      <c r="K682" s="507">
        <v>25</v>
      </c>
      <c r="L682" s="528">
        <v>384</v>
      </c>
      <c r="M682" s="532">
        <v>34</v>
      </c>
      <c r="N682" s="537">
        <f>219512+172510+97324.5+20509.5+35119+75025.4+23655.5+8708+2633.5+3076.5+627+2210.5+4756+1926+2138.5+4837+2210+487+1425.5+1135+150+569+1782+1188+384</f>
        <v>683899.4</v>
      </c>
      <c r="O682" s="543">
        <f>16452+13782+8143+1750+3275+6017+2126+1042+267+599+87+410+722+372+428+470+208+45+356+116+15+72+356+238+34</f>
        <v>57382</v>
      </c>
      <c r="P682" s="515">
        <f t="shared" si="18"/>
        <v>11.918361158551463</v>
      </c>
      <c r="Q682" s="516">
        <v>41488</v>
      </c>
    </row>
    <row r="683" spans="1:17" ht="11.25">
      <c r="A683" s="453">
        <v>682</v>
      </c>
      <c r="B683" s="498"/>
      <c r="C683" s="518" t="s">
        <v>355</v>
      </c>
      <c r="D683" s="506" t="s">
        <v>267</v>
      </c>
      <c r="E683" s="500" t="s">
        <v>73</v>
      </c>
      <c r="F683" s="519" t="s">
        <v>356</v>
      </c>
      <c r="G683" s="344">
        <v>41117</v>
      </c>
      <c r="H683" s="499" t="s">
        <v>10</v>
      </c>
      <c r="I683" s="509">
        <v>199</v>
      </c>
      <c r="J683" s="391">
        <v>1</v>
      </c>
      <c r="K683" s="391">
        <v>16</v>
      </c>
      <c r="L683" s="529">
        <v>1251</v>
      </c>
      <c r="M683" s="514">
        <v>417</v>
      </c>
      <c r="N683" s="541">
        <v>8429943</v>
      </c>
      <c r="O683" s="547">
        <v>799586</v>
      </c>
      <c r="P683" s="512">
        <f t="shared" si="18"/>
        <v>10.542884692828538</v>
      </c>
      <c r="Q683" s="513">
        <v>41334</v>
      </c>
    </row>
    <row r="684" spans="1:17" ht="11.25">
      <c r="A684" s="453">
        <v>683</v>
      </c>
      <c r="B684" s="497"/>
      <c r="C684" s="520" t="s">
        <v>345</v>
      </c>
      <c r="D684" s="492" t="s">
        <v>346</v>
      </c>
      <c r="E684" s="490" t="s">
        <v>81</v>
      </c>
      <c r="F684" s="491" t="s">
        <v>344</v>
      </c>
      <c r="G684" s="495">
        <v>41110</v>
      </c>
      <c r="H684" s="499" t="s">
        <v>139</v>
      </c>
      <c r="I684" s="517">
        <v>30</v>
      </c>
      <c r="J684" s="647">
        <v>1</v>
      </c>
      <c r="K684" s="647">
        <v>13</v>
      </c>
      <c r="L684" s="554">
        <v>111</v>
      </c>
      <c r="M684" s="555">
        <v>17</v>
      </c>
      <c r="N684" s="646">
        <v>138294.78</v>
      </c>
      <c r="O684" s="645">
        <v>14544</v>
      </c>
      <c r="P684" s="512">
        <f t="shared" si="18"/>
        <v>9.50871699669967</v>
      </c>
      <c r="Q684" s="513">
        <v>41278</v>
      </c>
    </row>
    <row r="685" spans="1:17" ht="11.25">
      <c r="A685" s="453">
        <v>684</v>
      </c>
      <c r="B685" s="497"/>
      <c r="C685" s="518" t="s">
        <v>549</v>
      </c>
      <c r="D685" s="492" t="s">
        <v>380</v>
      </c>
      <c r="E685" s="490" t="s">
        <v>73</v>
      </c>
      <c r="F685" s="392" t="s">
        <v>548</v>
      </c>
      <c r="G685" s="493">
        <v>41257</v>
      </c>
      <c r="H685" s="499" t="s">
        <v>10</v>
      </c>
      <c r="I685" s="509">
        <v>309</v>
      </c>
      <c r="J685" s="391">
        <v>250</v>
      </c>
      <c r="K685" s="391">
        <v>4</v>
      </c>
      <c r="L685" s="529">
        <v>950482</v>
      </c>
      <c r="M685" s="514">
        <v>79072</v>
      </c>
      <c r="N685" s="535">
        <v>11692055</v>
      </c>
      <c r="O685" s="542">
        <v>998348</v>
      </c>
      <c r="P685" s="512">
        <f t="shared" si="18"/>
        <v>11.711402236494688</v>
      </c>
      <c r="Q685" s="513">
        <v>41278</v>
      </c>
    </row>
    <row r="686" spans="1:17" ht="11.25">
      <c r="A686" s="453">
        <v>685</v>
      </c>
      <c r="B686" s="497"/>
      <c r="C686" s="518" t="s">
        <v>549</v>
      </c>
      <c r="D686" s="492" t="s">
        <v>380</v>
      </c>
      <c r="E686" s="490" t="s">
        <v>73</v>
      </c>
      <c r="F686" s="392" t="s">
        <v>548</v>
      </c>
      <c r="G686" s="493">
        <v>41257</v>
      </c>
      <c r="H686" s="499" t="s">
        <v>10</v>
      </c>
      <c r="I686" s="509">
        <v>309</v>
      </c>
      <c r="J686" s="391">
        <v>148</v>
      </c>
      <c r="K686" s="391">
        <v>5</v>
      </c>
      <c r="L686" s="529">
        <v>495631</v>
      </c>
      <c r="M686" s="514">
        <v>39730</v>
      </c>
      <c r="N686" s="541">
        <v>12187686</v>
      </c>
      <c r="O686" s="547">
        <v>1038078</v>
      </c>
      <c r="P686" s="512">
        <f t="shared" si="18"/>
        <v>11.740626426915897</v>
      </c>
      <c r="Q686" s="513">
        <v>41285</v>
      </c>
    </row>
    <row r="687" spans="1:17" ht="11.25">
      <c r="A687" s="453">
        <v>686</v>
      </c>
      <c r="B687" s="497"/>
      <c r="C687" s="518" t="s">
        <v>549</v>
      </c>
      <c r="D687" s="492" t="s">
        <v>380</v>
      </c>
      <c r="E687" s="490" t="s">
        <v>73</v>
      </c>
      <c r="F687" s="392" t="s">
        <v>548</v>
      </c>
      <c r="G687" s="493">
        <v>41257</v>
      </c>
      <c r="H687" s="499" t="s">
        <v>10</v>
      </c>
      <c r="I687" s="509">
        <v>309</v>
      </c>
      <c r="J687" s="391">
        <v>46</v>
      </c>
      <c r="K687" s="391">
        <v>6</v>
      </c>
      <c r="L687" s="529">
        <v>162004</v>
      </c>
      <c r="M687" s="514">
        <v>11861</v>
      </c>
      <c r="N687" s="541">
        <v>12349690</v>
      </c>
      <c r="O687" s="547">
        <v>1049939</v>
      </c>
      <c r="P687" s="512">
        <f t="shared" si="18"/>
        <v>11.762292857013598</v>
      </c>
      <c r="Q687" s="513">
        <v>41292</v>
      </c>
    </row>
    <row r="688" spans="1:17" ht="11.25">
      <c r="A688" s="453">
        <v>687</v>
      </c>
      <c r="B688" s="497"/>
      <c r="C688" s="518" t="s">
        <v>549</v>
      </c>
      <c r="D688" s="492" t="s">
        <v>380</v>
      </c>
      <c r="E688" s="490" t="s">
        <v>73</v>
      </c>
      <c r="F688" s="392" t="s">
        <v>548</v>
      </c>
      <c r="G688" s="493">
        <v>41257</v>
      </c>
      <c r="H688" s="499" t="s">
        <v>10</v>
      </c>
      <c r="I688" s="509">
        <v>309</v>
      </c>
      <c r="J688" s="391">
        <v>21</v>
      </c>
      <c r="K688" s="391">
        <v>7</v>
      </c>
      <c r="L688" s="510">
        <v>91083</v>
      </c>
      <c r="M688" s="511">
        <v>6906</v>
      </c>
      <c r="N688" s="535">
        <v>12440773</v>
      </c>
      <c r="O688" s="542">
        <v>1056845</v>
      </c>
      <c r="P688" s="512">
        <f t="shared" si="18"/>
        <v>11.771615515993357</v>
      </c>
      <c r="Q688" s="513">
        <v>41299</v>
      </c>
    </row>
    <row r="689" spans="1:17" ht="11.25">
      <c r="A689" s="453">
        <v>688</v>
      </c>
      <c r="B689" s="497"/>
      <c r="C689" s="518" t="s">
        <v>549</v>
      </c>
      <c r="D689" s="492" t="s">
        <v>380</v>
      </c>
      <c r="E689" s="490" t="s">
        <v>73</v>
      </c>
      <c r="F689" s="392" t="s">
        <v>548</v>
      </c>
      <c r="G689" s="526">
        <v>41257</v>
      </c>
      <c r="H689" s="499" t="s">
        <v>10</v>
      </c>
      <c r="I689" s="509">
        <v>309</v>
      </c>
      <c r="J689" s="382">
        <v>4</v>
      </c>
      <c r="K689" s="382">
        <v>10</v>
      </c>
      <c r="L689" s="658">
        <v>10223</v>
      </c>
      <c r="M689" s="659">
        <v>2125</v>
      </c>
      <c r="N689" s="660">
        <v>12456283</v>
      </c>
      <c r="O689" s="661">
        <v>1060111</v>
      </c>
      <c r="P689" s="512">
        <f t="shared" si="18"/>
        <v>11.749979954929248</v>
      </c>
      <c r="Q689" s="513">
        <v>41320</v>
      </c>
    </row>
    <row r="690" spans="1:17" ht="11.25">
      <c r="A690" s="453">
        <v>689</v>
      </c>
      <c r="B690" s="497"/>
      <c r="C690" s="518" t="s">
        <v>549</v>
      </c>
      <c r="D690" s="492" t="s">
        <v>380</v>
      </c>
      <c r="E690" s="490" t="s">
        <v>73</v>
      </c>
      <c r="F690" s="392" t="s">
        <v>548</v>
      </c>
      <c r="G690" s="493">
        <v>41257</v>
      </c>
      <c r="H690" s="499" t="s">
        <v>10</v>
      </c>
      <c r="I690" s="509">
        <v>309</v>
      </c>
      <c r="J690" s="382">
        <v>6</v>
      </c>
      <c r="K690" s="382">
        <v>8</v>
      </c>
      <c r="L690" s="529">
        <v>4780</v>
      </c>
      <c r="M690" s="511">
        <v>1063</v>
      </c>
      <c r="N690" s="541">
        <v>12445553</v>
      </c>
      <c r="O690" s="542">
        <v>1057908</v>
      </c>
      <c r="P690" s="515">
        <f t="shared" si="18"/>
        <v>11.76430559179059</v>
      </c>
      <c r="Q690" s="516">
        <v>41306</v>
      </c>
    </row>
    <row r="691" spans="1:17" ht="11.25">
      <c r="A691" s="453">
        <v>690</v>
      </c>
      <c r="B691" s="497"/>
      <c r="C691" s="501" t="s">
        <v>549</v>
      </c>
      <c r="D691" s="492" t="s">
        <v>380</v>
      </c>
      <c r="E691" s="490" t="s">
        <v>73</v>
      </c>
      <c r="F691" s="392" t="s">
        <v>548</v>
      </c>
      <c r="G691" s="493">
        <v>41257</v>
      </c>
      <c r="H691" s="491" t="s">
        <v>10</v>
      </c>
      <c r="I691" s="506">
        <v>309</v>
      </c>
      <c r="J691" s="382">
        <v>2</v>
      </c>
      <c r="K691" s="382">
        <v>15</v>
      </c>
      <c r="L691" s="558">
        <v>4760</v>
      </c>
      <c r="M691" s="559">
        <v>1190</v>
      </c>
      <c r="N691" s="440">
        <v>12470444</v>
      </c>
      <c r="O691" s="441">
        <v>1063137</v>
      </c>
      <c r="P691" s="515">
        <f t="shared" si="18"/>
        <v>11.729856076874382</v>
      </c>
      <c r="Q691" s="516">
        <v>41488</v>
      </c>
    </row>
    <row r="692" spans="1:17" ht="11.25">
      <c r="A692" s="453">
        <v>691</v>
      </c>
      <c r="B692" s="497"/>
      <c r="C692" s="518" t="s">
        <v>549</v>
      </c>
      <c r="D692" s="506" t="s">
        <v>380</v>
      </c>
      <c r="E692" s="500" t="s">
        <v>73</v>
      </c>
      <c r="F692" s="519" t="s">
        <v>548</v>
      </c>
      <c r="G692" s="526">
        <v>41257</v>
      </c>
      <c r="H692" s="499" t="s">
        <v>10</v>
      </c>
      <c r="I692" s="509">
        <v>309</v>
      </c>
      <c r="J692" s="391">
        <v>1</v>
      </c>
      <c r="K692" s="391">
        <v>13</v>
      </c>
      <c r="L692" s="658">
        <v>2975</v>
      </c>
      <c r="M692" s="659">
        <v>595</v>
      </c>
      <c r="N692" s="660">
        <v>12462709</v>
      </c>
      <c r="O692" s="661">
        <v>1061352</v>
      </c>
      <c r="P692" s="512">
        <f t="shared" si="18"/>
        <v>11.742295675704197</v>
      </c>
      <c r="Q692" s="513">
        <v>41348</v>
      </c>
    </row>
    <row r="693" spans="1:17" ht="11.25">
      <c r="A693" s="453">
        <v>692</v>
      </c>
      <c r="B693" s="497"/>
      <c r="C693" s="518" t="s">
        <v>549</v>
      </c>
      <c r="D693" s="506" t="s">
        <v>380</v>
      </c>
      <c r="E693" s="500" t="s">
        <v>73</v>
      </c>
      <c r="F693" s="519" t="s">
        <v>548</v>
      </c>
      <c r="G693" s="526">
        <v>41257</v>
      </c>
      <c r="H693" s="499" t="s">
        <v>10</v>
      </c>
      <c r="I693" s="509">
        <v>309</v>
      </c>
      <c r="J693" s="391">
        <v>1</v>
      </c>
      <c r="K693" s="391">
        <v>14</v>
      </c>
      <c r="L693" s="558">
        <v>2975</v>
      </c>
      <c r="M693" s="559">
        <v>595</v>
      </c>
      <c r="N693" s="440">
        <v>12465684</v>
      </c>
      <c r="O693" s="441">
        <v>1061947</v>
      </c>
      <c r="P693" s="515">
        <f t="shared" si="18"/>
        <v>11.738518023969181</v>
      </c>
      <c r="Q693" s="516">
        <v>41383</v>
      </c>
    </row>
    <row r="694" spans="1:17" ht="11.25">
      <c r="A694" s="453">
        <v>693</v>
      </c>
      <c r="B694" s="497"/>
      <c r="C694" s="518" t="s">
        <v>549</v>
      </c>
      <c r="D694" s="506" t="s">
        <v>380</v>
      </c>
      <c r="E694" s="500" t="s">
        <v>73</v>
      </c>
      <c r="F694" s="519" t="s">
        <v>548</v>
      </c>
      <c r="G694" s="526">
        <v>41257</v>
      </c>
      <c r="H694" s="499" t="s">
        <v>10</v>
      </c>
      <c r="I694" s="509">
        <v>309</v>
      </c>
      <c r="J694" s="391">
        <v>1</v>
      </c>
      <c r="K694" s="391">
        <v>11</v>
      </c>
      <c r="L694" s="510">
        <v>2806</v>
      </c>
      <c r="M694" s="511">
        <v>185</v>
      </c>
      <c r="N694" s="535">
        <v>850665</v>
      </c>
      <c r="O694" s="542">
        <v>66615</v>
      </c>
      <c r="P694" s="512">
        <f t="shared" si="18"/>
        <v>12.76987165052916</v>
      </c>
      <c r="Q694" s="513">
        <v>41327</v>
      </c>
    </row>
    <row r="695" spans="1:17" ht="11.25">
      <c r="A695" s="453">
        <v>694</v>
      </c>
      <c r="B695" s="402"/>
      <c r="C695" s="501" t="s">
        <v>549</v>
      </c>
      <c r="D695" s="492" t="s">
        <v>380</v>
      </c>
      <c r="E695" s="490" t="s">
        <v>73</v>
      </c>
      <c r="F695" s="392" t="s">
        <v>548</v>
      </c>
      <c r="G695" s="493">
        <v>41257</v>
      </c>
      <c r="H695" s="491" t="s">
        <v>10</v>
      </c>
      <c r="I695" s="509">
        <v>309</v>
      </c>
      <c r="J695" s="391">
        <v>1</v>
      </c>
      <c r="K695" s="391">
        <v>16</v>
      </c>
      <c r="L695" s="558">
        <v>2381</v>
      </c>
      <c r="M695" s="559">
        <v>476</v>
      </c>
      <c r="N695" s="440">
        <v>12472825</v>
      </c>
      <c r="O695" s="441">
        <v>1063613</v>
      </c>
      <c r="P695" s="515">
        <f t="shared" si="18"/>
        <v>11.726845196514146</v>
      </c>
      <c r="Q695" s="516">
        <v>41502</v>
      </c>
    </row>
    <row r="696" spans="1:17" ht="11.25">
      <c r="A696" s="453">
        <v>695</v>
      </c>
      <c r="B696" s="497"/>
      <c r="C696" s="501" t="s">
        <v>549</v>
      </c>
      <c r="D696" s="492" t="s">
        <v>380</v>
      </c>
      <c r="E696" s="490" t="s">
        <v>73</v>
      </c>
      <c r="F696" s="392" t="s">
        <v>548</v>
      </c>
      <c r="G696" s="493">
        <v>41257</v>
      </c>
      <c r="H696" s="491" t="s">
        <v>10</v>
      </c>
      <c r="I696" s="509">
        <v>309</v>
      </c>
      <c r="J696" s="391">
        <v>1</v>
      </c>
      <c r="K696" s="391">
        <v>17</v>
      </c>
      <c r="L696" s="503">
        <v>2381</v>
      </c>
      <c r="M696" s="504">
        <v>476</v>
      </c>
      <c r="N696" s="503">
        <f>12472825+2381</f>
        <v>12475206</v>
      </c>
      <c r="O696" s="504">
        <f>1063613+476</f>
        <v>1064089</v>
      </c>
      <c r="P696" s="512">
        <f t="shared" si="18"/>
        <v>11.723837009874174</v>
      </c>
      <c r="Q696" s="513">
        <v>41509</v>
      </c>
    </row>
    <row r="697" spans="1:17" ht="11.25">
      <c r="A697" s="453">
        <v>696</v>
      </c>
      <c r="B697" s="497"/>
      <c r="C697" s="518" t="s">
        <v>549</v>
      </c>
      <c r="D697" s="492" t="s">
        <v>380</v>
      </c>
      <c r="E697" s="490" t="s">
        <v>73</v>
      </c>
      <c r="F697" s="392" t="s">
        <v>548</v>
      </c>
      <c r="G697" s="526">
        <v>41257</v>
      </c>
      <c r="H697" s="499" t="s">
        <v>10</v>
      </c>
      <c r="I697" s="509">
        <v>309</v>
      </c>
      <c r="J697" s="391">
        <v>1</v>
      </c>
      <c r="K697" s="391">
        <v>9</v>
      </c>
      <c r="L697" s="510">
        <v>507</v>
      </c>
      <c r="M697" s="514">
        <v>78</v>
      </c>
      <c r="N697" s="535">
        <v>12446060</v>
      </c>
      <c r="O697" s="547">
        <v>1057986</v>
      </c>
      <c r="P697" s="515">
        <f t="shared" si="18"/>
        <v>11.763917480949653</v>
      </c>
      <c r="Q697" s="516">
        <v>41313</v>
      </c>
    </row>
    <row r="698" spans="1:17" ht="11.25">
      <c r="A698" s="453">
        <v>697</v>
      </c>
      <c r="B698" s="497"/>
      <c r="C698" s="518" t="s">
        <v>549</v>
      </c>
      <c r="D698" s="506" t="s">
        <v>380</v>
      </c>
      <c r="E698" s="500" t="s">
        <v>73</v>
      </c>
      <c r="F698" s="519" t="s">
        <v>548</v>
      </c>
      <c r="G698" s="526">
        <v>41257</v>
      </c>
      <c r="H698" s="499" t="s">
        <v>10</v>
      </c>
      <c r="I698" s="509">
        <v>309</v>
      </c>
      <c r="J698" s="391">
        <v>1</v>
      </c>
      <c r="K698" s="391">
        <v>12</v>
      </c>
      <c r="L698" s="510">
        <v>476</v>
      </c>
      <c r="M698" s="511">
        <v>51</v>
      </c>
      <c r="N698" s="535">
        <v>12459734</v>
      </c>
      <c r="O698" s="542">
        <v>1060757</v>
      </c>
      <c r="P698" s="512">
        <f t="shared" si="18"/>
        <v>11.746077565361341</v>
      </c>
      <c r="Q698" s="513">
        <v>41341</v>
      </c>
    </row>
    <row r="699" spans="1:17" ht="11.25">
      <c r="A699" s="453">
        <v>698</v>
      </c>
      <c r="B699" s="498"/>
      <c r="C699" s="502" t="s">
        <v>988</v>
      </c>
      <c r="D699" s="490" t="s">
        <v>338</v>
      </c>
      <c r="E699" s="492" t="s">
        <v>67</v>
      </c>
      <c r="F699" s="496" t="s">
        <v>215</v>
      </c>
      <c r="G699" s="495">
        <v>40991</v>
      </c>
      <c r="H699" s="491" t="s">
        <v>59</v>
      </c>
      <c r="I699" s="506">
        <v>143</v>
      </c>
      <c r="J699" s="517">
        <v>1</v>
      </c>
      <c r="K699" s="517">
        <v>21</v>
      </c>
      <c r="L699" s="503">
        <v>1188</v>
      </c>
      <c r="M699" s="504">
        <v>238</v>
      </c>
      <c r="N699" s="503">
        <f>1928270.97+1396092.19+841604.35+607065.33+536433.78+359147.91+187128.8+92168.61+44785.37+25142.81+16359.25+12738.76+9703.24+13701.65+3583.06+11923+1535+298+4812+7128+1188</f>
        <v>6100810.08</v>
      </c>
      <c r="O699" s="504">
        <f>199840+143974+88208+63709+56513+41181+22800+12112+6186+3535+2183+1570+1282+1784+462+2199+214+42+776+1425+238</f>
        <v>650233</v>
      </c>
      <c r="P699" s="512">
        <f t="shared" si="18"/>
        <v>9.382498396728558</v>
      </c>
      <c r="Q699" s="513">
        <v>41509</v>
      </c>
    </row>
    <row r="700" spans="1:17" ht="11.25">
      <c r="A700" s="453">
        <v>699</v>
      </c>
      <c r="B700" s="497"/>
      <c r="C700" s="520" t="s">
        <v>274</v>
      </c>
      <c r="D700" s="491" t="s">
        <v>331</v>
      </c>
      <c r="E700" s="491" t="s">
        <v>65</v>
      </c>
      <c r="F700" s="491" t="s">
        <v>260</v>
      </c>
      <c r="G700" s="495">
        <v>41040</v>
      </c>
      <c r="H700" s="499" t="s">
        <v>139</v>
      </c>
      <c r="I700" s="509">
        <v>45</v>
      </c>
      <c r="J700" s="640">
        <v>1</v>
      </c>
      <c r="K700" s="640">
        <v>17</v>
      </c>
      <c r="L700" s="554">
        <v>1333</v>
      </c>
      <c r="M700" s="555">
        <v>266</v>
      </c>
      <c r="N700" s="646">
        <v>744548.94</v>
      </c>
      <c r="O700" s="645">
        <v>68733</v>
      </c>
      <c r="P700" s="512">
        <f t="shared" si="18"/>
        <v>10.832481340840644</v>
      </c>
      <c r="Q700" s="513">
        <v>41278</v>
      </c>
    </row>
    <row r="701" spans="1:17" ht="11.25">
      <c r="A701" s="453">
        <v>700</v>
      </c>
      <c r="B701" s="497"/>
      <c r="C701" s="520" t="s">
        <v>274</v>
      </c>
      <c r="D701" s="499" t="s">
        <v>331</v>
      </c>
      <c r="E701" s="499" t="s">
        <v>65</v>
      </c>
      <c r="F701" s="499" t="s">
        <v>260</v>
      </c>
      <c r="G701" s="508">
        <v>41040</v>
      </c>
      <c r="H701" s="499" t="s">
        <v>139</v>
      </c>
      <c r="I701" s="509">
        <v>45</v>
      </c>
      <c r="J701" s="509">
        <v>1</v>
      </c>
      <c r="K701" s="509">
        <v>19</v>
      </c>
      <c r="L701" s="530">
        <v>891</v>
      </c>
      <c r="M701" s="533">
        <v>178</v>
      </c>
      <c r="N701" s="551">
        <v>746139.94</v>
      </c>
      <c r="O701" s="553">
        <v>68951</v>
      </c>
      <c r="P701" s="512">
        <f t="shared" si="18"/>
        <v>10.821307015126683</v>
      </c>
      <c r="Q701" s="513">
        <v>41348</v>
      </c>
    </row>
    <row r="702" spans="1:17" ht="11.25">
      <c r="A702" s="453">
        <v>701</v>
      </c>
      <c r="B702" s="497"/>
      <c r="C702" s="520" t="s">
        <v>274</v>
      </c>
      <c r="D702" s="491" t="s">
        <v>331</v>
      </c>
      <c r="E702" s="491" t="s">
        <v>65</v>
      </c>
      <c r="F702" s="491" t="s">
        <v>260</v>
      </c>
      <c r="G702" s="495">
        <v>41040</v>
      </c>
      <c r="H702" s="499" t="s">
        <v>139</v>
      </c>
      <c r="I702" s="509">
        <v>45</v>
      </c>
      <c r="J702" s="509">
        <v>1</v>
      </c>
      <c r="K702" s="509">
        <v>18</v>
      </c>
      <c r="L702" s="531">
        <v>700</v>
      </c>
      <c r="M702" s="534">
        <v>40</v>
      </c>
      <c r="N702" s="550">
        <v>745248.94</v>
      </c>
      <c r="O702" s="552">
        <v>68773</v>
      </c>
      <c r="P702" s="512">
        <f t="shared" si="18"/>
        <v>10.83635932706149</v>
      </c>
      <c r="Q702" s="513">
        <v>41299</v>
      </c>
    </row>
    <row r="703" spans="1:17" ht="11.25">
      <c r="A703" s="453">
        <v>702</v>
      </c>
      <c r="B703" s="497"/>
      <c r="C703" s="548" t="s">
        <v>159</v>
      </c>
      <c r="D703" s="506" t="s">
        <v>161</v>
      </c>
      <c r="E703" s="506" t="s">
        <v>236</v>
      </c>
      <c r="F703" s="499" t="s">
        <v>160</v>
      </c>
      <c r="G703" s="508">
        <v>40921</v>
      </c>
      <c r="H703" s="499" t="s">
        <v>151</v>
      </c>
      <c r="I703" s="509">
        <v>30</v>
      </c>
      <c r="J703" s="509">
        <v>1</v>
      </c>
      <c r="K703" s="509">
        <v>19</v>
      </c>
      <c r="L703" s="669">
        <v>157</v>
      </c>
      <c r="M703" s="670">
        <v>31</v>
      </c>
      <c r="N703" s="675">
        <v>545874.5</v>
      </c>
      <c r="O703" s="676">
        <v>42507</v>
      </c>
      <c r="P703" s="512">
        <f t="shared" si="18"/>
        <v>12.841990730938434</v>
      </c>
      <c r="Q703" s="513">
        <v>41348</v>
      </c>
    </row>
    <row r="704" spans="1:17" ht="11.25">
      <c r="A704" s="453">
        <v>703</v>
      </c>
      <c r="B704" s="497"/>
      <c r="C704" s="548" t="s">
        <v>159</v>
      </c>
      <c r="D704" s="506" t="s">
        <v>161</v>
      </c>
      <c r="E704" s="506" t="s">
        <v>236</v>
      </c>
      <c r="F704" s="499" t="s">
        <v>160</v>
      </c>
      <c r="G704" s="508">
        <v>40921</v>
      </c>
      <c r="H704" s="499" t="s">
        <v>151</v>
      </c>
      <c r="I704" s="509">
        <v>30</v>
      </c>
      <c r="J704" s="517">
        <v>1</v>
      </c>
      <c r="K704" s="517">
        <v>20</v>
      </c>
      <c r="L704" s="602">
        <v>90</v>
      </c>
      <c r="M704" s="603">
        <v>18</v>
      </c>
      <c r="N704" s="685">
        <v>545964.5</v>
      </c>
      <c r="O704" s="686">
        <v>42525</v>
      </c>
      <c r="P704" s="515">
        <f t="shared" si="18"/>
        <v>12.838671369782482</v>
      </c>
      <c r="Q704" s="516">
        <v>41355</v>
      </c>
    </row>
    <row r="705" spans="1:17" ht="11.25">
      <c r="A705" s="453">
        <v>704</v>
      </c>
      <c r="B705" s="497"/>
      <c r="C705" s="548" t="s">
        <v>159</v>
      </c>
      <c r="D705" s="506" t="s">
        <v>161</v>
      </c>
      <c r="E705" s="506" t="s">
        <v>236</v>
      </c>
      <c r="F705" s="499" t="s">
        <v>160</v>
      </c>
      <c r="G705" s="508">
        <v>40921</v>
      </c>
      <c r="H705" s="499" t="s">
        <v>151</v>
      </c>
      <c r="I705" s="509">
        <v>30</v>
      </c>
      <c r="J705" s="509">
        <v>1</v>
      </c>
      <c r="K705" s="509">
        <v>21</v>
      </c>
      <c r="L705" s="669">
        <v>35</v>
      </c>
      <c r="M705" s="670">
        <v>7</v>
      </c>
      <c r="N705" s="675">
        <v>545999.5</v>
      </c>
      <c r="O705" s="676">
        <v>42532</v>
      </c>
      <c r="P705" s="512">
        <f t="shared" si="18"/>
        <v>12.837381265870404</v>
      </c>
      <c r="Q705" s="513">
        <v>41362</v>
      </c>
    </row>
    <row r="706" spans="1:17" ht="11.25">
      <c r="A706" s="453">
        <v>705</v>
      </c>
      <c r="B706" s="497"/>
      <c r="C706" s="518" t="s">
        <v>507</v>
      </c>
      <c r="D706" s="492" t="s">
        <v>336</v>
      </c>
      <c r="E706" s="490" t="s">
        <v>65</v>
      </c>
      <c r="F706" s="494" t="s">
        <v>507</v>
      </c>
      <c r="G706" s="526">
        <v>41222</v>
      </c>
      <c r="H706" s="499" t="s">
        <v>59</v>
      </c>
      <c r="I706" s="509">
        <v>22</v>
      </c>
      <c r="J706" s="575">
        <v>2</v>
      </c>
      <c r="K706" s="575">
        <v>11</v>
      </c>
      <c r="L706" s="510">
        <v>2683</v>
      </c>
      <c r="M706" s="514">
        <v>221</v>
      </c>
      <c r="N706" s="535">
        <f>100847.47+62756.23+18736+7983+90+6916.5+368+227+2117+585+2683</f>
        <v>203309.2</v>
      </c>
      <c r="O706" s="547">
        <f>7386+4445+1268+662+9+748+42+26+418+208+221</f>
        <v>15433</v>
      </c>
      <c r="P706" s="515">
        <f t="shared" si="18"/>
        <v>13.173666817857837</v>
      </c>
      <c r="Q706" s="516">
        <v>41313</v>
      </c>
    </row>
    <row r="707" spans="1:17" ht="11.25">
      <c r="A707" s="453">
        <v>706</v>
      </c>
      <c r="B707" s="497"/>
      <c r="C707" s="518" t="s">
        <v>507</v>
      </c>
      <c r="D707" s="524" t="s">
        <v>336</v>
      </c>
      <c r="E707" s="490" t="s">
        <v>65</v>
      </c>
      <c r="F707" s="494" t="s">
        <v>507</v>
      </c>
      <c r="G707" s="493">
        <v>41222</v>
      </c>
      <c r="H707" s="499" t="s">
        <v>59</v>
      </c>
      <c r="I707" s="509">
        <v>22</v>
      </c>
      <c r="J707" s="575">
        <v>2</v>
      </c>
      <c r="K707" s="575">
        <v>9</v>
      </c>
      <c r="L707" s="529">
        <v>2117</v>
      </c>
      <c r="M707" s="514">
        <v>418</v>
      </c>
      <c r="N707" s="541">
        <f>100847.47+62756.23+18736+7983+90+6916.5+368+227+2117</f>
        <v>200041.2</v>
      </c>
      <c r="O707" s="547">
        <f>7386+4445+1268+662+9+748+42+26+418</f>
        <v>15004</v>
      </c>
      <c r="P707" s="512">
        <f t="shared" si="18"/>
        <v>13.332524660090643</v>
      </c>
      <c r="Q707" s="513">
        <v>41299</v>
      </c>
    </row>
    <row r="708" spans="1:17" ht="11.25">
      <c r="A708" s="453">
        <v>707</v>
      </c>
      <c r="B708" s="497"/>
      <c r="C708" s="518" t="s">
        <v>507</v>
      </c>
      <c r="D708" s="506" t="s">
        <v>336</v>
      </c>
      <c r="E708" s="500" t="s">
        <v>65</v>
      </c>
      <c r="F708" s="525" t="s">
        <v>507</v>
      </c>
      <c r="G708" s="526">
        <v>41222</v>
      </c>
      <c r="H708" s="499" t="s">
        <v>59</v>
      </c>
      <c r="I708" s="509">
        <v>22</v>
      </c>
      <c r="J708" s="517">
        <v>1</v>
      </c>
      <c r="K708" s="517">
        <v>14</v>
      </c>
      <c r="L708" s="503">
        <v>1114</v>
      </c>
      <c r="M708" s="504">
        <v>105</v>
      </c>
      <c r="N708" s="538">
        <f>100847.47+62756.23+18736+7983+90+6916.5+368+227+2117+585+2728+232+956+1114</f>
        <v>205656.2</v>
      </c>
      <c r="O708" s="544">
        <f>7386+4445+1268+662+9+748+42+26+418+208+227+102+458+105</f>
        <v>16104</v>
      </c>
      <c r="P708" s="512">
        <f t="shared" si="18"/>
        <v>12.770504222553404</v>
      </c>
      <c r="Q708" s="513">
        <v>41467</v>
      </c>
    </row>
    <row r="709" spans="1:17" ht="11.25">
      <c r="A709" s="453">
        <v>708</v>
      </c>
      <c r="B709" s="497"/>
      <c r="C709" s="518" t="s">
        <v>507</v>
      </c>
      <c r="D709" s="506" t="s">
        <v>336</v>
      </c>
      <c r="E709" s="500" t="s">
        <v>65</v>
      </c>
      <c r="F709" s="525" t="s">
        <v>507</v>
      </c>
      <c r="G709" s="526">
        <v>41222</v>
      </c>
      <c r="H709" s="499" t="s">
        <v>59</v>
      </c>
      <c r="I709" s="509">
        <v>22</v>
      </c>
      <c r="J709" s="575">
        <v>1</v>
      </c>
      <c r="K709" s="575">
        <v>13</v>
      </c>
      <c r="L709" s="648">
        <v>956</v>
      </c>
      <c r="M709" s="649">
        <v>458</v>
      </c>
      <c r="N709" s="535">
        <f>100847.47+62756.23+18736+7983+90+6916.5+368+227+2117+585+2728+232</f>
        <v>203586.2</v>
      </c>
      <c r="O709" s="542">
        <f>7386+4445+1268+662+9+748+42+26+418+208+227+102</f>
        <v>15541</v>
      </c>
      <c r="P709" s="512">
        <f t="shared" si="18"/>
        <v>13.099942088668683</v>
      </c>
      <c r="Q709" s="513">
        <v>41327</v>
      </c>
    </row>
    <row r="710" spans="1:17" ht="11.25">
      <c r="A710" s="453">
        <v>709</v>
      </c>
      <c r="B710" s="497"/>
      <c r="C710" s="518" t="s">
        <v>507</v>
      </c>
      <c r="D710" s="506" t="s">
        <v>336</v>
      </c>
      <c r="E710" s="500" t="s">
        <v>65</v>
      </c>
      <c r="F710" s="525" t="s">
        <v>507</v>
      </c>
      <c r="G710" s="493">
        <v>41222</v>
      </c>
      <c r="H710" s="499" t="s">
        <v>59</v>
      </c>
      <c r="I710" s="509">
        <v>22</v>
      </c>
      <c r="J710" s="517">
        <v>1</v>
      </c>
      <c r="K710" s="517">
        <v>15</v>
      </c>
      <c r="L710" s="528">
        <v>746</v>
      </c>
      <c r="M710" s="532">
        <v>69</v>
      </c>
      <c r="N710" s="537">
        <f>100847.47+62756.23+18736+7983+90+6916.5+368+227+2117+585+2728+232+956+1114+746</f>
        <v>206402.2</v>
      </c>
      <c r="O710" s="543">
        <f>7386+4445+1268+662+9+748+42+26+418+208+227+102+458+105+69</f>
        <v>16173</v>
      </c>
      <c r="P710" s="515">
        <f t="shared" si="18"/>
        <v>12.762146787856304</v>
      </c>
      <c r="Q710" s="516">
        <v>41474</v>
      </c>
    </row>
    <row r="711" spans="1:17" ht="11.25">
      <c r="A711" s="453">
        <v>710</v>
      </c>
      <c r="B711" s="497"/>
      <c r="C711" s="518" t="s">
        <v>507</v>
      </c>
      <c r="D711" s="524" t="s">
        <v>336</v>
      </c>
      <c r="E711" s="490" t="s">
        <v>65</v>
      </c>
      <c r="F711" s="494" t="s">
        <v>507</v>
      </c>
      <c r="G711" s="493">
        <v>41222</v>
      </c>
      <c r="H711" s="499" t="s">
        <v>59</v>
      </c>
      <c r="I711" s="509">
        <v>22</v>
      </c>
      <c r="J711" s="601">
        <v>1</v>
      </c>
      <c r="K711" s="601">
        <v>10</v>
      </c>
      <c r="L711" s="529">
        <v>585</v>
      </c>
      <c r="M711" s="511">
        <v>208</v>
      </c>
      <c r="N711" s="541">
        <f>100847.47+62756.23+18736+7983+90+6916.5+368+227+2117+585</f>
        <v>200626.2</v>
      </c>
      <c r="O711" s="542">
        <f>7386+4445+1268+662+9+748+42+26+418+208</f>
        <v>15212</v>
      </c>
      <c r="P711" s="515">
        <f t="shared" si="18"/>
        <v>13.188679989481988</v>
      </c>
      <c r="Q711" s="516">
        <v>41306</v>
      </c>
    </row>
    <row r="712" spans="1:17" ht="11.25">
      <c r="A712" s="453">
        <v>711</v>
      </c>
      <c r="B712" s="497"/>
      <c r="C712" s="501" t="s">
        <v>507</v>
      </c>
      <c r="D712" s="492" t="s">
        <v>336</v>
      </c>
      <c r="E712" s="490" t="s">
        <v>65</v>
      </c>
      <c r="F712" s="494" t="s">
        <v>507</v>
      </c>
      <c r="G712" s="493">
        <v>41222</v>
      </c>
      <c r="H712" s="491" t="s">
        <v>59</v>
      </c>
      <c r="I712" s="506">
        <v>22</v>
      </c>
      <c r="J712" s="517">
        <v>1</v>
      </c>
      <c r="K712" s="517">
        <v>16</v>
      </c>
      <c r="L712" s="503">
        <v>410</v>
      </c>
      <c r="M712" s="504">
        <v>38</v>
      </c>
      <c r="N712" s="538">
        <f>100847.47+62756.23+18736+7983+90+6916.5+368+227+2117+585+2728+232+956+1114+746+410</f>
        <v>206812.2</v>
      </c>
      <c r="O712" s="544">
        <f>7386+4445+1268+662+9+748+42+26+418+208+227+102+458+105+69+38</f>
        <v>16211</v>
      </c>
      <c r="P712" s="512">
        <f t="shared" si="18"/>
        <v>12.757522669792117</v>
      </c>
      <c r="Q712" s="513">
        <v>41495</v>
      </c>
    </row>
    <row r="713" spans="1:17" ht="11.25">
      <c r="A713" s="453">
        <v>712</v>
      </c>
      <c r="B713" s="497"/>
      <c r="C713" s="518" t="s">
        <v>507</v>
      </c>
      <c r="D713" s="492" t="s">
        <v>336</v>
      </c>
      <c r="E713" s="490" t="s">
        <v>65</v>
      </c>
      <c r="F713" s="494" t="s">
        <v>507</v>
      </c>
      <c r="G713" s="526">
        <v>41222</v>
      </c>
      <c r="H713" s="499" t="s">
        <v>59</v>
      </c>
      <c r="I713" s="509">
        <v>22</v>
      </c>
      <c r="J713" s="601">
        <v>2</v>
      </c>
      <c r="K713" s="601">
        <v>12</v>
      </c>
      <c r="L713" s="510">
        <v>232</v>
      </c>
      <c r="M713" s="511">
        <v>102</v>
      </c>
      <c r="N713" s="535">
        <f>100847.47+62756.23+18736+7983+90+6916.5+368+227+2117+585+2728+232</f>
        <v>203586.2</v>
      </c>
      <c r="O713" s="542">
        <f>7386+4445+1268+662+9+748+42+26+418+208+227+102</f>
        <v>15541</v>
      </c>
      <c r="P713" s="512">
        <f aca="true" t="shared" si="19" ref="P713:P744">N713/O713</f>
        <v>13.099942088668683</v>
      </c>
      <c r="Q713" s="513">
        <v>41320</v>
      </c>
    </row>
    <row r="714" spans="1:17" ht="11.25">
      <c r="A714" s="453">
        <v>713</v>
      </c>
      <c r="B714" s="497"/>
      <c r="C714" s="518" t="s">
        <v>507</v>
      </c>
      <c r="D714" s="524" t="s">
        <v>336</v>
      </c>
      <c r="E714" s="490" t="s">
        <v>65</v>
      </c>
      <c r="F714" s="494" t="s">
        <v>507</v>
      </c>
      <c r="G714" s="493">
        <v>41222</v>
      </c>
      <c r="H714" s="499" t="s">
        <v>59</v>
      </c>
      <c r="I714" s="509">
        <v>22</v>
      </c>
      <c r="J714" s="575">
        <v>1</v>
      </c>
      <c r="K714" s="575">
        <v>8</v>
      </c>
      <c r="L714" s="529">
        <v>227</v>
      </c>
      <c r="M714" s="514">
        <v>26</v>
      </c>
      <c r="N714" s="535">
        <f>100847.47+62756.23+18736+7983+90+6916.5+368+227</f>
        <v>197924.2</v>
      </c>
      <c r="O714" s="542">
        <f>7386+4445+1268+662+9+748+42+26</f>
        <v>14586</v>
      </c>
      <c r="P714" s="512">
        <f t="shared" si="19"/>
        <v>13.56946386946387</v>
      </c>
      <c r="Q714" s="513">
        <v>41278</v>
      </c>
    </row>
    <row r="715" spans="1:17" ht="11.25">
      <c r="A715" s="453">
        <v>714</v>
      </c>
      <c r="B715" s="497"/>
      <c r="C715" s="549" t="s">
        <v>200</v>
      </c>
      <c r="D715" s="491" t="s">
        <v>71</v>
      </c>
      <c r="E715" s="339" t="s">
        <v>72</v>
      </c>
      <c r="F715" s="496" t="s">
        <v>201</v>
      </c>
      <c r="G715" s="493">
        <v>40956</v>
      </c>
      <c r="H715" s="499" t="s">
        <v>12</v>
      </c>
      <c r="I715" s="506">
        <v>90</v>
      </c>
      <c r="J715" s="509">
        <v>1</v>
      </c>
      <c r="K715" s="509">
        <v>50</v>
      </c>
      <c r="L715" s="531">
        <v>595</v>
      </c>
      <c r="M715" s="534">
        <v>105</v>
      </c>
      <c r="N715" s="550">
        <v>1783227</v>
      </c>
      <c r="O715" s="552">
        <v>167450</v>
      </c>
      <c r="P715" s="512">
        <f t="shared" si="19"/>
        <v>10.649310241863242</v>
      </c>
      <c r="Q715" s="513">
        <v>41299</v>
      </c>
    </row>
    <row r="716" spans="1:17" ht="11.25">
      <c r="A716" s="453">
        <v>715</v>
      </c>
      <c r="B716" s="497"/>
      <c r="C716" s="549" t="s">
        <v>200</v>
      </c>
      <c r="D716" s="491" t="s">
        <v>71</v>
      </c>
      <c r="E716" s="339" t="s">
        <v>72</v>
      </c>
      <c r="F716" s="496" t="s">
        <v>201</v>
      </c>
      <c r="G716" s="493">
        <v>40956</v>
      </c>
      <c r="H716" s="499" t="s">
        <v>12</v>
      </c>
      <c r="I716" s="506">
        <v>90</v>
      </c>
      <c r="J716" s="506">
        <v>1</v>
      </c>
      <c r="K716" s="506">
        <v>51</v>
      </c>
      <c r="L716" s="554">
        <v>595</v>
      </c>
      <c r="M716" s="534">
        <v>105</v>
      </c>
      <c r="N716" s="438">
        <v>1783822</v>
      </c>
      <c r="O716" s="552">
        <v>167555</v>
      </c>
      <c r="P716" s="515">
        <f t="shared" si="19"/>
        <v>10.64618781892513</v>
      </c>
      <c r="Q716" s="516">
        <v>41306</v>
      </c>
    </row>
    <row r="717" spans="1:17" ht="11.25">
      <c r="A717" s="453">
        <v>716</v>
      </c>
      <c r="B717" s="498"/>
      <c r="C717" s="520" t="s">
        <v>233</v>
      </c>
      <c r="D717" s="490" t="s">
        <v>234</v>
      </c>
      <c r="E717" s="492" t="s">
        <v>67</v>
      </c>
      <c r="F717" s="496" t="s">
        <v>235</v>
      </c>
      <c r="G717" s="495">
        <v>41019</v>
      </c>
      <c r="H717" s="499" t="s">
        <v>59</v>
      </c>
      <c r="I717" s="509">
        <v>155</v>
      </c>
      <c r="J717" s="509">
        <v>2</v>
      </c>
      <c r="K717" s="509">
        <v>27</v>
      </c>
      <c r="L717" s="529">
        <v>4624</v>
      </c>
      <c r="M717" s="514">
        <v>989</v>
      </c>
      <c r="N717" s="541">
        <f>583135.48+104911.11+36902.7+15901.5+14447+9205+7209+5830+174+1994+629+1557.6+882+594+3801.6+1020+3564+1782+1782+7128+1208.5+1782+47+3231.5+2257+108+4624</f>
        <v>815707.9899999999</v>
      </c>
      <c r="O717" s="547">
        <f>73534+13967+5470+2332+2168+1496+1262+1152+24+400+106+307+92+119+742+102+712+356+356+1425+463+356+9+334+210+21+989</f>
        <v>108504</v>
      </c>
      <c r="P717" s="512">
        <f t="shared" si="19"/>
        <v>7.517768838015187</v>
      </c>
      <c r="Q717" s="513">
        <v>41299</v>
      </c>
    </row>
    <row r="718" spans="1:17" ht="11.25">
      <c r="A718" s="453">
        <v>717</v>
      </c>
      <c r="B718" s="498"/>
      <c r="C718" s="520" t="s">
        <v>233</v>
      </c>
      <c r="D718" s="500" t="s">
        <v>234</v>
      </c>
      <c r="E718" s="506" t="s">
        <v>67</v>
      </c>
      <c r="F718" s="560" t="s">
        <v>235</v>
      </c>
      <c r="G718" s="508">
        <v>41019</v>
      </c>
      <c r="H718" s="499" t="s">
        <v>59</v>
      </c>
      <c r="I718" s="509">
        <v>155</v>
      </c>
      <c r="J718" s="517">
        <v>2</v>
      </c>
      <c r="K718" s="517">
        <v>31</v>
      </c>
      <c r="L718" s="510">
        <v>3048</v>
      </c>
      <c r="M718" s="511">
        <v>646</v>
      </c>
      <c r="N718" s="535">
        <f>583135.48+104911.11+36902.7+15901.5+14447+9205+7209+5830+174+1994+629+1557.6+882+594+3801.6+1020+3564+1782+1782+7128+1208.5+1782+47+3231.5+2257+108+4624+2970+1188+469.5+3048</f>
        <v>823383.4899999999</v>
      </c>
      <c r="O718" s="542">
        <f>73534+13967+5470+2332+2168+1496+1262+1152+24+400+106+307+92+119+742+102+712+356+356+1425+463+356+9+334+210+21+989+594+238+107+646</f>
        <v>110089</v>
      </c>
      <c r="P718" s="512">
        <f t="shared" si="19"/>
        <v>7.479253058888716</v>
      </c>
      <c r="Q718" s="513">
        <v>41362</v>
      </c>
    </row>
    <row r="719" spans="1:17" ht="11.25">
      <c r="A719" s="453">
        <v>718</v>
      </c>
      <c r="B719" s="498"/>
      <c r="C719" s="520" t="s">
        <v>233</v>
      </c>
      <c r="D719" s="490" t="s">
        <v>234</v>
      </c>
      <c r="E719" s="492" t="s">
        <v>67</v>
      </c>
      <c r="F719" s="496" t="s">
        <v>235</v>
      </c>
      <c r="G719" s="495">
        <v>41019</v>
      </c>
      <c r="H719" s="499" t="s">
        <v>59</v>
      </c>
      <c r="I719" s="509">
        <v>155</v>
      </c>
      <c r="J719" s="506">
        <v>1</v>
      </c>
      <c r="K719" s="506">
        <v>28</v>
      </c>
      <c r="L719" s="529">
        <v>2970</v>
      </c>
      <c r="M719" s="511">
        <v>594</v>
      </c>
      <c r="N719" s="541">
        <f>583135.48+104911.11+36902.7+15901.5+14447+9205+7209+5830+174+1994+629+1557.6+882+594+3801.6+1020+3564+1782+1782+7128+1208.5+1782+47+3231.5+2257+108+4624+2970</f>
        <v>818677.9899999999</v>
      </c>
      <c r="O719" s="542">
        <f>73534+13967+5470+2332+2168+1496+1262+1152+24+400+106+307+92+119+742+102+712+356+356+1425+463+356+9+334+210+21+989+594</f>
        <v>109098</v>
      </c>
      <c r="P719" s="515">
        <f t="shared" si="19"/>
        <v>7.504060477735613</v>
      </c>
      <c r="Q719" s="516">
        <v>41306</v>
      </c>
    </row>
    <row r="720" spans="1:17" ht="11.25">
      <c r="A720" s="453">
        <v>719</v>
      </c>
      <c r="B720" s="498"/>
      <c r="C720" s="520" t="s">
        <v>233</v>
      </c>
      <c r="D720" s="490" t="s">
        <v>234</v>
      </c>
      <c r="E720" s="492" t="s">
        <v>67</v>
      </c>
      <c r="F720" s="496" t="s">
        <v>235</v>
      </c>
      <c r="G720" s="495">
        <v>41019</v>
      </c>
      <c r="H720" s="499" t="s">
        <v>59</v>
      </c>
      <c r="I720" s="509">
        <v>155</v>
      </c>
      <c r="J720" s="509">
        <v>1</v>
      </c>
      <c r="K720" s="509">
        <v>25</v>
      </c>
      <c r="L720" s="529">
        <v>2257</v>
      </c>
      <c r="M720" s="514">
        <v>210</v>
      </c>
      <c r="N720" s="535">
        <f>583135.48+104911.11+36902.7+15901.5+14447+9205+7209+5830+174+1994+629+1557.6+882+594+3801.6+1020+3564+1782+1782+7128+1208.5+1782+47+3231.5+2257</f>
        <v>810975.9899999999</v>
      </c>
      <c r="O720" s="542">
        <f>73534+13967+5470+2332+2168+1496+1262+1152+24+400+106+307+92+119+742+102+712+356+356+1425+463+356+9+334+210</f>
        <v>107494</v>
      </c>
      <c r="P720" s="512">
        <f t="shared" si="19"/>
        <v>7.544383779559788</v>
      </c>
      <c r="Q720" s="513">
        <v>41278</v>
      </c>
    </row>
    <row r="721" spans="1:17" ht="11.25">
      <c r="A721" s="453">
        <v>720</v>
      </c>
      <c r="B721" s="498"/>
      <c r="C721" s="520" t="s">
        <v>233</v>
      </c>
      <c r="D721" s="500" t="s">
        <v>234</v>
      </c>
      <c r="E721" s="506" t="s">
        <v>67</v>
      </c>
      <c r="F721" s="560" t="s">
        <v>235</v>
      </c>
      <c r="G721" s="508">
        <v>41019</v>
      </c>
      <c r="H721" s="499" t="s">
        <v>59</v>
      </c>
      <c r="I721" s="509">
        <v>155</v>
      </c>
      <c r="J721" s="517">
        <v>1</v>
      </c>
      <c r="K721" s="517">
        <v>33</v>
      </c>
      <c r="L721" s="529">
        <v>1425.6</v>
      </c>
      <c r="M721" s="514">
        <v>285</v>
      </c>
      <c r="N721" s="541">
        <f>583135.48+104911.11+36902.7+15901.5+14447+9205+7209+5830+174+1994+629+1557.6+882+594+3801.6+1020+3564+1782+1782+7128+1208.5+1782+47+3231.5+2257+108+4624+2970+1188+469.5+3048+267+1425.6</f>
        <v>825076.0899999999</v>
      </c>
      <c r="O721" s="547">
        <f>73534+13967+5470+2332+2168+1496+1262+1152+24+400+106+307+92+119+742+102+712+356+356+1425+463+356+9+334+210+21+989+594+238+107+646+58+285</f>
        <v>110432</v>
      </c>
      <c r="P721" s="515">
        <f t="shared" si="19"/>
        <v>7.471349699362502</v>
      </c>
      <c r="Q721" s="516">
        <v>41376</v>
      </c>
    </row>
    <row r="722" spans="1:17" ht="11.25">
      <c r="A722" s="453">
        <v>721</v>
      </c>
      <c r="B722" s="498"/>
      <c r="C722" s="520" t="s">
        <v>233</v>
      </c>
      <c r="D722" s="490" t="s">
        <v>234</v>
      </c>
      <c r="E722" s="492" t="s">
        <v>67</v>
      </c>
      <c r="F722" s="496" t="s">
        <v>235</v>
      </c>
      <c r="G722" s="508">
        <v>41019</v>
      </c>
      <c r="H722" s="499" t="s">
        <v>59</v>
      </c>
      <c r="I722" s="509">
        <v>155</v>
      </c>
      <c r="J722" s="506">
        <v>1</v>
      </c>
      <c r="K722" s="506">
        <v>28</v>
      </c>
      <c r="L722" s="510">
        <v>1188</v>
      </c>
      <c r="M722" s="511">
        <v>238</v>
      </c>
      <c r="N722" s="535">
        <f>583135.48+104911.11+36902.7+15901.5+14447+9205+7209+5830+174+1994+629+1557.6+882+594+3801.6+1020+3564+1782+1782+7128+1208.5+1782+47+3231.5+2257+108+4624+2970+1188</f>
        <v>819865.9899999999</v>
      </c>
      <c r="O722" s="542">
        <f>73534+13967+5470+2332+2168+1496+1262+1152+24+400+106+307+92+119+742+102+712+356+356+1425+463+356+9+334+210+21+989+594+238</f>
        <v>109336</v>
      </c>
      <c r="P722" s="512">
        <f t="shared" si="19"/>
        <v>7.498591406307162</v>
      </c>
      <c r="Q722" s="513">
        <v>41320</v>
      </c>
    </row>
    <row r="723" spans="1:17" ht="11.25">
      <c r="A723" s="453">
        <v>722</v>
      </c>
      <c r="B723" s="498"/>
      <c r="C723" s="520" t="s">
        <v>233</v>
      </c>
      <c r="D723" s="500" t="s">
        <v>234</v>
      </c>
      <c r="E723" s="506" t="s">
        <v>67</v>
      </c>
      <c r="F723" s="560" t="s">
        <v>235</v>
      </c>
      <c r="G723" s="508">
        <v>41019</v>
      </c>
      <c r="H723" s="499" t="s">
        <v>59</v>
      </c>
      <c r="I723" s="509">
        <v>155</v>
      </c>
      <c r="J723" s="517">
        <v>1</v>
      </c>
      <c r="K723" s="517">
        <v>30</v>
      </c>
      <c r="L723" s="529">
        <v>469.5</v>
      </c>
      <c r="M723" s="514">
        <v>107</v>
      </c>
      <c r="N723" s="541">
        <f>583135.48+104911.11+36902.7+15901.5+14447+9205+7209+5830+174+1994+629+1557.6+882+594+3801.6+1020+3564+1782+1782+7128+1208.5+1782+47+3231.5+2257+108+4624+2970+1188+469.5</f>
        <v>820335.4899999999</v>
      </c>
      <c r="O723" s="547">
        <f>73534+13967+5470+2332+2168+1496+1262+1152+24+400+106+307+92+119+742+102+712+356+356+1425+463+356+9+334+210+21+989+594+238+107</f>
        <v>109443</v>
      </c>
      <c r="P723" s="515">
        <f t="shared" si="19"/>
        <v>7.495550103706951</v>
      </c>
      <c r="Q723" s="516">
        <v>41355</v>
      </c>
    </row>
    <row r="724" spans="1:17" ht="11.25">
      <c r="A724" s="453">
        <v>723</v>
      </c>
      <c r="B724" s="498"/>
      <c r="C724" s="520" t="s">
        <v>233</v>
      </c>
      <c r="D724" s="500" t="s">
        <v>234</v>
      </c>
      <c r="E724" s="506" t="s">
        <v>67</v>
      </c>
      <c r="F724" s="560" t="s">
        <v>235</v>
      </c>
      <c r="G724" s="508">
        <v>41019</v>
      </c>
      <c r="H724" s="499" t="s">
        <v>59</v>
      </c>
      <c r="I724" s="509">
        <v>155</v>
      </c>
      <c r="J724" s="517">
        <v>1</v>
      </c>
      <c r="K724" s="517">
        <v>32</v>
      </c>
      <c r="L724" s="510">
        <v>267</v>
      </c>
      <c r="M724" s="511">
        <v>58</v>
      </c>
      <c r="N724" s="535">
        <f>583135.48+104911.11+36902.7+15901.5+14447+9205+7209+5830+174+1994+629+1557.6+882+594+3801.6+1020+3564+1782+1782+7128+1208.5+1782+47+3231.5+2257+108+4624+2970+1188+469.5+3048+267</f>
        <v>823650.4899999999</v>
      </c>
      <c r="O724" s="542">
        <f>73534+13967+5470+2332+2168+1496+1262+1152+24+400+106+307+92+119+742+102+712+356+356+1425+463+356+9+334+210+21+989+594+238+107+646+58</f>
        <v>110147</v>
      </c>
      <c r="P724" s="512">
        <f t="shared" si="19"/>
        <v>7.477738749126167</v>
      </c>
      <c r="Q724" s="513">
        <v>41369</v>
      </c>
    </row>
    <row r="725" spans="1:17" ht="11.25">
      <c r="A725" s="453">
        <v>724</v>
      </c>
      <c r="B725" s="498"/>
      <c r="C725" s="520" t="s">
        <v>233</v>
      </c>
      <c r="D725" s="490" t="s">
        <v>234</v>
      </c>
      <c r="E725" s="492" t="s">
        <v>67</v>
      </c>
      <c r="F725" s="496" t="s">
        <v>235</v>
      </c>
      <c r="G725" s="495">
        <v>41019</v>
      </c>
      <c r="H725" s="499" t="s">
        <v>59</v>
      </c>
      <c r="I725" s="509">
        <v>155</v>
      </c>
      <c r="J725" s="509">
        <v>1</v>
      </c>
      <c r="K725" s="509">
        <v>26</v>
      </c>
      <c r="L725" s="529">
        <v>108</v>
      </c>
      <c r="M725" s="514">
        <v>21</v>
      </c>
      <c r="N725" s="541">
        <f>583135.48+104911.11+36902.7+15901.5+14447+9205+7209+5830+174+1994+629+1557.6+882+594+3801.6+1020+3564+1782+1782+7128+1208.5+1782+47+3231.5+2257+108</f>
        <v>811083.9899999999</v>
      </c>
      <c r="O725" s="547">
        <f>73534+13967+5470+2332+2168+1496+1262+1152+24+400+106+307+92+119+742+102+712+356+356+1425+463+356+9+334+210+21</f>
        <v>107515</v>
      </c>
      <c r="P725" s="512">
        <f t="shared" si="19"/>
        <v>7.543914709575407</v>
      </c>
      <c r="Q725" s="513">
        <v>41285</v>
      </c>
    </row>
    <row r="726" spans="1:17" ht="11.25">
      <c r="A726" s="453">
        <v>725</v>
      </c>
      <c r="B726" s="497"/>
      <c r="C726" s="520" t="s">
        <v>425</v>
      </c>
      <c r="D726" s="491" t="s">
        <v>426</v>
      </c>
      <c r="E726" s="491" t="s">
        <v>75</v>
      </c>
      <c r="F726" s="491" t="s">
        <v>427</v>
      </c>
      <c r="G726" s="495">
        <v>41159</v>
      </c>
      <c r="H726" s="499" t="s">
        <v>46</v>
      </c>
      <c r="I726" s="509">
        <v>15</v>
      </c>
      <c r="J726" s="647">
        <v>1</v>
      </c>
      <c r="K726" s="647">
        <v>15</v>
      </c>
      <c r="L726" s="554">
        <v>100</v>
      </c>
      <c r="M726" s="555">
        <v>20</v>
      </c>
      <c r="N726" s="646">
        <v>198255.33</v>
      </c>
      <c r="O726" s="645">
        <v>23251</v>
      </c>
      <c r="P726" s="512">
        <f t="shared" si="19"/>
        <v>8.526744226054793</v>
      </c>
      <c r="Q726" s="513">
        <v>41278</v>
      </c>
    </row>
    <row r="727" spans="1:17" ht="11.25">
      <c r="A727" s="453">
        <v>726</v>
      </c>
      <c r="B727" s="497"/>
      <c r="C727" s="458" t="s">
        <v>512</v>
      </c>
      <c r="D727" s="524" t="s">
        <v>338</v>
      </c>
      <c r="E727" s="524" t="s">
        <v>67</v>
      </c>
      <c r="F727" s="392" t="s">
        <v>511</v>
      </c>
      <c r="G727" s="493">
        <v>41229</v>
      </c>
      <c r="H727" s="499" t="s">
        <v>59</v>
      </c>
      <c r="I727" s="509">
        <v>310</v>
      </c>
      <c r="J727" s="509">
        <v>16</v>
      </c>
      <c r="K727" s="509">
        <v>8</v>
      </c>
      <c r="L727" s="529">
        <v>11497</v>
      </c>
      <c r="M727" s="514">
        <v>2173</v>
      </c>
      <c r="N727" s="535">
        <f>6097464.48+3349390.58+1774979.26+1048076.44+523110.8+218846.28+51769.36+11497</f>
        <v>13075134.2</v>
      </c>
      <c r="O727" s="542">
        <f>642847+358871+192396+115195+60880+30393+9587+2173</f>
        <v>1412342</v>
      </c>
      <c r="P727" s="512">
        <f t="shared" si="19"/>
        <v>9.257767736143228</v>
      </c>
      <c r="Q727" s="513">
        <v>41278</v>
      </c>
    </row>
    <row r="728" spans="1:17" ht="11.25">
      <c r="A728" s="453">
        <v>727</v>
      </c>
      <c r="B728" s="497"/>
      <c r="C728" s="458" t="s">
        <v>512</v>
      </c>
      <c r="D728" s="524" t="s">
        <v>338</v>
      </c>
      <c r="E728" s="524" t="s">
        <v>67</v>
      </c>
      <c r="F728" s="392" t="s">
        <v>511</v>
      </c>
      <c r="G728" s="493">
        <v>41229</v>
      </c>
      <c r="H728" s="499" t="s">
        <v>59</v>
      </c>
      <c r="I728" s="509">
        <v>310</v>
      </c>
      <c r="J728" s="509">
        <v>7</v>
      </c>
      <c r="K728" s="509">
        <v>9</v>
      </c>
      <c r="L728" s="529">
        <v>7592</v>
      </c>
      <c r="M728" s="514">
        <v>1456</v>
      </c>
      <c r="N728" s="541">
        <f>6097464.48+3349390.58+1774979.26+1048076.44+523110.8+218846.28+51769.36+11497+7592</f>
        <v>13082726.2</v>
      </c>
      <c r="O728" s="547">
        <f>642847+358871+192396+115195+60880+30393+9587+2173+1456</f>
        <v>1413798</v>
      </c>
      <c r="P728" s="512">
        <f t="shared" si="19"/>
        <v>9.253603555812074</v>
      </c>
      <c r="Q728" s="513">
        <v>41285</v>
      </c>
    </row>
    <row r="729" spans="1:17" ht="11.25">
      <c r="A729" s="453">
        <v>728</v>
      </c>
      <c r="B729" s="497"/>
      <c r="C729" s="458" t="s">
        <v>512</v>
      </c>
      <c r="D729" s="492" t="s">
        <v>338</v>
      </c>
      <c r="E729" s="492" t="s">
        <v>67</v>
      </c>
      <c r="F729" s="392" t="s">
        <v>511</v>
      </c>
      <c r="G729" s="526">
        <v>41229</v>
      </c>
      <c r="H729" s="499" t="s">
        <v>59</v>
      </c>
      <c r="I729" s="509">
        <v>310</v>
      </c>
      <c r="J729" s="509">
        <v>2</v>
      </c>
      <c r="K729" s="509">
        <v>13</v>
      </c>
      <c r="L729" s="510">
        <v>7128</v>
      </c>
      <c r="M729" s="514">
        <v>1428</v>
      </c>
      <c r="N729" s="535">
        <f>6097464.48+3349390.58+1774979.26+1048076.44+523110.8+218846.28+51769.36+11497+7592+5334+449+1188+7128</f>
        <v>13096825.2</v>
      </c>
      <c r="O729" s="547">
        <f>642847+358871+192396+115195+60880+30393+9587+2173+1456+1176+85+238+1428</f>
        <v>1416725</v>
      </c>
      <c r="P729" s="515">
        <f t="shared" si="19"/>
        <v>9.244437134941501</v>
      </c>
      <c r="Q729" s="516">
        <v>41313</v>
      </c>
    </row>
    <row r="730" spans="1:17" ht="11.25">
      <c r="A730" s="453">
        <v>729</v>
      </c>
      <c r="B730" s="497"/>
      <c r="C730" s="458" t="s">
        <v>512</v>
      </c>
      <c r="D730" s="524" t="s">
        <v>338</v>
      </c>
      <c r="E730" s="524" t="s">
        <v>67</v>
      </c>
      <c r="F730" s="392" t="s">
        <v>511</v>
      </c>
      <c r="G730" s="493">
        <v>41229</v>
      </c>
      <c r="H730" s="499" t="s">
        <v>59</v>
      </c>
      <c r="I730" s="509">
        <v>310</v>
      </c>
      <c r="J730" s="666">
        <v>4</v>
      </c>
      <c r="K730" s="666">
        <v>10</v>
      </c>
      <c r="L730" s="529">
        <v>5334</v>
      </c>
      <c r="M730" s="514">
        <v>1176</v>
      </c>
      <c r="N730" s="539">
        <f>6097464.48+3349390.58+1774979.26+1048076.44+523110.8+218846.28+51769.36+11497+7592+5334</f>
        <v>13088060.2</v>
      </c>
      <c r="O730" s="545">
        <f>642847+358871+192396+115195+60880+30393+9587+2173+1456+1176</f>
        <v>1414974</v>
      </c>
      <c r="P730" s="512">
        <f t="shared" si="19"/>
        <v>9.249682467663716</v>
      </c>
      <c r="Q730" s="513">
        <v>41292</v>
      </c>
    </row>
    <row r="731" spans="1:17" ht="11.25">
      <c r="A731" s="453">
        <v>730</v>
      </c>
      <c r="B731" s="497"/>
      <c r="C731" s="458" t="s">
        <v>512</v>
      </c>
      <c r="D731" s="506" t="s">
        <v>338</v>
      </c>
      <c r="E731" s="506" t="s">
        <v>67</v>
      </c>
      <c r="F731" s="519" t="s">
        <v>511</v>
      </c>
      <c r="G731" s="526">
        <v>41229</v>
      </c>
      <c r="H731" s="499" t="s">
        <v>59</v>
      </c>
      <c r="I731" s="509">
        <v>310</v>
      </c>
      <c r="J731" s="517">
        <v>1</v>
      </c>
      <c r="K731" s="517">
        <v>14</v>
      </c>
      <c r="L731" s="510">
        <v>1663.2</v>
      </c>
      <c r="M731" s="511">
        <v>333</v>
      </c>
      <c r="N731" s="535">
        <f>6097464.48+3349390.58+1774979.26+1048076.44+523110.8+218846.28+51769.36+11497+7592+5334+449+1188+7128+1663.2</f>
        <v>13098488.399999999</v>
      </c>
      <c r="O731" s="542">
        <f>642847+358871+192396+115195+60880+30393+9587+2173+1456+1176+85+238+1428+333</f>
        <v>1417058</v>
      </c>
      <c r="P731" s="512">
        <f t="shared" si="19"/>
        <v>9.243438447826412</v>
      </c>
      <c r="Q731" s="513">
        <v>41362</v>
      </c>
    </row>
    <row r="732" spans="1:17" ht="11.25">
      <c r="A732" s="453">
        <v>731</v>
      </c>
      <c r="B732" s="497"/>
      <c r="C732" s="458" t="s">
        <v>512</v>
      </c>
      <c r="D732" s="506" t="s">
        <v>338</v>
      </c>
      <c r="E732" s="506" t="s">
        <v>67</v>
      </c>
      <c r="F732" s="519" t="s">
        <v>511</v>
      </c>
      <c r="G732" s="526">
        <v>41229</v>
      </c>
      <c r="H732" s="499" t="s">
        <v>59</v>
      </c>
      <c r="I732" s="509">
        <v>310</v>
      </c>
      <c r="J732" s="517">
        <v>1</v>
      </c>
      <c r="K732" s="517">
        <v>15</v>
      </c>
      <c r="L732" s="510">
        <v>1663.2</v>
      </c>
      <c r="M732" s="511">
        <v>333</v>
      </c>
      <c r="N732" s="535">
        <f>6097464.48+3349390.58+1774979.26+1048076.44+523110.8+218846.28+51769.36+11497+7592+5334+449+1188+7128+1663.2+1663.2</f>
        <v>13100151.599999998</v>
      </c>
      <c r="O732" s="542">
        <f>642847+358871+192396+115195+60880+30393+9587+2173+1456+1176+85+238+1428+333+333</f>
        <v>1417391</v>
      </c>
      <c r="P732" s="512">
        <f t="shared" si="19"/>
        <v>9.242440229971827</v>
      </c>
      <c r="Q732" s="513">
        <v>41369</v>
      </c>
    </row>
    <row r="733" spans="1:17" ht="11.25">
      <c r="A733" s="453">
        <v>732</v>
      </c>
      <c r="B733" s="497"/>
      <c r="C733" s="458" t="s">
        <v>512</v>
      </c>
      <c r="D733" s="506" t="s">
        <v>338</v>
      </c>
      <c r="E733" s="506" t="s">
        <v>67</v>
      </c>
      <c r="F733" s="519" t="s">
        <v>511</v>
      </c>
      <c r="G733" s="526">
        <v>41229</v>
      </c>
      <c r="H733" s="499" t="s">
        <v>59</v>
      </c>
      <c r="I733" s="509">
        <v>310</v>
      </c>
      <c r="J733" s="517">
        <v>1</v>
      </c>
      <c r="K733" s="517">
        <v>16</v>
      </c>
      <c r="L733" s="529">
        <v>1663.2</v>
      </c>
      <c r="M733" s="514">
        <v>333</v>
      </c>
      <c r="N733" s="541">
        <f>6097464.48+3349390.58+1774979.26+1048076.44+523110.8+218846.28+51769.36+11497+7592+5334+449+1188+7128+1663.2+1663.2+1663.2</f>
        <v>13101814.799999997</v>
      </c>
      <c r="O733" s="547">
        <f>642847+358871+192396+115195+60880+30393+9587+2173+1456+1176+85+238+1428+333+333+333</f>
        <v>1417724</v>
      </c>
      <c r="P733" s="515">
        <f t="shared" si="19"/>
        <v>9.241442481047084</v>
      </c>
      <c r="Q733" s="516">
        <v>41376</v>
      </c>
    </row>
    <row r="734" spans="1:17" ht="11.25">
      <c r="A734" s="453">
        <v>733</v>
      </c>
      <c r="B734" s="497"/>
      <c r="C734" s="458" t="s">
        <v>512</v>
      </c>
      <c r="D734" s="524" t="s">
        <v>338</v>
      </c>
      <c r="E734" s="524" t="s">
        <v>67</v>
      </c>
      <c r="F734" s="392" t="s">
        <v>511</v>
      </c>
      <c r="G734" s="493">
        <v>41229</v>
      </c>
      <c r="H734" s="499" t="s">
        <v>59</v>
      </c>
      <c r="I734" s="509">
        <v>310</v>
      </c>
      <c r="J734" s="506">
        <v>1</v>
      </c>
      <c r="K734" s="506">
        <v>12</v>
      </c>
      <c r="L734" s="529">
        <v>1188</v>
      </c>
      <c r="M734" s="511">
        <v>238</v>
      </c>
      <c r="N734" s="541">
        <f>6097464.48+3349390.58+1774979.26+1048076.44+523110.8+218846.28+51769.36+11497+7592+5334+449+1188</f>
        <v>13089697.2</v>
      </c>
      <c r="O734" s="542">
        <f>642847+358871+192396+115195+60880+30393+9587+2173+1456+1176+85+238</f>
        <v>1415297</v>
      </c>
      <c r="P734" s="515">
        <f t="shared" si="19"/>
        <v>9.248728146813</v>
      </c>
      <c r="Q734" s="516">
        <v>41306</v>
      </c>
    </row>
    <row r="735" spans="1:17" ht="11.25">
      <c r="A735" s="453">
        <v>734</v>
      </c>
      <c r="B735" s="497"/>
      <c r="C735" s="458" t="s">
        <v>512</v>
      </c>
      <c r="D735" s="524" t="s">
        <v>338</v>
      </c>
      <c r="E735" s="524" t="s">
        <v>67</v>
      </c>
      <c r="F735" s="392" t="s">
        <v>511</v>
      </c>
      <c r="G735" s="493">
        <v>41229</v>
      </c>
      <c r="H735" s="499" t="s">
        <v>59</v>
      </c>
      <c r="I735" s="509">
        <v>310</v>
      </c>
      <c r="J735" s="509">
        <v>1</v>
      </c>
      <c r="K735" s="509">
        <v>11</v>
      </c>
      <c r="L735" s="529">
        <v>449</v>
      </c>
      <c r="M735" s="514">
        <v>85</v>
      </c>
      <c r="N735" s="541">
        <f>6097464.48+3349390.58+1774979.26+1048076.44+523110.8+218846.28+51769.36+11497+7592+5334+449</f>
        <v>13088509.2</v>
      </c>
      <c r="O735" s="547">
        <f>642847+358871+192396+115195+60880+30393+9587+2173+1456+1176+85</f>
        <v>1415059</v>
      </c>
      <c r="P735" s="512">
        <f t="shared" si="19"/>
        <v>9.249444157452091</v>
      </c>
      <c r="Q735" s="513">
        <v>41299</v>
      </c>
    </row>
    <row r="736" spans="1:17" ht="11.25">
      <c r="A736" s="453">
        <v>735</v>
      </c>
      <c r="B736" s="497"/>
      <c r="C736" s="522" t="s">
        <v>512</v>
      </c>
      <c r="D736" s="492" t="s">
        <v>338</v>
      </c>
      <c r="E736" s="492" t="s">
        <v>67</v>
      </c>
      <c r="F736" s="392" t="s">
        <v>511</v>
      </c>
      <c r="G736" s="493">
        <v>41229</v>
      </c>
      <c r="H736" s="491" t="s">
        <v>59</v>
      </c>
      <c r="I736" s="506">
        <v>310</v>
      </c>
      <c r="J736" s="517">
        <v>1</v>
      </c>
      <c r="K736" s="517">
        <v>17</v>
      </c>
      <c r="L736" s="503">
        <v>171</v>
      </c>
      <c r="M736" s="504">
        <v>28</v>
      </c>
      <c r="N736" s="503">
        <f>6097464.48+3349390.58+1774979.26+1048076.44+523110.8+218846.28+51769.36+11497+7592+5334+449+1188+7128+1663.2+1663.2+1663.2+171</f>
        <v>13101985.799999997</v>
      </c>
      <c r="O736" s="504">
        <f>642847+358871+192396+115195+60880+30393+9587+2173+1456+1176+85+238+1428+333+333+333+28</f>
        <v>1417752</v>
      </c>
      <c r="P736" s="512">
        <f t="shared" si="19"/>
        <v>9.241380579960387</v>
      </c>
      <c r="Q736" s="513">
        <v>41509</v>
      </c>
    </row>
    <row r="737" spans="1:17" ht="11.25">
      <c r="A737" s="453">
        <v>736</v>
      </c>
      <c r="B737" s="498"/>
      <c r="C737" s="549" t="s">
        <v>539</v>
      </c>
      <c r="D737" s="496" t="s">
        <v>543</v>
      </c>
      <c r="E737" s="492" t="s">
        <v>400</v>
      </c>
      <c r="F737" s="496" t="s">
        <v>542</v>
      </c>
      <c r="G737" s="495">
        <v>41250</v>
      </c>
      <c r="H737" s="499" t="s">
        <v>8</v>
      </c>
      <c r="I737" s="556">
        <v>31</v>
      </c>
      <c r="J737" s="423">
        <v>2</v>
      </c>
      <c r="K737" s="423">
        <v>8</v>
      </c>
      <c r="L737" s="510">
        <v>6045</v>
      </c>
      <c r="M737" s="511">
        <v>563</v>
      </c>
      <c r="N737" s="535">
        <v>325059</v>
      </c>
      <c r="O737" s="542">
        <v>26560</v>
      </c>
      <c r="P737" s="512">
        <f t="shared" si="19"/>
        <v>12.238667168674699</v>
      </c>
      <c r="Q737" s="513">
        <v>41299</v>
      </c>
    </row>
    <row r="738" spans="1:17" ht="11.25">
      <c r="A738" s="453">
        <v>737</v>
      </c>
      <c r="B738" s="498"/>
      <c r="C738" s="549" t="s">
        <v>539</v>
      </c>
      <c r="D738" s="496" t="s">
        <v>543</v>
      </c>
      <c r="E738" s="492" t="s">
        <v>400</v>
      </c>
      <c r="F738" s="496" t="s">
        <v>542</v>
      </c>
      <c r="G738" s="495">
        <v>41250</v>
      </c>
      <c r="H738" s="499" t="s">
        <v>8</v>
      </c>
      <c r="I738" s="556">
        <v>31</v>
      </c>
      <c r="J738" s="423">
        <v>5</v>
      </c>
      <c r="K738" s="423">
        <v>5</v>
      </c>
      <c r="L738" s="529">
        <v>5567</v>
      </c>
      <c r="M738" s="514">
        <v>600</v>
      </c>
      <c r="N738" s="535">
        <v>316759</v>
      </c>
      <c r="O738" s="542">
        <v>25702</v>
      </c>
      <c r="P738" s="512">
        <f t="shared" si="19"/>
        <v>12.324293829273987</v>
      </c>
      <c r="Q738" s="513">
        <v>41278</v>
      </c>
    </row>
    <row r="739" spans="1:17" ht="11.25">
      <c r="A739" s="453">
        <v>738</v>
      </c>
      <c r="B739" s="498"/>
      <c r="C739" s="549" t="s">
        <v>539</v>
      </c>
      <c r="D739" s="496" t="s">
        <v>543</v>
      </c>
      <c r="E739" s="492" t="s">
        <v>400</v>
      </c>
      <c r="F739" s="496" t="s">
        <v>542</v>
      </c>
      <c r="G739" s="495">
        <v>41250</v>
      </c>
      <c r="H739" s="499" t="s">
        <v>8</v>
      </c>
      <c r="I739" s="556">
        <v>31</v>
      </c>
      <c r="J739" s="423">
        <v>4</v>
      </c>
      <c r="K739" s="423">
        <v>6</v>
      </c>
      <c r="L739" s="529">
        <v>2141</v>
      </c>
      <c r="M739" s="514">
        <v>272</v>
      </c>
      <c r="N739" s="541">
        <v>318899</v>
      </c>
      <c r="O739" s="547">
        <v>25974</v>
      </c>
      <c r="P739" s="512">
        <f t="shared" si="19"/>
        <v>12.277623777623777</v>
      </c>
      <c r="Q739" s="513">
        <v>41285</v>
      </c>
    </row>
    <row r="740" spans="1:17" ht="11.25">
      <c r="A740" s="453">
        <v>739</v>
      </c>
      <c r="B740" s="498"/>
      <c r="C740" s="549" t="s">
        <v>539</v>
      </c>
      <c r="D740" s="496" t="s">
        <v>543</v>
      </c>
      <c r="E740" s="492" t="s">
        <v>400</v>
      </c>
      <c r="F740" s="496" t="s">
        <v>542</v>
      </c>
      <c r="G740" s="495">
        <v>41250</v>
      </c>
      <c r="H740" s="499" t="s">
        <v>8</v>
      </c>
      <c r="I740" s="556">
        <v>31</v>
      </c>
      <c r="J740" s="423">
        <v>1</v>
      </c>
      <c r="K740" s="423">
        <v>7</v>
      </c>
      <c r="L740" s="529">
        <v>115</v>
      </c>
      <c r="M740" s="514">
        <v>23</v>
      </c>
      <c r="N740" s="541">
        <v>319014</v>
      </c>
      <c r="O740" s="547">
        <v>25997</v>
      </c>
      <c r="P740" s="512">
        <f t="shared" si="19"/>
        <v>12.271185136746547</v>
      </c>
      <c r="Q740" s="513">
        <v>41292</v>
      </c>
    </row>
    <row r="741" spans="1:17" ht="11.25">
      <c r="A741" s="453">
        <v>740</v>
      </c>
      <c r="B741" s="497"/>
      <c r="C741" s="548" t="s">
        <v>989</v>
      </c>
      <c r="D741" s="500" t="s">
        <v>987</v>
      </c>
      <c r="E741" s="506" t="s">
        <v>236</v>
      </c>
      <c r="F741" s="499" t="s">
        <v>990</v>
      </c>
      <c r="G741" s="493">
        <v>40949</v>
      </c>
      <c r="H741" s="499" t="s">
        <v>151</v>
      </c>
      <c r="I741" s="509">
        <v>27</v>
      </c>
      <c r="J741" s="517">
        <v>1</v>
      </c>
      <c r="K741" s="517">
        <v>15</v>
      </c>
      <c r="L741" s="424">
        <v>572</v>
      </c>
      <c r="M741" s="425">
        <v>53</v>
      </c>
      <c r="N741" s="443">
        <v>329578</v>
      </c>
      <c r="O741" s="444">
        <v>28654</v>
      </c>
      <c r="P741" s="512">
        <f t="shared" si="19"/>
        <v>11.501989251064424</v>
      </c>
      <c r="Q741" s="513">
        <v>41481</v>
      </c>
    </row>
    <row r="742" spans="1:17" ht="11.25">
      <c r="A742" s="453">
        <v>741</v>
      </c>
      <c r="B742" s="498"/>
      <c r="C742" s="549" t="s">
        <v>445</v>
      </c>
      <c r="D742" s="560" t="s">
        <v>443</v>
      </c>
      <c r="E742" s="506" t="s">
        <v>241</v>
      </c>
      <c r="F742" s="560" t="s">
        <v>444</v>
      </c>
      <c r="G742" s="508">
        <v>41180</v>
      </c>
      <c r="H742" s="499" t="s">
        <v>8</v>
      </c>
      <c r="I742" s="527">
        <v>38</v>
      </c>
      <c r="J742" s="560">
        <v>1</v>
      </c>
      <c r="K742" s="560">
        <v>13</v>
      </c>
      <c r="L742" s="510">
        <v>1572</v>
      </c>
      <c r="M742" s="514">
        <v>174</v>
      </c>
      <c r="N742" s="535">
        <v>1472311</v>
      </c>
      <c r="O742" s="547">
        <v>111536</v>
      </c>
      <c r="P742" s="515">
        <f t="shared" si="19"/>
        <v>13.200320972600775</v>
      </c>
      <c r="Q742" s="516">
        <v>41397</v>
      </c>
    </row>
    <row r="743" spans="1:17" ht="11.25">
      <c r="A743" s="453">
        <v>742</v>
      </c>
      <c r="B743" s="497"/>
      <c r="C743" s="548" t="s">
        <v>467</v>
      </c>
      <c r="D743" s="506" t="s">
        <v>469</v>
      </c>
      <c r="E743" s="499" t="s">
        <v>282</v>
      </c>
      <c r="F743" s="499" t="s">
        <v>468</v>
      </c>
      <c r="G743" s="342">
        <v>41187</v>
      </c>
      <c r="H743" s="499" t="s">
        <v>139</v>
      </c>
      <c r="I743" s="509">
        <v>1</v>
      </c>
      <c r="J743" s="656">
        <v>1</v>
      </c>
      <c r="K743" s="656">
        <v>6</v>
      </c>
      <c r="L743" s="531">
        <v>100</v>
      </c>
      <c r="M743" s="534">
        <v>20</v>
      </c>
      <c r="N743" s="646">
        <v>2241</v>
      </c>
      <c r="O743" s="645">
        <v>281</v>
      </c>
      <c r="P743" s="512">
        <f t="shared" si="19"/>
        <v>7.97508896797153</v>
      </c>
      <c r="Q743" s="513">
        <v>41341</v>
      </c>
    </row>
    <row r="744" spans="1:17" ht="11.25">
      <c r="A744" s="453">
        <v>743</v>
      </c>
      <c r="B744" s="497"/>
      <c r="C744" s="548" t="s">
        <v>467</v>
      </c>
      <c r="D744" s="506" t="s">
        <v>469</v>
      </c>
      <c r="E744" s="499" t="s">
        <v>282</v>
      </c>
      <c r="F744" s="499" t="s">
        <v>468</v>
      </c>
      <c r="G744" s="342">
        <v>41187</v>
      </c>
      <c r="H744" s="499" t="s">
        <v>139</v>
      </c>
      <c r="I744" s="509">
        <v>1</v>
      </c>
      <c r="J744" s="509">
        <v>1</v>
      </c>
      <c r="K744" s="509">
        <v>5</v>
      </c>
      <c r="L744" s="642">
        <v>95</v>
      </c>
      <c r="M744" s="651">
        <v>19</v>
      </c>
      <c r="N744" s="644">
        <v>2141</v>
      </c>
      <c r="O744" s="652">
        <v>261</v>
      </c>
      <c r="P744" s="512">
        <f t="shared" si="19"/>
        <v>8.203065134099617</v>
      </c>
      <c r="Q744" s="513">
        <v>41334</v>
      </c>
    </row>
    <row r="745" spans="1:17" ht="11.25">
      <c r="A745" s="453">
        <v>744</v>
      </c>
      <c r="B745" s="497"/>
      <c r="C745" s="548" t="s">
        <v>398</v>
      </c>
      <c r="D745" s="506" t="s">
        <v>392</v>
      </c>
      <c r="E745" s="506" t="s">
        <v>236</v>
      </c>
      <c r="F745" s="499" t="s">
        <v>397</v>
      </c>
      <c r="G745" s="508">
        <v>39472</v>
      </c>
      <c r="H745" s="499" t="s">
        <v>151</v>
      </c>
      <c r="I745" s="509">
        <v>70</v>
      </c>
      <c r="J745" s="517">
        <v>2</v>
      </c>
      <c r="K745" s="517">
        <v>43</v>
      </c>
      <c r="L745" s="602">
        <v>2372</v>
      </c>
      <c r="M745" s="603">
        <v>474</v>
      </c>
      <c r="N745" s="673">
        <v>891302</v>
      </c>
      <c r="O745" s="674">
        <v>113593</v>
      </c>
      <c r="P745" s="515">
        <f aca="true" t="shared" si="20" ref="P745:P776">N745/O745</f>
        <v>7.846451806009173</v>
      </c>
      <c r="Q745" s="516">
        <v>41376</v>
      </c>
    </row>
    <row r="746" spans="1:17" ht="11.25">
      <c r="A746" s="453">
        <v>745</v>
      </c>
      <c r="B746" s="497"/>
      <c r="C746" s="548" t="s">
        <v>398</v>
      </c>
      <c r="D746" s="492" t="s">
        <v>392</v>
      </c>
      <c r="E746" s="492" t="s">
        <v>236</v>
      </c>
      <c r="F746" s="491" t="s">
        <v>397</v>
      </c>
      <c r="G746" s="495">
        <v>39472</v>
      </c>
      <c r="H746" s="499" t="s">
        <v>151</v>
      </c>
      <c r="I746" s="506">
        <v>70</v>
      </c>
      <c r="J746" s="509">
        <v>1</v>
      </c>
      <c r="K746" s="509">
        <v>40</v>
      </c>
      <c r="L746" s="669">
        <v>1898</v>
      </c>
      <c r="M746" s="670">
        <v>380</v>
      </c>
      <c r="N746" s="671">
        <v>887744</v>
      </c>
      <c r="O746" s="672">
        <v>112882</v>
      </c>
      <c r="P746" s="512">
        <f t="shared" si="20"/>
        <v>7.864353927109725</v>
      </c>
      <c r="Q746" s="513">
        <v>41299</v>
      </c>
    </row>
    <row r="747" spans="1:17" ht="11.25">
      <c r="A747" s="453">
        <v>746</v>
      </c>
      <c r="B747" s="497"/>
      <c r="C747" s="548" t="s">
        <v>398</v>
      </c>
      <c r="D747" s="506" t="s">
        <v>392</v>
      </c>
      <c r="E747" s="506" t="s">
        <v>236</v>
      </c>
      <c r="F747" s="499" t="s">
        <v>397</v>
      </c>
      <c r="G747" s="508">
        <v>39472</v>
      </c>
      <c r="H747" s="499" t="s">
        <v>151</v>
      </c>
      <c r="I747" s="509">
        <v>70</v>
      </c>
      <c r="J747" s="509">
        <v>1</v>
      </c>
      <c r="K747" s="509">
        <v>42</v>
      </c>
      <c r="L747" s="602">
        <v>1186</v>
      </c>
      <c r="M747" s="603">
        <v>237</v>
      </c>
      <c r="N747" s="673">
        <v>888930</v>
      </c>
      <c r="O747" s="674">
        <v>113119</v>
      </c>
      <c r="P747" s="512">
        <f t="shared" si="20"/>
        <v>7.858361548457819</v>
      </c>
      <c r="Q747" s="513">
        <v>41334</v>
      </c>
    </row>
    <row r="748" spans="1:17" ht="11.25">
      <c r="A748" s="453">
        <v>747</v>
      </c>
      <c r="B748" s="497"/>
      <c r="C748" s="548" t="s">
        <v>398</v>
      </c>
      <c r="D748" s="506" t="s">
        <v>392</v>
      </c>
      <c r="E748" s="506" t="s">
        <v>236</v>
      </c>
      <c r="F748" s="499" t="s">
        <v>397</v>
      </c>
      <c r="G748" s="508">
        <v>39472</v>
      </c>
      <c r="H748" s="499" t="s">
        <v>151</v>
      </c>
      <c r="I748" s="506">
        <v>70</v>
      </c>
      <c r="J748" s="507">
        <v>2</v>
      </c>
      <c r="K748" s="507">
        <v>44</v>
      </c>
      <c r="L748" s="669">
        <v>1186</v>
      </c>
      <c r="M748" s="603">
        <v>237</v>
      </c>
      <c r="N748" s="671">
        <v>892488</v>
      </c>
      <c r="O748" s="674">
        <v>113830</v>
      </c>
      <c r="P748" s="515">
        <f t="shared" si="20"/>
        <v>7.840534129842748</v>
      </c>
      <c r="Q748" s="516">
        <v>41397</v>
      </c>
    </row>
    <row r="749" spans="1:17" ht="11.25">
      <c r="A749" s="453">
        <v>748</v>
      </c>
      <c r="B749" s="498"/>
      <c r="C749" s="548" t="s">
        <v>517</v>
      </c>
      <c r="D749" s="492" t="s">
        <v>518</v>
      </c>
      <c r="E749" s="492" t="s">
        <v>236</v>
      </c>
      <c r="F749" s="393" t="s">
        <v>516</v>
      </c>
      <c r="G749" s="526">
        <v>41236</v>
      </c>
      <c r="H749" s="499" t="s">
        <v>151</v>
      </c>
      <c r="I749" s="517">
        <v>22</v>
      </c>
      <c r="J749" s="509">
        <v>1</v>
      </c>
      <c r="K749" s="509">
        <v>7</v>
      </c>
      <c r="L749" s="669">
        <v>1186</v>
      </c>
      <c r="M749" s="603">
        <v>237</v>
      </c>
      <c r="N749" s="671">
        <v>324670.15</v>
      </c>
      <c r="O749" s="674">
        <v>24465</v>
      </c>
      <c r="P749" s="515">
        <f t="shared" si="20"/>
        <v>13.270801144492133</v>
      </c>
      <c r="Q749" s="516">
        <v>41313</v>
      </c>
    </row>
    <row r="750" spans="1:17" ht="11.25">
      <c r="A750" s="453">
        <v>749</v>
      </c>
      <c r="B750" s="497"/>
      <c r="C750" s="548" t="s">
        <v>458</v>
      </c>
      <c r="D750" s="506" t="s">
        <v>460</v>
      </c>
      <c r="E750" s="385" t="s">
        <v>377</v>
      </c>
      <c r="F750" s="499" t="s">
        <v>459</v>
      </c>
      <c r="G750" s="508">
        <v>41187</v>
      </c>
      <c r="H750" s="499" t="s">
        <v>212</v>
      </c>
      <c r="I750" s="509">
        <v>1</v>
      </c>
      <c r="J750" s="423">
        <v>1</v>
      </c>
      <c r="K750" s="423">
        <v>8</v>
      </c>
      <c r="L750" s="454">
        <v>1195</v>
      </c>
      <c r="M750" s="455">
        <v>171</v>
      </c>
      <c r="N750" s="690">
        <v>9827</v>
      </c>
      <c r="O750" s="679">
        <v>1082</v>
      </c>
      <c r="P750" s="512">
        <f t="shared" si="20"/>
        <v>9.082255083179298</v>
      </c>
      <c r="Q750" s="513">
        <v>41327</v>
      </c>
    </row>
    <row r="751" spans="1:17" ht="11.25">
      <c r="A751" s="453">
        <v>750</v>
      </c>
      <c r="B751" s="497"/>
      <c r="C751" s="548" t="s">
        <v>458</v>
      </c>
      <c r="D751" s="492" t="s">
        <v>460</v>
      </c>
      <c r="E751" s="343" t="s">
        <v>377</v>
      </c>
      <c r="F751" s="491" t="s">
        <v>459</v>
      </c>
      <c r="G751" s="495">
        <v>41187</v>
      </c>
      <c r="H751" s="499" t="s">
        <v>212</v>
      </c>
      <c r="I751" s="506">
        <v>1</v>
      </c>
      <c r="J751" s="423">
        <v>1</v>
      </c>
      <c r="K751" s="423">
        <v>6</v>
      </c>
      <c r="L751" s="604">
        <v>80</v>
      </c>
      <c r="M751" s="605">
        <v>16</v>
      </c>
      <c r="N751" s="541">
        <v>8547</v>
      </c>
      <c r="O751" s="547">
        <v>894</v>
      </c>
      <c r="P751" s="512">
        <f t="shared" si="20"/>
        <v>9.560402684563758</v>
      </c>
      <c r="Q751" s="513">
        <v>41285</v>
      </c>
    </row>
    <row r="752" spans="1:17" ht="11.25">
      <c r="A752" s="453">
        <v>751</v>
      </c>
      <c r="B752" s="497"/>
      <c r="C752" s="548" t="s">
        <v>458</v>
      </c>
      <c r="D752" s="492" t="s">
        <v>460</v>
      </c>
      <c r="E752" s="343" t="s">
        <v>377</v>
      </c>
      <c r="F752" s="491" t="s">
        <v>459</v>
      </c>
      <c r="G752" s="495">
        <v>41187</v>
      </c>
      <c r="H752" s="499" t="s">
        <v>212</v>
      </c>
      <c r="I752" s="506">
        <v>1</v>
      </c>
      <c r="J752" s="423">
        <v>1</v>
      </c>
      <c r="K752" s="423">
        <v>7</v>
      </c>
      <c r="L752" s="604">
        <v>80</v>
      </c>
      <c r="M752" s="605">
        <v>16</v>
      </c>
      <c r="N752" s="541">
        <v>8572</v>
      </c>
      <c r="O752" s="547">
        <v>899</v>
      </c>
      <c r="P752" s="512">
        <f t="shared" si="20"/>
        <v>9.53503893214683</v>
      </c>
      <c r="Q752" s="513">
        <v>41292</v>
      </c>
    </row>
    <row r="753" spans="1:17" ht="11.25">
      <c r="A753" s="453">
        <v>752</v>
      </c>
      <c r="B753" s="497" t="s">
        <v>48</v>
      </c>
      <c r="C753" s="518" t="s">
        <v>108</v>
      </c>
      <c r="D753" s="506" t="s">
        <v>110</v>
      </c>
      <c r="E753" s="500"/>
      <c r="F753" s="519" t="s">
        <v>108</v>
      </c>
      <c r="G753" s="526">
        <v>40095</v>
      </c>
      <c r="H753" s="499" t="s">
        <v>59</v>
      </c>
      <c r="I753" s="509">
        <v>52</v>
      </c>
      <c r="J753" s="517">
        <v>1</v>
      </c>
      <c r="K753" s="517">
        <v>17</v>
      </c>
      <c r="L753" s="529">
        <v>9505</v>
      </c>
      <c r="M753" s="514">
        <v>1901</v>
      </c>
      <c r="N753" s="541">
        <f>108013.25+68864+27976+10214+2402+2209+1188+2968+1780+1780+2427.4+364.82+248.58+1780+1188+952+9505</f>
        <v>243860.05</v>
      </c>
      <c r="O753" s="547">
        <f>12202+8144+4339+1841+481+460+297+742+445+445+599+87+57+445+297+238+1901</f>
        <v>33020</v>
      </c>
      <c r="P753" s="515">
        <f t="shared" si="20"/>
        <v>7.385222592368262</v>
      </c>
      <c r="Q753" s="516">
        <v>41376</v>
      </c>
    </row>
    <row r="754" spans="1:17" ht="11.25">
      <c r="A754" s="453">
        <v>753</v>
      </c>
      <c r="B754" s="497" t="s">
        <v>48</v>
      </c>
      <c r="C754" s="518" t="s">
        <v>471</v>
      </c>
      <c r="D754" s="506" t="s">
        <v>472</v>
      </c>
      <c r="E754" s="500"/>
      <c r="F754" s="519" t="s">
        <v>471</v>
      </c>
      <c r="G754" s="526">
        <v>41194</v>
      </c>
      <c r="H754" s="499" t="s">
        <v>12</v>
      </c>
      <c r="I754" s="509">
        <v>227</v>
      </c>
      <c r="J754" s="668">
        <v>3</v>
      </c>
      <c r="K754" s="668">
        <v>37</v>
      </c>
      <c r="L754" s="531">
        <v>9569</v>
      </c>
      <c r="M754" s="534">
        <v>1603</v>
      </c>
      <c r="N754" s="550">
        <v>6713913</v>
      </c>
      <c r="O754" s="552">
        <v>720149</v>
      </c>
      <c r="P754" s="371">
        <f t="shared" si="20"/>
        <v>9.322949833992688</v>
      </c>
      <c r="Q754" s="372">
        <v>41446</v>
      </c>
    </row>
    <row r="755" spans="1:17" ht="11.25">
      <c r="A755" s="453">
        <v>754</v>
      </c>
      <c r="B755" s="497" t="s">
        <v>48</v>
      </c>
      <c r="C755" s="518" t="s">
        <v>471</v>
      </c>
      <c r="D755" s="506" t="s">
        <v>472</v>
      </c>
      <c r="E755" s="500"/>
      <c r="F755" s="519" t="s">
        <v>471</v>
      </c>
      <c r="G755" s="526">
        <v>41194</v>
      </c>
      <c r="H755" s="499" t="s">
        <v>12</v>
      </c>
      <c r="I755" s="509">
        <v>227</v>
      </c>
      <c r="J755" s="517">
        <v>3</v>
      </c>
      <c r="K755" s="517">
        <v>38</v>
      </c>
      <c r="L755" s="531">
        <v>8379</v>
      </c>
      <c r="M755" s="534">
        <v>1393</v>
      </c>
      <c r="N755" s="550">
        <v>6722292</v>
      </c>
      <c r="O755" s="552">
        <v>721542</v>
      </c>
      <c r="P755" s="512">
        <f t="shared" si="20"/>
        <v>9.31656369275801</v>
      </c>
      <c r="Q755" s="513">
        <v>41453</v>
      </c>
    </row>
    <row r="756" spans="1:17" ht="11.25">
      <c r="A756" s="453">
        <v>755</v>
      </c>
      <c r="B756" s="497" t="s">
        <v>48</v>
      </c>
      <c r="C756" s="518" t="s">
        <v>471</v>
      </c>
      <c r="D756" s="506" t="s">
        <v>472</v>
      </c>
      <c r="E756" s="500"/>
      <c r="F756" s="519" t="s">
        <v>471</v>
      </c>
      <c r="G756" s="526">
        <v>41194</v>
      </c>
      <c r="H756" s="499" t="s">
        <v>12</v>
      </c>
      <c r="I756" s="509">
        <v>227</v>
      </c>
      <c r="J756" s="507">
        <v>3</v>
      </c>
      <c r="K756" s="507">
        <v>36</v>
      </c>
      <c r="L756" s="554">
        <v>5978</v>
      </c>
      <c r="M756" s="555">
        <v>1001</v>
      </c>
      <c r="N756" s="438">
        <v>6704344</v>
      </c>
      <c r="O756" s="439">
        <v>718546</v>
      </c>
      <c r="P756" s="515">
        <f t="shared" si="20"/>
        <v>9.330431176292123</v>
      </c>
      <c r="Q756" s="516">
        <v>41439</v>
      </c>
    </row>
    <row r="757" spans="1:17" ht="11.25">
      <c r="A757" s="453">
        <v>756</v>
      </c>
      <c r="B757" s="497" t="s">
        <v>48</v>
      </c>
      <c r="C757" s="518" t="s">
        <v>471</v>
      </c>
      <c r="D757" s="506" t="s">
        <v>472</v>
      </c>
      <c r="E757" s="500"/>
      <c r="F757" s="519" t="s">
        <v>471</v>
      </c>
      <c r="G757" s="526">
        <v>41194</v>
      </c>
      <c r="H757" s="499" t="s">
        <v>12</v>
      </c>
      <c r="I757" s="509">
        <v>227</v>
      </c>
      <c r="J757" s="509">
        <v>2</v>
      </c>
      <c r="K757" s="509">
        <v>19</v>
      </c>
      <c r="L757" s="530">
        <v>5369</v>
      </c>
      <c r="M757" s="533">
        <v>903</v>
      </c>
      <c r="N757" s="551">
        <v>6678689</v>
      </c>
      <c r="O757" s="553">
        <v>714248</v>
      </c>
      <c r="P757" s="512">
        <f t="shared" si="20"/>
        <v>9.35065831475902</v>
      </c>
      <c r="Q757" s="513">
        <v>41327</v>
      </c>
    </row>
    <row r="758" spans="1:17" ht="11.25">
      <c r="A758" s="453">
        <v>757</v>
      </c>
      <c r="B758" s="497" t="s">
        <v>48</v>
      </c>
      <c r="C758" s="518" t="s">
        <v>471</v>
      </c>
      <c r="D758" s="506" t="s">
        <v>472</v>
      </c>
      <c r="E758" s="500"/>
      <c r="F758" s="519" t="s">
        <v>471</v>
      </c>
      <c r="G758" s="526">
        <v>41194</v>
      </c>
      <c r="H758" s="499" t="s">
        <v>12</v>
      </c>
      <c r="I758" s="509">
        <v>227</v>
      </c>
      <c r="J758" s="517">
        <v>2</v>
      </c>
      <c r="K758" s="517">
        <v>25</v>
      </c>
      <c r="L758" s="531">
        <v>5313</v>
      </c>
      <c r="M758" s="534">
        <v>889</v>
      </c>
      <c r="N758" s="550">
        <v>6684002</v>
      </c>
      <c r="O758" s="552">
        <v>715137</v>
      </c>
      <c r="P758" s="512">
        <f t="shared" si="20"/>
        <v>9.346463684580717</v>
      </c>
      <c r="Q758" s="513">
        <v>41362</v>
      </c>
    </row>
    <row r="759" spans="1:17" ht="11.25">
      <c r="A759" s="453">
        <v>758</v>
      </c>
      <c r="B759" s="497" t="s">
        <v>48</v>
      </c>
      <c r="C759" s="518" t="s">
        <v>471</v>
      </c>
      <c r="D759" s="492" t="s">
        <v>472</v>
      </c>
      <c r="E759" s="490"/>
      <c r="F759" s="392" t="s">
        <v>471</v>
      </c>
      <c r="G759" s="526">
        <v>41194</v>
      </c>
      <c r="H759" s="499" t="s">
        <v>12</v>
      </c>
      <c r="I759" s="509">
        <v>227</v>
      </c>
      <c r="J759" s="506">
        <v>2</v>
      </c>
      <c r="K759" s="506">
        <v>19</v>
      </c>
      <c r="L759" s="531">
        <v>4781</v>
      </c>
      <c r="M759" s="534">
        <v>812</v>
      </c>
      <c r="N759" s="550">
        <v>6673320</v>
      </c>
      <c r="O759" s="552">
        <v>713345</v>
      </c>
      <c r="P759" s="512">
        <f t="shared" si="20"/>
        <v>9.354968493505947</v>
      </c>
      <c r="Q759" s="513">
        <v>41320</v>
      </c>
    </row>
    <row r="760" spans="1:17" ht="11.25">
      <c r="A760" s="453">
        <v>759</v>
      </c>
      <c r="B760" s="497" t="s">
        <v>48</v>
      </c>
      <c r="C760" s="518" t="s">
        <v>471</v>
      </c>
      <c r="D760" s="492" t="s">
        <v>472</v>
      </c>
      <c r="E760" s="490"/>
      <c r="F760" s="392" t="s">
        <v>471</v>
      </c>
      <c r="G760" s="493">
        <v>41194</v>
      </c>
      <c r="H760" s="499" t="s">
        <v>12</v>
      </c>
      <c r="I760" s="509">
        <v>227</v>
      </c>
      <c r="J760" s="509">
        <v>2</v>
      </c>
      <c r="K760" s="509">
        <v>14</v>
      </c>
      <c r="L760" s="530">
        <v>3995</v>
      </c>
      <c r="M760" s="533">
        <v>671</v>
      </c>
      <c r="N760" s="551">
        <v>6660864</v>
      </c>
      <c r="O760" s="553">
        <v>711277</v>
      </c>
      <c r="P760" s="512">
        <f t="shared" si="20"/>
        <v>9.364655401482123</v>
      </c>
      <c r="Q760" s="513">
        <v>41285</v>
      </c>
    </row>
    <row r="761" spans="1:17" ht="11.25">
      <c r="A761" s="453">
        <v>760</v>
      </c>
      <c r="B761" s="497" t="s">
        <v>48</v>
      </c>
      <c r="C761" s="518" t="s">
        <v>471</v>
      </c>
      <c r="D761" s="492" t="s">
        <v>472</v>
      </c>
      <c r="E761" s="490"/>
      <c r="F761" s="392" t="s">
        <v>471</v>
      </c>
      <c r="G761" s="526">
        <v>41194</v>
      </c>
      <c r="H761" s="499" t="s">
        <v>12</v>
      </c>
      <c r="I761" s="509">
        <v>227</v>
      </c>
      <c r="J761" s="509">
        <v>3</v>
      </c>
      <c r="K761" s="509">
        <v>18</v>
      </c>
      <c r="L761" s="531">
        <v>3764</v>
      </c>
      <c r="M761" s="555">
        <v>616</v>
      </c>
      <c r="N761" s="550">
        <v>6668539</v>
      </c>
      <c r="O761" s="439">
        <v>712533</v>
      </c>
      <c r="P761" s="515">
        <f t="shared" si="20"/>
        <v>9.358919516710102</v>
      </c>
      <c r="Q761" s="516">
        <v>41313</v>
      </c>
    </row>
    <row r="762" spans="1:17" ht="11.25">
      <c r="A762" s="453">
        <v>761</v>
      </c>
      <c r="B762" s="497" t="s">
        <v>48</v>
      </c>
      <c r="C762" s="518" t="s">
        <v>471</v>
      </c>
      <c r="D762" s="506" t="s">
        <v>472</v>
      </c>
      <c r="E762" s="500"/>
      <c r="F762" s="519" t="s">
        <v>471</v>
      </c>
      <c r="G762" s="526">
        <v>41194</v>
      </c>
      <c r="H762" s="499" t="s">
        <v>12</v>
      </c>
      <c r="I762" s="509">
        <v>227</v>
      </c>
      <c r="J762" s="517">
        <v>1</v>
      </c>
      <c r="K762" s="517">
        <v>27</v>
      </c>
      <c r="L762" s="554">
        <v>3591</v>
      </c>
      <c r="M762" s="555">
        <v>602</v>
      </c>
      <c r="N762" s="438">
        <v>6687593</v>
      </c>
      <c r="O762" s="439">
        <v>715739</v>
      </c>
      <c r="P762" s="515">
        <f t="shared" si="20"/>
        <v>9.343619671416535</v>
      </c>
      <c r="Q762" s="516">
        <v>41376</v>
      </c>
    </row>
    <row r="763" spans="1:17" ht="11.25">
      <c r="A763" s="453">
        <v>762</v>
      </c>
      <c r="B763" s="497" t="s">
        <v>48</v>
      </c>
      <c r="C763" s="518" t="s">
        <v>471</v>
      </c>
      <c r="D763" s="506" t="s">
        <v>472</v>
      </c>
      <c r="E763" s="500"/>
      <c r="F763" s="519" t="s">
        <v>471</v>
      </c>
      <c r="G763" s="526">
        <v>41194</v>
      </c>
      <c r="H763" s="499" t="s">
        <v>12</v>
      </c>
      <c r="I763" s="506">
        <v>227</v>
      </c>
      <c r="J763" s="507">
        <v>1</v>
      </c>
      <c r="K763" s="507">
        <v>30</v>
      </c>
      <c r="L763" s="531">
        <v>3591</v>
      </c>
      <c r="M763" s="555">
        <v>602</v>
      </c>
      <c r="N763" s="550">
        <v>6691184</v>
      </c>
      <c r="O763" s="439">
        <v>716341</v>
      </c>
      <c r="P763" s="515">
        <f t="shared" si="20"/>
        <v>9.340780438366643</v>
      </c>
      <c r="Q763" s="516">
        <v>41397</v>
      </c>
    </row>
    <row r="764" spans="1:17" ht="11.25">
      <c r="A764" s="453">
        <v>763</v>
      </c>
      <c r="B764" s="497" t="s">
        <v>48</v>
      </c>
      <c r="C764" s="518" t="s">
        <v>471</v>
      </c>
      <c r="D764" s="506" t="s">
        <v>472</v>
      </c>
      <c r="E764" s="500"/>
      <c r="F764" s="519" t="s">
        <v>471</v>
      </c>
      <c r="G764" s="526">
        <v>41194</v>
      </c>
      <c r="H764" s="499" t="s">
        <v>12</v>
      </c>
      <c r="I764" s="509">
        <v>227</v>
      </c>
      <c r="J764" s="507">
        <v>1</v>
      </c>
      <c r="K764" s="507">
        <v>33</v>
      </c>
      <c r="L764" s="554">
        <v>3591</v>
      </c>
      <c r="M764" s="555">
        <v>602</v>
      </c>
      <c r="N764" s="438">
        <v>6694775</v>
      </c>
      <c r="O764" s="439">
        <v>716943</v>
      </c>
      <c r="P764" s="515">
        <f t="shared" si="20"/>
        <v>9.337945973389795</v>
      </c>
      <c r="Q764" s="516">
        <v>41418</v>
      </c>
    </row>
    <row r="765" spans="1:17" ht="11.25">
      <c r="A765" s="453">
        <v>764</v>
      </c>
      <c r="B765" s="497" t="s">
        <v>48</v>
      </c>
      <c r="C765" s="518" t="s">
        <v>471</v>
      </c>
      <c r="D765" s="506" t="s">
        <v>472</v>
      </c>
      <c r="E765" s="500"/>
      <c r="F765" s="519" t="s">
        <v>471</v>
      </c>
      <c r="G765" s="526">
        <v>41194</v>
      </c>
      <c r="H765" s="499" t="s">
        <v>12</v>
      </c>
      <c r="I765" s="509">
        <v>227</v>
      </c>
      <c r="J765" s="517">
        <v>1</v>
      </c>
      <c r="K765" s="517">
        <v>35</v>
      </c>
      <c r="L765" s="531">
        <v>3591</v>
      </c>
      <c r="M765" s="534">
        <v>602</v>
      </c>
      <c r="N765" s="550">
        <v>6698366</v>
      </c>
      <c r="O765" s="552">
        <v>717545</v>
      </c>
      <c r="P765" s="512">
        <f t="shared" si="20"/>
        <v>9.335116264485155</v>
      </c>
      <c r="Q765" s="513">
        <v>41432</v>
      </c>
    </row>
    <row r="766" spans="1:17" ht="11.25">
      <c r="A766" s="453">
        <v>765</v>
      </c>
      <c r="B766" s="497" t="s">
        <v>48</v>
      </c>
      <c r="C766" s="518" t="s">
        <v>471</v>
      </c>
      <c r="D766" s="492" t="s">
        <v>472</v>
      </c>
      <c r="E766" s="490"/>
      <c r="F766" s="392" t="s">
        <v>471</v>
      </c>
      <c r="G766" s="493">
        <v>41194</v>
      </c>
      <c r="H766" s="499" t="s">
        <v>12</v>
      </c>
      <c r="I766" s="509">
        <v>227</v>
      </c>
      <c r="J766" s="509">
        <v>3</v>
      </c>
      <c r="K766" s="509">
        <v>15</v>
      </c>
      <c r="L766" s="554">
        <v>3552</v>
      </c>
      <c r="M766" s="555">
        <v>586</v>
      </c>
      <c r="N766" s="438">
        <v>6664416</v>
      </c>
      <c r="O766" s="439">
        <v>711863</v>
      </c>
      <c r="P766" s="512">
        <f t="shared" si="20"/>
        <v>9.361936215254902</v>
      </c>
      <c r="Q766" s="513">
        <v>41292</v>
      </c>
    </row>
    <row r="767" spans="1:17" ht="11.25">
      <c r="A767" s="453">
        <v>766</v>
      </c>
      <c r="B767" s="497" t="s">
        <v>48</v>
      </c>
      <c r="C767" s="518" t="s">
        <v>471</v>
      </c>
      <c r="D767" s="506" t="s">
        <v>472</v>
      </c>
      <c r="E767" s="500"/>
      <c r="F767" s="519" t="s">
        <v>471</v>
      </c>
      <c r="G767" s="493">
        <v>41194</v>
      </c>
      <c r="H767" s="499" t="s">
        <v>12</v>
      </c>
      <c r="I767" s="509">
        <v>227</v>
      </c>
      <c r="J767" s="517">
        <v>1</v>
      </c>
      <c r="K767" s="517">
        <v>42</v>
      </c>
      <c r="L767" s="531">
        <v>1197</v>
      </c>
      <c r="M767" s="534">
        <v>189</v>
      </c>
      <c r="N767" s="550">
        <v>6724686</v>
      </c>
      <c r="O767" s="552">
        <v>721920</v>
      </c>
      <c r="P767" s="512">
        <f t="shared" si="20"/>
        <v>9.315001662234042</v>
      </c>
      <c r="Q767" s="513">
        <v>41481</v>
      </c>
    </row>
    <row r="768" spans="1:17" ht="11.25">
      <c r="A768" s="453">
        <v>767</v>
      </c>
      <c r="B768" s="402" t="s">
        <v>48</v>
      </c>
      <c r="C768" s="501" t="s">
        <v>471</v>
      </c>
      <c r="D768" s="492" t="s">
        <v>472</v>
      </c>
      <c r="E768" s="490"/>
      <c r="F768" s="392" t="s">
        <v>471</v>
      </c>
      <c r="G768" s="493">
        <v>41194</v>
      </c>
      <c r="H768" s="491" t="s">
        <v>12</v>
      </c>
      <c r="I768" s="509">
        <v>227</v>
      </c>
      <c r="J768" s="517">
        <v>1</v>
      </c>
      <c r="K768" s="517">
        <v>47</v>
      </c>
      <c r="L768" s="531">
        <v>1197</v>
      </c>
      <c r="M768" s="534">
        <v>189</v>
      </c>
      <c r="N768" s="550">
        <v>6735452</v>
      </c>
      <c r="O768" s="552">
        <v>723712</v>
      </c>
      <c r="P768" s="512">
        <f t="shared" si="20"/>
        <v>9.306812654757694</v>
      </c>
      <c r="Q768" s="513">
        <v>41516</v>
      </c>
    </row>
    <row r="769" spans="1:17" ht="11.25">
      <c r="A769" s="453">
        <v>768</v>
      </c>
      <c r="B769" s="497" t="s">
        <v>48</v>
      </c>
      <c r="C769" s="518" t="s">
        <v>471</v>
      </c>
      <c r="D769" s="492" t="s">
        <v>472</v>
      </c>
      <c r="E769" s="490"/>
      <c r="F769" s="392" t="s">
        <v>471</v>
      </c>
      <c r="G769" s="493">
        <v>41194</v>
      </c>
      <c r="H769" s="499" t="s">
        <v>12</v>
      </c>
      <c r="I769" s="509">
        <v>227</v>
      </c>
      <c r="J769" s="509">
        <v>2</v>
      </c>
      <c r="K769" s="509">
        <v>13</v>
      </c>
      <c r="L769" s="554">
        <v>861</v>
      </c>
      <c r="M769" s="555">
        <v>147</v>
      </c>
      <c r="N769" s="550">
        <v>665869</v>
      </c>
      <c r="O769" s="552">
        <v>710606</v>
      </c>
      <c r="P769" s="512">
        <f t="shared" si="20"/>
        <v>0.9370438752276227</v>
      </c>
      <c r="Q769" s="513">
        <v>41278</v>
      </c>
    </row>
    <row r="770" spans="1:17" ht="11.25">
      <c r="A770" s="453">
        <v>769</v>
      </c>
      <c r="B770" s="497" t="s">
        <v>48</v>
      </c>
      <c r="C770" s="518" t="s">
        <v>471</v>
      </c>
      <c r="D770" s="492" t="s">
        <v>472</v>
      </c>
      <c r="E770" s="490"/>
      <c r="F770" s="392" t="s">
        <v>471</v>
      </c>
      <c r="G770" s="493">
        <v>41194</v>
      </c>
      <c r="H770" s="499" t="s">
        <v>12</v>
      </c>
      <c r="I770" s="509">
        <v>227</v>
      </c>
      <c r="J770" s="506">
        <v>1</v>
      </c>
      <c r="K770" s="506">
        <v>17</v>
      </c>
      <c r="L770" s="554">
        <v>359</v>
      </c>
      <c r="M770" s="534">
        <v>54</v>
      </c>
      <c r="N770" s="438">
        <v>6664775</v>
      </c>
      <c r="O770" s="552">
        <v>711917</v>
      </c>
      <c r="P770" s="515">
        <f t="shared" si="20"/>
        <v>9.361730370253836</v>
      </c>
      <c r="Q770" s="516">
        <v>41306</v>
      </c>
    </row>
    <row r="771" spans="1:17" ht="11.25">
      <c r="A771" s="453">
        <v>770</v>
      </c>
      <c r="B771" s="497" t="s">
        <v>48</v>
      </c>
      <c r="C771" s="549" t="s">
        <v>527</v>
      </c>
      <c r="D771" s="560" t="s">
        <v>528</v>
      </c>
      <c r="E771" s="560"/>
      <c r="F771" s="560" t="s">
        <v>527</v>
      </c>
      <c r="G771" s="508">
        <v>41243</v>
      </c>
      <c r="H771" s="499" t="s">
        <v>47</v>
      </c>
      <c r="I771" s="556">
        <v>31</v>
      </c>
      <c r="J771" s="556">
        <v>1</v>
      </c>
      <c r="K771" s="556">
        <v>7</v>
      </c>
      <c r="L771" s="691">
        <v>1681</v>
      </c>
      <c r="M771" s="692">
        <v>336</v>
      </c>
      <c r="N771" s="693">
        <f>41107.52+24347.46+11631+432+221+259+1681</f>
        <v>79678.98</v>
      </c>
      <c r="O771" s="694">
        <f>5385+3370+2073+68+24+47+336</f>
        <v>11303</v>
      </c>
      <c r="P771" s="512">
        <f t="shared" si="20"/>
        <v>7.049365655135804</v>
      </c>
      <c r="Q771" s="513">
        <v>41348</v>
      </c>
    </row>
    <row r="772" spans="1:17" ht="11.25">
      <c r="A772" s="453">
        <v>771</v>
      </c>
      <c r="B772" s="497" t="s">
        <v>48</v>
      </c>
      <c r="C772" s="549" t="s">
        <v>527</v>
      </c>
      <c r="D772" s="560" t="s">
        <v>528</v>
      </c>
      <c r="E772" s="560"/>
      <c r="F772" s="560" t="s">
        <v>527</v>
      </c>
      <c r="G772" s="508">
        <v>41243</v>
      </c>
      <c r="H772" s="499" t="s">
        <v>47</v>
      </c>
      <c r="I772" s="556">
        <v>31</v>
      </c>
      <c r="J772" s="556">
        <v>1</v>
      </c>
      <c r="K772" s="556">
        <v>8</v>
      </c>
      <c r="L772" s="531">
        <v>1425</v>
      </c>
      <c r="M772" s="534">
        <v>281</v>
      </c>
      <c r="N772" s="550">
        <f>41107.52+24347.46+11631+432+221+259+1681+1425</f>
        <v>81103.98</v>
      </c>
      <c r="O772" s="552">
        <f>5385+3370+2073+68+24+47+336+281</f>
        <v>11584</v>
      </c>
      <c r="P772" s="512">
        <f t="shared" si="20"/>
        <v>7.001379488950276</v>
      </c>
      <c r="Q772" s="513">
        <v>41390</v>
      </c>
    </row>
    <row r="773" spans="1:17" ht="11.25">
      <c r="A773" s="453">
        <v>772</v>
      </c>
      <c r="B773" s="497" t="s">
        <v>48</v>
      </c>
      <c r="C773" s="549" t="s">
        <v>527</v>
      </c>
      <c r="D773" s="496" t="s">
        <v>528</v>
      </c>
      <c r="E773" s="496"/>
      <c r="F773" s="496" t="s">
        <v>527</v>
      </c>
      <c r="G773" s="495">
        <v>41243</v>
      </c>
      <c r="H773" s="499" t="s">
        <v>47</v>
      </c>
      <c r="I773" s="556">
        <v>31</v>
      </c>
      <c r="J773" s="527">
        <v>1</v>
      </c>
      <c r="K773" s="527">
        <v>6</v>
      </c>
      <c r="L773" s="554">
        <v>259</v>
      </c>
      <c r="M773" s="534">
        <v>47</v>
      </c>
      <c r="N773" s="438">
        <f>41107.52+24347.46+11631+432+221+259</f>
        <v>77997.98</v>
      </c>
      <c r="O773" s="552">
        <f>5385+3370+2073+68+24+47</f>
        <v>10967</v>
      </c>
      <c r="P773" s="515">
        <f t="shared" si="20"/>
        <v>7.112061639463846</v>
      </c>
      <c r="Q773" s="516">
        <v>41306</v>
      </c>
    </row>
    <row r="774" spans="1:17" ht="11.25">
      <c r="A774" s="453">
        <v>773</v>
      </c>
      <c r="B774" s="497" t="s">
        <v>48</v>
      </c>
      <c r="C774" s="549" t="s">
        <v>527</v>
      </c>
      <c r="D774" s="496" t="s">
        <v>528</v>
      </c>
      <c r="E774" s="496"/>
      <c r="F774" s="496" t="s">
        <v>527</v>
      </c>
      <c r="G774" s="495">
        <v>41243</v>
      </c>
      <c r="H774" s="499" t="s">
        <v>47</v>
      </c>
      <c r="I774" s="556">
        <v>31</v>
      </c>
      <c r="J774" s="575">
        <v>1</v>
      </c>
      <c r="K774" s="575">
        <v>5</v>
      </c>
      <c r="L774" s="554">
        <v>221</v>
      </c>
      <c r="M774" s="555">
        <v>24</v>
      </c>
      <c r="N774" s="550">
        <f>41107.52+24347.46+11631+432+221</f>
        <v>77738.98</v>
      </c>
      <c r="O774" s="552">
        <f>5385+3370+2073+68+24</f>
        <v>10920</v>
      </c>
      <c r="P774" s="512">
        <f t="shared" si="20"/>
        <v>7.118954212454212</v>
      </c>
      <c r="Q774" s="513">
        <v>41278</v>
      </c>
    </row>
    <row r="775" spans="1:17" ht="11.25">
      <c r="A775" s="453">
        <v>774</v>
      </c>
      <c r="B775" s="497"/>
      <c r="C775" s="523" t="s">
        <v>552</v>
      </c>
      <c r="D775" s="524" t="s">
        <v>443</v>
      </c>
      <c r="E775" s="490" t="s">
        <v>81</v>
      </c>
      <c r="F775" s="494" t="s">
        <v>551</v>
      </c>
      <c r="G775" s="493">
        <v>41257</v>
      </c>
      <c r="H775" s="499" t="s">
        <v>59</v>
      </c>
      <c r="I775" s="509">
        <v>41</v>
      </c>
      <c r="J775" s="509">
        <v>26</v>
      </c>
      <c r="K775" s="509">
        <v>4</v>
      </c>
      <c r="L775" s="529">
        <v>30197.9</v>
      </c>
      <c r="M775" s="514">
        <v>3491</v>
      </c>
      <c r="N775" s="535">
        <f>250808.9+189426.4+77003.63+30197.9</f>
        <v>547436.83</v>
      </c>
      <c r="O775" s="542">
        <f>20135+14709+6763+3491</f>
        <v>45098</v>
      </c>
      <c r="P775" s="512">
        <f t="shared" si="20"/>
        <v>12.138827220719321</v>
      </c>
      <c r="Q775" s="513">
        <v>41278</v>
      </c>
    </row>
    <row r="776" spans="1:17" ht="11.25">
      <c r="A776" s="453">
        <v>775</v>
      </c>
      <c r="B776" s="497"/>
      <c r="C776" s="523" t="s">
        <v>552</v>
      </c>
      <c r="D776" s="524" t="s">
        <v>443</v>
      </c>
      <c r="E776" s="490" t="s">
        <v>81</v>
      </c>
      <c r="F776" s="494" t="s">
        <v>551</v>
      </c>
      <c r="G776" s="493">
        <v>41257</v>
      </c>
      <c r="H776" s="499" t="s">
        <v>59</v>
      </c>
      <c r="I776" s="509">
        <v>41</v>
      </c>
      <c r="J776" s="509">
        <v>10</v>
      </c>
      <c r="K776" s="509">
        <v>5</v>
      </c>
      <c r="L776" s="529">
        <v>13049</v>
      </c>
      <c r="M776" s="514">
        <v>1826</v>
      </c>
      <c r="N776" s="541">
        <f>250808.9+189426.4+77003.63+30189.9+13049</f>
        <v>560477.83</v>
      </c>
      <c r="O776" s="547">
        <f>20135+14709+6763+3491+1826</f>
        <v>46924</v>
      </c>
      <c r="P776" s="512">
        <f t="shared" si="20"/>
        <v>11.944374520501235</v>
      </c>
      <c r="Q776" s="513">
        <v>41285</v>
      </c>
    </row>
    <row r="777" spans="1:17" ht="11.25">
      <c r="A777" s="453">
        <v>776</v>
      </c>
      <c r="B777" s="477"/>
      <c r="C777" s="464" t="s">
        <v>552</v>
      </c>
      <c r="D777" s="364" t="s">
        <v>443</v>
      </c>
      <c r="E777" s="368" t="s">
        <v>81</v>
      </c>
      <c r="F777" s="370" t="s">
        <v>551</v>
      </c>
      <c r="G777" s="369">
        <v>41257</v>
      </c>
      <c r="H777" s="365" t="s">
        <v>59</v>
      </c>
      <c r="I777" s="395">
        <v>41</v>
      </c>
      <c r="J777" s="361">
        <v>3</v>
      </c>
      <c r="K777" s="361">
        <v>6</v>
      </c>
      <c r="L777" s="503">
        <v>6330</v>
      </c>
      <c r="M777" s="504">
        <v>916</v>
      </c>
      <c r="N777" s="538">
        <v>589476.33</v>
      </c>
      <c r="O777" s="544">
        <v>51111</v>
      </c>
      <c r="P777" s="396">
        <v>11.533257615777424</v>
      </c>
      <c r="Q777" s="397">
        <v>41425</v>
      </c>
    </row>
    <row r="778" spans="1:17" ht="11.25">
      <c r="A778" s="453">
        <v>777</v>
      </c>
      <c r="B778" s="497"/>
      <c r="C778" s="518" t="s">
        <v>552</v>
      </c>
      <c r="D778" s="506" t="s">
        <v>443</v>
      </c>
      <c r="E778" s="500" t="s">
        <v>81</v>
      </c>
      <c r="F778" s="525" t="s">
        <v>551</v>
      </c>
      <c r="G778" s="526">
        <v>41257</v>
      </c>
      <c r="H778" s="499" t="s">
        <v>59</v>
      </c>
      <c r="I778" s="509">
        <v>41</v>
      </c>
      <c r="J778" s="509">
        <v>3</v>
      </c>
      <c r="K778" s="509">
        <v>8</v>
      </c>
      <c r="L778" s="648">
        <v>5545</v>
      </c>
      <c r="M778" s="649">
        <v>813</v>
      </c>
      <c r="N778" s="539">
        <f>250808.9+189426.4+77003.63+30189.9+13049+3517+346+351+1782+5545</f>
        <v>572018.83</v>
      </c>
      <c r="O778" s="545">
        <f>20135+14709+6763+3491+1826+491+43+37+356+813</f>
        <v>48664</v>
      </c>
      <c r="P778" s="512">
        <f aca="true" t="shared" si="21" ref="P778:P801">N778/O778</f>
        <v>11.754455655104389</v>
      </c>
      <c r="Q778" s="513">
        <v>41348</v>
      </c>
    </row>
    <row r="779" spans="1:17" ht="11.25">
      <c r="A779" s="453">
        <v>778</v>
      </c>
      <c r="B779" s="497"/>
      <c r="C779" s="523" t="s">
        <v>552</v>
      </c>
      <c r="D779" s="524" t="s">
        <v>443</v>
      </c>
      <c r="E779" s="490" t="s">
        <v>81</v>
      </c>
      <c r="F779" s="494" t="s">
        <v>551</v>
      </c>
      <c r="G779" s="493">
        <v>41257</v>
      </c>
      <c r="H779" s="499" t="s">
        <v>59</v>
      </c>
      <c r="I779" s="509">
        <v>41</v>
      </c>
      <c r="J779" s="666">
        <v>5</v>
      </c>
      <c r="K779" s="666">
        <v>6</v>
      </c>
      <c r="L779" s="529">
        <v>3517</v>
      </c>
      <c r="M779" s="514">
        <v>491</v>
      </c>
      <c r="N779" s="539">
        <f>250808.9+189426.4+77003.63+30189.9+13049+3517</f>
        <v>563994.83</v>
      </c>
      <c r="O779" s="545">
        <f>20135+14709+6763+3491+1826+491</f>
        <v>47415</v>
      </c>
      <c r="P779" s="512">
        <f t="shared" si="21"/>
        <v>11.894860908995042</v>
      </c>
      <c r="Q779" s="513">
        <v>41292</v>
      </c>
    </row>
    <row r="780" spans="1:17" ht="11.25">
      <c r="A780" s="453">
        <v>779</v>
      </c>
      <c r="B780" s="497"/>
      <c r="C780" s="518" t="s">
        <v>552</v>
      </c>
      <c r="D780" s="506" t="s">
        <v>443</v>
      </c>
      <c r="E780" s="500" t="s">
        <v>81</v>
      </c>
      <c r="F780" s="525" t="s">
        <v>551</v>
      </c>
      <c r="G780" s="526">
        <v>41257</v>
      </c>
      <c r="H780" s="499" t="s">
        <v>59</v>
      </c>
      <c r="I780" s="509">
        <v>41</v>
      </c>
      <c r="J780" s="517">
        <v>2</v>
      </c>
      <c r="K780" s="517">
        <v>12</v>
      </c>
      <c r="L780" s="529">
        <v>3271</v>
      </c>
      <c r="M780" s="514">
        <v>455</v>
      </c>
      <c r="N780" s="541">
        <f>250808.9+189426.4+77003.63+30189.9+13049+3517+346+351+1782+5545+2467+3271</f>
        <v>577756.83</v>
      </c>
      <c r="O780" s="547">
        <f>20135+14709+6763+3491+1826+491+43+37+356+813+321+455</f>
        <v>49440</v>
      </c>
      <c r="P780" s="515">
        <f t="shared" si="21"/>
        <v>11.686020024271844</v>
      </c>
      <c r="Q780" s="516">
        <v>41383</v>
      </c>
    </row>
    <row r="781" spans="1:17" ht="11.25">
      <c r="A781" s="453">
        <v>780</v>
      </c>
      <c r="B781" s="497"/>
      <c r="C781" s="518" t="s">
        <v>552</v>
      </c>
      <c r="D781" s="506" t="s">
        <v>443</v>
      </c>
      <c r="E781" s="500" t="s">
        <v>81</v>
      </c>
      <c r="F781" s="525" t="s">
        <v>551</v>
      </c>
      <c r="G781" s="526">
        <v>41257</v>
      </c>
      <c r="H781" s="499" t="s">
        <v>59</v>
      </c>
      <c r="I781" s="509">
        <v>41</v>
      </c>
      <c r="J781" s="684">
        <v>2</v>
      </c>
      <c r="K781" s="684">
        <v>9</v>
      </c>
      <c r="L781" s="529">
        <v>2467</v>
      </c>
      <c r="M781" s="514">
        <v>321</v>
      </c>
      <c r="N781" s="438">
        <v>573435.83</v>
      </c>
      <c r="O781" s="547">
        <v>48848</v>
      </c>
      <c r="P781" s="515">
        <f t="shared" si="21"/>
        <v>11.739187479528331</v>
      </c>
      <c r="Q781" s="516">
        <v>41355</v>
      </c>
    </row>
    <row r="782" spans="1:17" ht="11.25">
      <c r="A782" s="453">
        <v>781</v>
      </c>
      <c r="B782" s="497"/>
      <c r="C782" s="518" t="s">
        <v>552</v>
      </c>
      <c r="D782" s="506" t="s">
        <v>443</v>
      </c>
      <c r="E782" s="500" t="s">
        <v>81</v>
      </c>
      <c r="F782" s="525" t="s">
        <v>551</v>
      </c>
      <c r="G782" s="526">
        <v>41257</v>
      </c>
      <c r="H782" s="499" t="s">
        <v>59</v>
      </c>
      <c r="I782" s="509">
        <v>41</v>
      </c>
      <c r="J782" s="507">
        <v>2</v>
      </c>
      <c r="K782" s="507">
        <v>15</v>
      </c>
      <c r="L782" s="529">
        <v>2349</v>
      </c>
      <c r="M782" s="514">
        <v>317</v>
      </c>
      <c r="N782" s="541">
        <f>250808.9+189426.4+77003.63+30189.9+13049+3517+346+351+1782+5545+2467+3271+1095.5+1945+2349</f>
        <v>583146.33</v>
      </c>
      <c r="O782" s="547">
        <f>20135+14709+6763+3491+1826+491+43+37+356+813+321+455+163+275+317</f>
        <v>50195</v>
      </c>
      <c r="P782" s="515">
        <f t="shared" si="21"/>
        <v>11.617617890228109</v>
      </c>
      <c r="Q782" s="516">
        <v>41418</v>
      </c>
    </row>
    <row r="783" spans="1:17" ht="11.25">
      <c r="A783" s="453">
        <v>782</v>
      </c>
      <c r="B783" s="497"/>
      <c r="C783" s="518" t="s">
        <v>552</v>
      </c>
      <c r="D783" s="506" t="s">
        <v>443</v>
      </c>
      <c r="E783" s="500" t="s">
        <v>81</v>
      </c>
      <c r="F783" s="525" t="s">
        <v>551</v>
      </c>
      <c r="G783" s="526">
        <v>41257</v>
      </c>
      <c r="H783" s="499" t="s">
        <v>59</v>
      </c>
      <c r="I783" s="509">
        <v>41</v>
      </c>
      <c r="J783" s="517">
        <v>1</v>
      </c>
      <c r="K783" s="517">
        <v>17</v>
      </c>
      <c r="L783" s="503">
        <v>1996</v>
      </c>
      <c r="M783" s="504">
        <v>260</v>
      </c>
      <c r="N783" s="538">
        <f>250808.9+189426.4+77003.63+30189.9+13049+3517+346+351+1782+5545+2467+3271+1095.5+1945+2349+6330+1996</f>
        <v>591472.33</v>
      </c>
      <c r="O783" s="544">
        <f>20135+14709+6763+3491+1826+491+43+37+356+813+321+455+163+275+317+916+260</f>
        <v>51371</v>
      </c>
      <c r="P783" s="512">
        <f t="shared" si="21"/>
        <v>11.513739853224582</v>
      </c>
      <c r="Q783" s="513">
        <v>41432</v>
      </c>
    </row>
    <row r="784" spans="1:17" ht="11.25">
      <c r="A784" s="453">
        <v>783</v>
      </c>
      <c r="B784" s="497"/>
      <c r="C784" s="518" t="s">
        <v>552</v>
      </c>
      <c r="D784" s="506" t="s">
        <v>443</v>
      </c>
      <c r="E784" s="500" t="s">
        <v>81</v>
      </c>
      <c r="F784" s="525" t="s">
        <v>551</v>
      </c>
      <c r="G784" s="526">
        <v>41257</v>
      </c>
      <c r="H784" s="499" t="s">
        <v>59</v>
      </c>
      <c r="I784" s="509">
        <v>41</v>
      </c>
      <c r="J784" s="517">
        <v>2</v>
      </c>
      <c r="K784" s="517">
        <v>14</v>
      </c>
      <c r="L784" s="510">
        <v>1945</v>
      </c>
      <c r="M784" s="511">
        <v>275</v>
      </c>
      <c r="N784" s="535">
        <f>250808.9+189426.4+77003.63+30189.9+13049+3517+346+351+1782+5545+2467+3271+1095.5+1945</f>
        <v>580797.33</v>
      </c>
      <c r="O784" s="542">
        <f>20135+14709+6763+3491+1826+491+43+37+356+813+321+455+163+275</f>
        <v>49878</v>
      </c>
      <c r="P784" s="512">
        <f t="shared" si="21"/>
        <v>11.644358835558762</v>
      </c>
      <c r="Q784" s="513">
        <v>41411</v>
      </c>
    </row>
    <row r="785" spans="1:17" ht="11.25">
      <c r="A785" s="453">
        <v>784</v>
      </c>
      <c r="B785" s="497"/>
      <c r="C785" s="518" t="s">
        <v>552</v>
      </c>
      <c r="D785" s="506" t="s">
        <v>443</v>
      </c>
      <c r="E785" s="500" t="s">
        <v>81</v>
      </c>
      <c r="F785" s="525" t="s">
        <v>551</v>
      </c>
      <c r="G785" s="526">
        <v>41257</v>
      </c>
      <c r="H785" s="499" t="s">
        <v>59</v>
      </c>
      <c r="I785" s="509">
        <v>41</v>
      </c>
      <c r="J785" s="509">
        <v>1</v>
      </c>
      <c r="K785" s="509">
        <v>7</v>
      </c>
      <c r="L785" s="648">
        <v>1782</v>
      </c>
      <c r="M785" s="649">
        <v>356</v>
      </c>
      <c r="N785" s="539">
        <f>250808.9+189426.4+77003.63+30189.9+13049+3517+346+351+1782</f>
        <v>566473.83</v>
      </c>
      <c r="O785" s="545">
        <f>20135+14709+6763+3491+1826+491+43+37+356</f>
        <v>47851</v>
      </c>
      <c r="P785" s="512">
        <f t="shared" si="21"/>
        <v>11.838286138220726</v>
      </c>
      <c r="Q785" s="513">
        <v>41327</v>
      </c>
    </row>
    <row r="786" spans="1:17" ht="11.25">
      <c r="A786" s="453">
        <v>785</v>
      </c>
      <c r="B786" s="497"/>
      <c r="C786" s="518" t="s">
        <v>552</v>
      </c>
      <c r="D786" s="506" t="s">
        <v>443</v>
      </c>
      <c r="E786" s="500" t="s">
        <v>81</v>
      </c>
      <c r="F786" s="525" t="s">
        <v>551</v>
      </c>
      <c r="G786" s="526">
        <v>41257</v>
      </c>
      <c r="H786" s="499" t="s">
        <v>59</v>
      </c>
      <c r="I786" s="509">
        <v>41</v>
      </c>
      <c r="J786" s="517">
        <v>1</v>
      </c>
      <c r="K786" s="517">
        <v>13</v>
      </c>
      <c r="L786" s="510">
        <v>1095.5</v>
      </c>
      <c r="M786" s="511">
        <v>163</v>
      </c>
      <c r="N786" s="535">
        <f>250808.9+189426.4+77003.63+30189.9+13049+3517+346+351+1782+5545+2467+3271+1095.5</f>
        <v>578852.33</v>
      </c>
      <c r="O786" s="542">
        <f>20135+14709+6763+3491+1826+491+43+37+356+813+321+455+163</f>
        <v>49603</v>
      </c>
      <c r="P786" s="512">
        <f t="shared" si="21"/>
        <v>11.669704050158256</v>
      </c>
      <c r="Q786" s="513">
        <v>41390</v>
      </c>
    </row>
    <row r="787" spans="1:17" ht="11.25">
      <c r="A787" s="453">
        <v>786</v>
      </c>
      <c r="B787" s="497"/>
      <c r="C787" s="518" t="s">
        <v>552</v>
      </c>
      <c r="D787" s="506" t="s">
        <v>443</v>
      </c>
      <c r="E787" s="500" t="s">
        <v>81</v>
      </c>
      <c r="F787" s="525" t="s">
        <v>551</v>
      </c>
      <c r="G787" s="526">
        <v>41257</v>
      </c>
      <c r="H787" s="499" t="s">
        <v>59</v>
      </c>
      <c r="I787" s="509">
        <v>41</v>
      </c>
      <c r="J787" s="507">
        <v>2</v>
      </c>
      <c r="K787" s="507">
        <v>19</v>
      </c>
      <c r="L787" s="503">
        <v>995.86</v>
      </c>
      <c r="M787" s="504">
        <v>140</v>
      </c>
      <c r="N787" s="538">
        <f>250808.9+189426.4+77003.63+30189.9+13049+3517+346+351+1782+5545+2467+3271+1095.5+1945+2349+6330+1996+861+995.86</f>
        <v>593329.19</v>
      </c>
      <c r="O787" s="544">
        <f>20135+14709+6763+3491+1826+491+43+37+356+813+321+455+163+275+317+916+260+111+140</f>
        <v>51622</v>
      </c>
      <c r="P787" s="512">
        <f t="shared" si="21"/>
        <v>11.493727286815698</v>
      </c>
      <c r="Q787" s="513">
        <v>41446</v>
      </c>
    </row>
    <row r="788" spans="1:17" ht="11.25">
      <c r="A788" s="453">
        <v>787</v>
      </c>
      <c r="B788" s="497"/>
      <c r="C788" s="518" t="s">
        <v>552</v>
      </c>
      <c r="D788" s="506" t="s">
        <v>443</v>
      </c>
      <c r="E788" s="500" t="s">
        <v>81</v>
      </c>
      <c r="F788" s="525" t="s">
        <v>551</v>
      </c>
      <c r="G788" s="493">
        <v>41257</v>
      </c>
      <c r="H788" s="499" t="s">
        <v>59</v>
      </c>
      <c r="I788" s="509">
        <v>41</v>
      </c>
      <c r="J788" s="517">
        <v>1</v>
      </c>
      <c r="K788" s="517">
        <v>22</v>
      </c>
      <c r="L788" s="528">
        <v>928</v>
      </c>
      <c r="M788" s="532">
        <v>117</v>
      </c>
      <c r="N788" s="537">
        <f>250808.9+189426.4+77003.63+30189.9+13049+3517+346+351+1782+5545+2467+3271+1095.5+1945+2349+6330+1996+861+995.86+168+264+928</f>
        <v>594689.19</v>
      </c>
      <c r="O788" s="543">
        <f>20135+14709+6763+3491+1826+491+43+37+356+813+321+455+163+275+317+916+260+111+140+21+37+117</f>
        <v>51797</v>
      </c>
      <c r="P788" s="515">
        <f t="shared" si="21"/>
        <v>11.481151224974418</v>
      </c>
      <c r="Q788" s="516">
        <v>41474</v>
      </c>
    </row>
    <row r="789" spans="1:17" ht="11.25">
      <c r="A789" s="453">
        <v>788</v>
      </c>
      <c r="B789" s="497"/>
      <c r="C789" s="518" t="s">
        <v>552</v>
      </c>
      <c r="D789" s="506" t="s">
        <v>443</v>
      </c>
      <c r="E789" s="500" t="s">
        <v>81</v>
      </c>
      <c r="F789" s="525" t="s">
        <v>551</v>
      </c>
      <c r="G789" s="526">
        <v>41257</v>
      </c>
      <c r="H789" s="499" t="s">
        <v>59</v>
      </c>
      <c r="I789" s="509">
        <v>41</v>
      </c>
      <c r="J789" s="507">
        <v>1</v>
      </c>
      <c r="K789" s="507">
        <v>18</v>
      </c>
      <c r="L789" s="528">
        <v>861</v>
      </c>
      <c r="M789" s="532">
        <v>111</v>
      </c>
      <c r="N789" s="537">
        <f>250808.9+189426.4+77003.63+30189.9+13049+3517+346+351+1782+5545+2467+3271+1095.5+1945+2349+6330+1996+861</f>
        <v>592333.33</v>
      </c>
      <c r="O789" s="543">
        <f>20135+14709+6763+3491+1826+491+43+37+356+813+321+455+163+275+317+916+260+111</f>
        <v>51482</v>
      </c>
      <c r="P789" s="515">
        <f t="shared" si="21"/>
        <v>11.505639446796938</v>
      </c>
      <c r="Q789" s="516">
        <v>41439</v>
      </c>
    </row>
    <row r="790" spans="1:17" ht="11.25">
      <c r="A790" s="453">
        <v>789</v>
      </c>
      <c r="B790" s="497"/>
      <c r="C790" s="501" t="s">
        <v>552</v>
      </c>
      <c r="D790" s="492" t="s">
        <v>443</v>
      </c>
      <c r="E790" s="490" t="s">
        <v>81</v>
      </c>
      <c r="F790" s="494" t="s">
        <v>551</v>
      </c>
      <c r="G790" s="493">
        <v>41257</v>
      </c>
      <c r="H790" s="491" t="s">
        <v>59</v>
      </c>
      <c r="I790" s="506">
        <v>41</v>
      </c>
      <c r="J790" s="517">
        <v>1</v>
      </c>
      <c r="K790" s="517">
        <v>23</v>
      </c>
      <c r="L790" s="503">
        <v>770</v>
      </c>
      <c r="M790" s="504">
        <v>77</v>
      </c>
      <c r="N790" s="538">
        <f>250808.9+189426.4+77003.63+30189.9+13049+3517+346+351+1782+5545+2467+3271+1095.5+1945+2349+6330+1996+861+995.86+168+264+928+770</f>
        <v>595459.19</v>
      </c>
      <c r="O790" s="544">
        <f>20135+14709+6763+3491+1826+491+43+37+356+813+321+455+163+275+317+916+260+111+140+21+37+117+77</f>
        <v>51874</v>
      </c>
      <c r="P790" s="512">
        <f t="shared" si="21"/>
        <v>11.478952654509001</v>
      </c>
      <c r="Q790" s="513">
        <v>41509</v>
      </c>
    </row>
    <row r="791" spans="1:17" ht="11.25">
      <c r="A791" s="453">
        <v>790</v>
      </c>
      <c r="B791" s="497"/>
      <c r="C791" s="518" t="s">
        <v>552</v>
      </c>
      <c r="D791" s="492" t="s">
        <v>443</v>
      </c>
      <c r="E791" s="490" t="s">
        <v>81</v>
      </c>
      <c r="F791" s="494" t="s">
        <v>551</v>
      </c>
      <c r="G791" s="526">
        <v>41257</v>
      </c>
      <c r="H791" s="499" t="s">
        <v>59</v>
      </c>
      <c r="I791" s="509">
        <v>41</v>
      </c>
      <c r="J791" s="506">
        <v>1</v>
      </c>
      <c r="K791" s="506">
        <v>8</v>
      </c>
      <c r="L791" s="510">
        <v>351</v>
      </c>
      <c r="M791" s="511">
        <v>37</v>
      </c>
      <c r="N791" s="535">
        <f>250808.9+189426.4+77003.63+30189.9+13049+3517+346+351</f>
        <v>564691.83</v>
      </c>
      <c r="O791" s="542">
        <f>20135+14709+6763+3491+1826+491+43+37</f>
        <v>47495</v>
      </c>
      <c r="P791" s="512">
        <f t="shared" si="21"/>
        <v>11.889500579008315</v>
      </c>
      <c r="Q791" s="513">
        <v>41320</v>
      </c>
    </row>
    <row r="792" spans="1:17" ht="11.25">
      <c r="A792" s="453">
        <v>791</v>
      </c>
      <c r="B792" s="497"/>
      <c r="C792" s="523" t="s">
        <v>552</v>
      </c>
      <c r="D792" s="524" t="s">
        <v>443</v>
      </c>
      <c r="E792" s="490" t="s">
        <v>81</v>
      </c>
      <c r="F792" s="494" t="s">
        <v>551</v>
      </c>
      <c r="G792" s="493">
        <v>41257</v>
      </c>
      <c r="H792" s="499" t="s">
        <v>59</v>
      </c>
      <c r="I792" s="509">
        <v>41</v>
      </c>
      <c r="J792" s="509">
        <v>1</v>
      </c>
      <c r="K792" s="509">
        <v>7</v>
      </c>
      <c r="L792" s="529">
        <v>346</v>
      </c>
      <c r="M792" s="514">
        <v>43</v>
      </c>
      <c r="N792" s="541">
        <f>250808.9+189426.4+77003.63+30189.9+13049+3517+346</f>
        <v>564340.83</v>
      </c>
      <c r="O792" s="547">
        <f>20135+14709+6763+3491+1826+491+43</f>
        <v>47458</v>
      </c>
      <c r="P792" s="512">
        <f t="shared" si="21"/>
        <v>11.891374057060979</v>
      </c>
      <c r="Q792" s="513">
        <v>41299</v>
      </c>
    </row>
    <row r="793" spans="1:17" ht="11.25">
      <c r="A793" s="453">
        <v>792</v>
      </c>
      <c r="B793" s="497"/>
      <c r="C793" s="518" t="s">
        <v>552</v>
      </c>
      <c r="D793" s="506" t="s">
        <v>443</v>
      </c>
      <c r="E793" s="500" t="s">
        <v>81</v>
      </c>
      <c r="F793" s="525" t="s">
        <v>551</v>
      </c>
      <c r="G793" s="526">
        <v>41257</v>
      </c>
      <c r="H793" s="499" t="s">
        <v>59</v>
      </c>
      <c r="I793" s="509">
        <v>41</v>
      </c>
      <c r="J793" s="517">
        <v>1</v>
      </c>
      <c r="K793" s="517">
        <v>21</v>
      </c>
      <c r="L793" s="503">
        <v>264</v>
      </c>
      <c r="M793" s="504">
        <v>37</v>
      </c>
      <c r="N793" s="538">
        <f>250808.9+189426.4+77003.63+30189.9+13049+3517+346+351+1782+5545+2467+3271+1095.5+1945+2349+6330+1996+861+995.86+168+264</f>
        <v>593761.19</v>
      </c>
      <c r="O793" s="544">
        <f>20135+14709+6763+3491+1826+491+43+37+356+813+321+455+163+275+317+916+260+111+140+21+37</f>
        <v>51680</v>
      </c>
      <c r="P793" s="512">
        <f t="shared" si="21"/>
        <v>11.489187113003094</v>
      </c>
      <c r="Q793" s="513">
        <v>41460</v>
      </c>
    </row>
    <row r="794" spans="1:17" ht="11.25">
      <c r="A794" s="453">
        <v>793</v>
      </c>
      <c r="B794" s="497"/>
      <c r="C794" s="518" t="s">
        <v>552</v>
      </c>
      <c r="D794" s="506" t="s">
        <v>443</v>
      </c>
      <c r="E794" s="500" t="s">
        <v>81</v>
      </c>
      <c r="F794" s="525" t="s">
        <v>551</v>
      </c>
      <c r="G794" s="526">
        <v>41257</v>
      </c>
      <c r="H794" s="499" t="s">
        <v>59</v>
      </c>
      <c r="I794" s="509">
        <v>41</v>
      </c>
      <c r="J794" s="517">
        <v>1</v>
      </c>
      <c r="K794" s="517">
        <v>20</v>
      </c>
      <c r="L794" s="503">
        <v>168</v>
      </c>
      <c r="M794" s="504">
        <v>21</v>
      </c>
      <c r="N794" s="538">
        <f>250808.9+189426.4+77003.63+30189.9+13049+3517+346+351+1782+5545+2467+3271+1095.5+1945+2349+6330+1996+861+995.86+168</f>
        <v>593497.19</v>
      </c>
      <c r="O794" s="544">
        <f>20135+14709+6763+3491+1826+491+43+37+356+813+321+455+163+275+317+916+260+111+140+21</f>
        <v>51643</v>
      </c>
      <c r="P794" s="512">
        <f t="shared" si="21"/>
        <v>11.492306604960982</v>
      </c>
      <c r="Q794" s="513">
        <v>41453</v>
      </c>
    </row>
    <row r="795" spans="1:17" ht="11.25">
      <c r="A795" s="453">
        <v>794</v>
      </c>
      <c r="B795" s="497"/>
      <c r="C795" s="521" t="s">
        <v>991</v>
      </c>
      <c r="D795" s="492" t="s">
        <v>332</v>
      </c>
      <c r="E795" s="496" t="s">
        <v>109</v>
      </c>
      <c r="F795" s="491" t="s">
        <v>992</v>
      </c>
      <c r="G795" s="495">
        <v>40942</v>
      </c>
      <c r="H795" s="491" t="s">
        <v>139</v>
      </c>
      <c r="I795" s="506">
        <v>5</v>
      </c>
      <c r="J795" s="517">
        <v>1</v>
      </c>
      <c r="K795" s="517">
        <v>20</v>
      </c>
      <c r="L795" s="531">
        <v>1678</v>
      </c>
      <c r="M795" s="534">
        <v>158</v>
      </c>
      <c r="N795" s="550">
        <v>61015.5</v>
      </c>
      <c r="O795" s="552">
        <v>6388</v>
      </c>
      <c r="P795" s="512">
        <f t="shared" si="21"/>
        <v>9.551581089542893</v>
      </c>
      <c r="Q795" s="513">
        <v>41495</v>
      </c>
    </row>
    <row r="796" spans="1:17" ht="11.25">
      <c r="A796" s="453">
        <v>795</v>
      </c>
      <c r="B796" s="497"/>
      <c r="C796" s="520" t="s">
        <v>297</v>
      </c>
      <c r="D796" s="490" t="s">
        <v>78</v>
      </c>
      <c r="E796" s="492" t="s">
        <v>78</v>
      </c>
      <c r="F796" s="496" t="s">
        <v>298</v>
      </c>
      <c r="G796" s="495">
        <v>41075</v>
      </c>
      <c r="H796" s="499" t="s">
        <v>59</v>
      </c>
      <c r="I796" s="527">
        <v>95</v>
      </c>
      <c r="J796" s="509">
        <v>1</v>
      </c>
      <c r="K796" s="509">
        <v>15</v>
      </c>
      <c r="L796" s="529">
        <v>91</v>
      </c>
      <c r="M796" s="514">
        <v>35</v>
      </c>
      <c r="N796" s="539">
        <f>92226.61+68333.15+9930.09+7871.5+4477+2058+574.5+378+238+208+142+1188+1782+2376+91</f>
        <v>191873.85</v>
      </c>
      <c r="O796" s="545">
        <f>9265+7138+1118+1103+600+326+74+53+40+34+23+238+356+475+35</f>
        <v>20878</v>
      </c>
      <c r="P796" s="512">
        <f t="shared" si="21"/>
        <v>9.190240923460102</v>
      </c>
      <c r="Q796" s="513">
        <v>41292</v>
      </c>
    </row>
    <row r="797" spans="1:17" ht="11.25">
      <c r="A797" s="453">
        <v>796</v>
      </c>
      <c r="B797" s="497" t="s">
        <v>48</v>
      </c>
      <c r="C797" s="505" t="s">
        <v>228</v>
      </c>
      <c r="D797" s="506" t="s">
        <v>337</v>
      </c>
      <c r="E797" s="507"/>
      <c r="F797" s="507" t="s">
        <v>228</v>
      </c>
      <c r="G797" s="508">
        <v>41012</v>
      </c>
      <c r="H797" s="499" t="s">
        <v>59</v>
      </c>
      <c r="I797" s="509">
        <v>25</v>
      </c>
      <c r="J797" s="509">
        <v>1</v>
      </c>
      <c r="K797" s="509">
        <v>25</v>
      </c>
      <c r="L797" s="529">
        <v>8553.6</v>
      </c>
      <c r="M797" s="514">
        <v>1712</v>
      </c>
      <c r="N797" s="541">
        <f>985836.5+657011.5+454728.5+206461+72029+16105.51+5902+3599+438+1782+3564+1782+2376+3564+43346.95+3177.35+178.95+252+1188+8316+1188+1188+1188+2376+8553.6</f>
        <v>2486131.8600000003</v>
      </c>
      <c r="O797" s="547">
        <f>106718+73176+50608+29114+10776+3413+1375+639+190+356+712+356+475+712+5787+437+21+44+238+1666+238+238+237+475+1712</f>
        <v>289713</v>
      </c>
      <c r="P797" s="512">
        <f t="shared" si="21"/>
        <v>8.581361071129015</v>
      </c>
      <c r="Q797" s="513">
        <v>41334</v>
      </c>
    </row>
    <row r="798" spans="1:17" ht="11.25">
      <c r="A798" s="453">
        <v>797</v>
      </c>
      <c r="B798" s="497" t="s">
        <v>48</v>
      </c>
      <c r="C798" s="505" t="s">
        <v>228</v>
      </c>
      <c r="D798" s="506" t="s">
        <v>337</v>
      </c>
      <c r="E798" s="507"/>
      <c r="F798" s="507" t="s">
        <v>228</v>
      </c>
      <c r="G798" s="508">
        <v>41012</v>
      </c>
      <c r="H798" s="499" t="s">
        <v>59</v>
      </c>
      <c r="I798" s="509">
        <v>25</v>
      </c>
      <c r="J798" s="509">
        <v>1</v>
      </c>
      <c r="K798" s="509">
        <v>27</v>
      </c>
      <c r="L798" s="510">
        <v>950.5</v>
      </c>
      <c r="M798" s="511">
        <v>190</v>
      </c>
      <c r="N798" s="535">
        <f>181931+118209+64048.02+38445.4+25300.68+16497.9+17062+12175+8924+4076.5+5927.59+1610+6661.3+2197+484+349+957+362+1425.6+2376+1782+2376+240+948+1188+1425.5+950.5</f>
        <v>517928.99000000005</v>
      </c>
      <c r="O798" s="542">
        <f>16563+10701+6525+4441+2948+2048+2217+1591+1281+635+890+176+734+282+47+36+101+40+285+475+356+475+102+350+238+285+190</f>
        <v>54012</v>
      </c>
      <c r="P798" s="512">
        <f t="shared" si="21"/>
        <v>9.589146671110125</v>
      </c>
      <c r="Q798" s="513">
        <v>41341</v>
      </c>
    </row>
    <row r="799" spans="1:17" ht="11.25">
      <c r="A799" s="453">
        <v>798</v>
      </c>
      <c r="B799" s="497" t="s">
        <v>48</v>
      </c>
      <c r="C799" s="505" t="s">
        <v>228</v>
      </c>
      <c r="D799" s="506" t="s">
        <v>337</v>
      </c>
      <c r="E799" s="507"/>
      <c r="F799" s="507" t="s">
        <v>228</v>
      </c>
      <c r="G799" s="508">
        <v>41012</v>
      </c>
      <c r="H799" s="499" t="s">
        <v>59</v>
      </c>
      <c r="I799" s="506">
        <v>25</v>
      </c>
      <c r="J799" s="507">
        <v>1</v>
      </c>
      <c r="K799" s="507">
        <v>28</v>
      </c>
      <c r="L799" s="510">
        <v>950.4</v>
      </c>
      <c r="M799" s="514">
        <v>190</v>
      </c>
      <c r="N799" s="535">
        <f>181931+118209+64048.02+38445.4+25300.68+16497.9+17062+12175+8924+4076.5+5927.59+1610+6661.3+2197+484+349+957+362+1425.6+2376+1782+2376+240+948+1188+1425.5+950.5+950.4</f>
        <v>518879.3900000001</v>
      </c>
      <c r="O799" s="547">
        <f>16563+10701+6525+4441+2948+2048+2217+1591+1281+635+890+176+734+282+47+36+101+40+285+475+356+475+102+350+238+285+190+190</f>
        <v>54202</v>
      </c>
      <c r="P799" s="515">
        <f t="shared" si="21"/>
        <v>9.573067229991514</v>
      </c>
      <c r="Q799" s="516">
        <v>41397</v>
      </c>
    </row>
    <row r="800" spans="1:17" ht="11.25">
      <c r="A800" s="453">
        <v>799</v>
      </c>
      <c r="B800" s="497" t="s">
        <v>48</v>
      </c>
      <c r="C800" s="505" t="s">
        <v>228</v>
      </c>
      <c r="D800" s="506" t="s">
        <v>337</v>
      </c>
      <c r="E800" s="507"/>
      <c r="F800" s="507" t="s">
        <v>228</v>
      </c>
      <c r="G800" s="508">
        <v>41012</v>
      </c>
      <c r="H800" s="499" t="s">
        <v>59</v>
      </c>
      <c r="I800" s="509">
        <v>25</v>
      </c>
      <c r="J800" s="517">
        <v>1</v>
      </c>
      <c r="K800" s="517">
        <v>29</v>
      </c>
      <c r="L800" s="503">
        <v>712.8</v>
      </c>
      <c r="M800" s="504">
        <v>142</v>
      </c>
      <c r="N800" s="538">
        <f>181931+118209+64048.02+38445.4+25300.68+16497.9+17062+12175+8924+4076.5+5927.59+1610+6661.3+2197+484+349+957+362+1425.6+2376+1782+2376+240+948+1188+1425.5+950.5+950.4+712.8</f>
        <v>519592.19000000006</v>
      </c>
      <c r="O800" s="544">
        <f>16563+10701+6525+4441+2948+2048+2217+1591+1281+635+890+176+734+282+47+36+101+40+285+475+356+475+102+350+238+285+190+190+142</f>
        <v>54344</v>
      </c>
      <c r="P800" s="512">
        <f t="shared" si="21"/>
        <v>9.561169402325925</v>
      </c>
      <c r="Q800" s="513">
        <v>41432</v>
      </c>
    </row>
    <row r="801" spans="1:17" ht="11.25">
      <c r="A801" s="453">
        <v>800</v>
      </c>
      <c r="B801" s="497" t="s">
        <v>48</v>
      </c>
      <c r="C801" s="518" t="s">
        <v>197</v>
      </c>
      <c r="D801" s="506"/>
      <c r="E801" s="507"/>
      <c r="F801" s="519" t="s">
        <v>197</v>
      </c>
      <c r="G801" s="508">
        <v>40662</v>
      </c>
      <c r="H801" s="499" t="s">
        <v>59</v>
      </c>
      <c r="I801" s="506">
        <v>10</v>
      </c>
      <c r="J801" s="507">
        <v>1</v>
      </c>
      <c r="K801" s="507">
        <v>25</v>
      </c>
      <c r="L801" s="510">
        <v>950.4</v>
      </c>
      <c r="M801" s="514">
        <v>190</v>
      </c>
      <c r="N801" s="535">
        <f>12563.75+2983.5+2680+354+641+412+470+299+1405.5+1335+741+1188+1188+2138.5+2851+594+430+950.5+950.5+1782+1188+1188+1188+1188+950.4</f>
        <v>41659.65</v>
      </c>
      <c r="O801" s="547">
        <f>1693+350+279+68+81+51+66+35+228+169+92+297+297+535+715+149+188+190+190+398+238+238+238+238+190</f>
        <v>7213</v>
      </c>
      <c r="P801" s="515">
        <f t="shared" si="21"/>
        <v>5.775634271454319</v>
      </c>
      <c r="Q801" s="516">
        <v>41397</v>
      </c>
    </row>
  </sheetData>
  <sheetProtection/>
  <mergeCells count="1">
    <mergeCell ref="B1:Q1"/>
  </mergeCells>
  <printOptions/>
  <pageMargins left="0.7" right="0.7" top="0.75" bottom="0.75" header="0.3" footer="0.3"/>
  <pageSetup horizontalDpi="600" verticalDpi="600" orientation="portrait" paperSize="9" r:id="rId1"/>
  <ignoredErrors>
    <ignoredError sqref="N9:P52 N267:Q422" unlockedFormula="1"/>
  </ignoredErrors>
</worksheet>
</file>

<file path=xl/worksheets/sheet5.xml><?xml version="1.0" encoding="utf-8"?>
<worksheet xmlns="http://schemas.openxmlformats.org/spreadsheetml/2006/main" xmlns:r="http://schemas.openxmlformats.org/officeDocument/2006/relationships">
  <sheetPr>
    <tabColor rgb="FFFFFF00"/>
  </sheetPr>
  <dimension ref="A1:N218"/>
  <sheetViews>
    <sheetView zoomScalePageLayoutView="0" workbookViewId="0" topLeftCell="A1">
      <selection activeCell="A1" sqref="A1"/>
    </sheetView>
  </sheetViews>
  <sheetFormatPr defaultColWidth="8.8515625" defaultRowHeight="12.75"/>
  <cols>
    <col min="1" max="1" width="3.140625" style="447" bestFit="1" customWidth="1"/>
    <col min="2" max="2" width="1.7109375" style="428" bestFit="1" customWidth="1"/>
    <col min="3" max="3" width="51.57421875" style="770" bestFit="1" customWidth="1"/>
    <col min="4" max="4" width="15.8515625" style="428" bestFit="1" customWidth="1"/>
    <col min="5" max="5" width="19.28125" style="451" bestFit="1" customWidth="1"/>
    <col min="6" max="6" width="42.140625" style="428" bestFit="1" customWidth="1"/>
    <col min="7" max="7" width="7.00390625" style="428" bestFit="1" customWidth="1"/>
    <col min="8" max="8" width="16.57421875" style="428" bestFit="1" customWidth="1"/>
    <col min="9" max="9" width="3.57421875" style="428" bestFit="1" customWidth="1"/>
    <col min="10" max="10" width="2.7109375" style="428" bestFit="1" customWidth="1"/>
    <col min="11" max="11" width="10.8515625" style="373" bestFit="1" customWidth="1"/>
    <col min="12" max="12" width="7.8515625" style="373" bestFit="1" customWidth="1"/>
    <col min="13" max="13" width="4.8515625" style="428" bestFit="1" customWidth="1"/>
    <col min="14" max="14" width="8.7109375" style="428" bestFit="1" customWidth="1"/>
    <col min="15" max="16384" width="8.8515625" style="428" customWidth="1"/>
  </cols>
  <sheetData>
    <row r="1" spans="2:14" ht="10.5" thickBot="1">
      <c r="B1" s="851" t="s">
        <v>1218</v>
      </c>
      <c r="C1" s="851"/>
      <c r="D1" s="851"/>
      <c r="E1" s="851"/>
      <c r="F1" s="851"/>
      <c r="G1" s="851"/>
      <c r="H1" s="851"/>
      <c r="I1" s="851"/>
      <c r="J1" s="851"/>
      <c r="K1" s="852"/>
      <c r="L1" s="852"/>
      <c r="M1" s="852"/>
      <c r="N1" s="852"/>
    </row>
    <row r="2" spans="1:14" ht="12.75">
      <c r="A2" s="448">
        <v>1</v>
      </c>
      <c r="B2" s="695" t="s">
        <v>48</v>
      </c>
      <c r="C2" s="759" t="s">
        <v>606</v>
      </c>
      <c r="D2" s="696" t="s">
        <v>608</v>
      </c>
      <c r="E2" s="697"/>
      <c r="F2" s="698" t="s">
        <v>607</v>
      </c>
      <c r="G2" s="699">
        <v>41277</v>
      </c>
      <c r="H2" s="700" t="s">
        <v>59</v>
      </c>
      <c r="I2" s="696">
        <v>294</v>
      </c>
      <c r="J2" s="696">
        <v>26</v>
      </c>
      <c r="K2" s="701">
        <f>843674.18+9313470.79+9317941.53+6623278.96+5270966.93+3121502.64+1729219.91+665992.09+284515.94+68861.5+14990.99+5660.5+2579.5+579.5+2386+376+462+728+258+1325.4+215+1388+3000+4220+7490+7429.4+4276.8</f>
        <v>37296789.559999995</v>
      </c>
      <c r="L2" s="702">
        <f>98231+966163+959955+686774+525182+316057+176746+67241+29201+8936+1729+449+176+36+394+73+43+135+42+242+29+183+600+723+555+1462+855</f>
        <v>3842212</v>
      </c>
      <c r="M2" s="703">
        <f aca="true" t="shared" si="0" ref="M2:M33">K2/L2</f>
        <v>9.707113912506648</v>
      </c>
      <c r="N2" s="704">
        <v>41495</v>
      </c>
    </row>
    <row r="3" spans="1:14" ht="12.75">
      <c r="A3" s="450">
        <v>2</v>
      </c>
      <c r="B3" s="705" t="s">
        <v>48</v>
      </c>
      <c r="C3" s="760" t="s">
        <v>624</v>
      </c>
      <c r="D3" s="706" t="s">
        <v>625</v>
      </c>
      <c r="E3" s="707"/>
      <c r="F3" s="708" t="s">
        <v>624</v>
      </c>
      <c r="G3" s="709">
        <v>41292</v>
      </c>
      <c r="H3" s="710" t="s">
        <v>59</v>
      </c>
      <c r="I3" s="706">
        <v>380</v>
      </c>
      <c r="J3" s="706">
        <v>22</v>
      </c>
      <c r="K3" s="472">
        <f>10735318.31+7634390.99+4045075.76+2305000.83+1151597.13+508200.94+148187.91+30225.32+14352.32+4443+1129+544+1904+225+1092+519+279+3551.2+1415+3272.6+10+10180.53</f>
        <v>26600913.840000004</v>
      </c>
      <c r="L3" s="473">
        <f>1143043+803226+432532+252365+130641+60316+20624+3886+1764+624+170+109+402+45+191+90+39+649+220+654+2+2036</f>
        <v>2853628</v>
      </c>
      <c r="M3" s="711">
        <f t="shared" si="0"/>
        <v>9.321787506991102</v>
      </c>
      <c r="N3" s="712">
        <v>41495</v>
      </c>
    </row>
    <row r="4" spans="1:14" ht="12.75">
      <c r="A4" s="450">
        <v>3</v>
      </c>
      <c r="B4" s="705" t="s">
        <v>48</v>
      </c>
      <c r="C4" s="760" t="s">
        <v>675</v>
      </c>
      <c r="D4" s="706" t="s">
        <v>646</v>
      </c>
      <c r="E4" s="707"/>
      <c r="F4" s="713" t="s">
        <v>675</v>
      </c>
      <c r="G4" s="709">
        <v>41327</v>
      </c>
      <c r="H4" s="710" t="s">
        <v>12</v>
      </c>
      <c r="I4" s="706">
        <v>345</v>
      </c>
      <c r="J4" s="706">
        <v>24</v>
      </c>
      <c r="K4" s="466">
        <v>19535450</v>
      </c>
      <c r="L4" s="467">
        <v>2045797</v>
      </c>
      <c r="M4" s="711">
        <f t="shared" si="0"/>
        <v>9.549065718641684</v>
      </c>
      <c r="N4" s="712">
        <v>41488</v>
      </c>
    </row>
    <row r="5" spans="1:14" ht="12.75">
      <c r="A5" s="450">
        <v>4</v>
      </c>
      <c r="B5" s="705" t="s">
        <v>48</v>
      </c>
      <c r="C5" s="761" t="s">
        <v>741</v>
      </c>
      <c r="D5" s="714" t="s">
        <v>742</v>
      </c>
      <c r="E5" s="715"/>
      <c r="F5" s="716" t="s">
        <v>741</v>
      </c>
      <c r="G5" s="717">
        <v>41362</v>
      </c>
      <c r="H5" s="718" t="s">
        <v>10</v>
      </c>
      <c r="I5" s="719">
        <v>268</v>
      </c>
      <c r="J5" s="720">
        <v>22</v>
      </c>
      <c r="K5" s="470">
        <v>14892855</v>
      </c>
      <c r="L5" s="471">
        <v>2141417</v>
      </c>
      <c r="M5" s="721">
        <f t="shared" si="0"/>
        <v>6.95467300390349</v>
      </c>
      <c r="N5" s="722">
        <v>41516</v>
      </c>
    </row>
    <row r="6" spans="1:14" ht="12.75">
      <c r="A6" s="450">
        <v>5</v>
      </c>
      <c r="B6" s="723" t="s">
        <v>48</v>
      </c>
      <c r="C6" s="762" t="s">
        <v>665</v>
      </c>
      <c r="D6" s="724" t="s">
        <v>666</v>
      </c>
      <c r="E6" s="706"/>
      <c r="F6" s="724" t="s">
        <v>665</v>
      </c>
      <c r="G6" s="725">
        <v>41347</v>
      </c>
      <c r="H6" s="710" t="s">
        <v>8</v>
      </c>
      <c r="I6" s="726">
        <v>284</v>
      </c>
      <c r="J6" s="724">
        <v>18</v>
      </c>
      <c r="K6" s="472">
        <v>14623156</v>
      </c>
      <c r="L6" s="473">
        <v>1507603</v>
      </c>
      <c r="M6" s="711">
        <f t="shared" si="0"/>
        <v>9.699606594043658</v>
      </c>
      <c r="N6" s="712">
        <v>41446</v>
      </c>
    </row>
    <row r="7" spans="1:14" ht="12.75">
      <c r="A7" s="450">
        <v>6</v>
      </c>
      <c r="B7" s="705" t="s">
        <v>48</v>
      </c>
      <c r="C7" s="761" t="s">
        <v>644</v>
      </c>
      <c r="D7" s="714" t="s">
        <v>646</v>
      </c>
      <c r="E7" s="715"/>
      <c r="F7" s="716" t="s">
        <v>644</v>
      </c>
      <c r="G7" s="717">
        <v>41306</v>
      </c>
      <c r="H7" s="718" t="s">
        <v>12</v>
      </c>
      <c r="I7" s="719">
        <v>248</v>
      </c>
      <c r="J7" s="719">
        <v>31</v>
      </c>
      <c r="K7" s="540">
        <v>12972053</v>
      </c>
      <c r="L7" s="546">
        <v>1397115</v>
      </c>
      <c r="M7" s="721">
        <f t="shared" si="0"/>
        <v>9.284885639335345</v>
      </c>
      <c r="N7" s="722">
        <v>41516</v>
      </c>
    </row>
    <row r="8" spans="1:14" ht="12.75">
      <c r="A8" s="450">
        <v>7</v>
      </c>
      <c r="B8" s="705"/>
      <c r="C8" s="761" t="s">
        <v>910</v>
      </c>
      <c r="D8" s="716" t="s">
        <v>912</v>
      </c>
      <c r="E8" s="715" t="s">
        <v>72</v>
      </c>
      <c r="F8" s="716" t="s">
        <v>911</v>
      </c>
      <c r="G8" s="727">
        <v>41418</v>
      </c>
      <c r="H8" s="718" t="s">
        <v>12</v>
      </c>
      <c r="I8" s="719">
        <v>212</v>
      </c>
      <c r="J8" s="719">
        <v>15</v>
      </c>
      <c r="K8" s="540">
        <v>11225845</v>
      </c>
      <c r="L8" s="546">
        <v>1180105</v>
      </c>
      <c r="M8" s="721">
        <f t="shared" si="0"/>
        <v>9.512581507577716</v>
      </c>
      <c r="N8" s="722">
        <v>41516</v>
      </c>
    </row>
    <row r="9" spans="1:14" ht="12.75">
      <c r="A9" s="450">
        <v>8</v>
      </c>
      <c r="B9" s="705"/>
      <c r="C9" s="761" t="s">
        <v>1136</v>
      </c>
      <c r="D9" s="714" t="s">
        <v>975</v>
      </c>
      <c r="E9" s="715" t="s">
        <v>73</v>
      </c>
      <c r="F9" s="716" t="s">
        <v>1137</v>
      </c>
      <c r="G9" s="717">
        <v>41487</v>
      </c>
      <c r="H9" s="718" t="s">
        <v>10</v>
      </c>
      <c r="I9" s="719">
        <v>216</v>
      </c>
      <c r="J9" s="720">
        <v>5</v>
      </c>
      <c r="K9" s="470">
        <v>10104880</v>
      </c>
      <c r="L9" s="471">
        <v>963131</v>
      </c>
      <c r="M9" s="721">
        <f t="shared" si="0"/>
        <v>10.4916984293933</v>
      </c>
      <c r="N9" s="722">
        <v>41516</v>
      </c>
    </row>
    <row r="10" spans="1:14" ht="12.75">
      <c r="A10" s="450">
        <v>9</v>
      </c>
      <c r="B10" s="705"/>
      <c r="C10" s="761" t="s">
        <v>1033</v>
      </c>
      <c r="D10" s="716" t="s">
        <v>70</v>
      </c>
      <c r="E10" s="715" t="s">
        <v>72</v>
      </c>
      <c r="F10" s="716" t="s">
        <v>1031</v>
      </c>
      <c r="G10" s="727">
        <v>41446</v>
      </c>
      <c r="H10" s="718" t="s">
        <v>12</v>
      </c>
      <c r="I10" s="719">
        <v>113</v>
      </c>
      <c r="J10" s="719">
        <v>11</v>
      </c>
      <c r="K10" s="540">
        <v>8342983</v>
      </c>
      <c r="L10" s="546">
        <v>752813</v>
      </c>
      <c r="M10" s="721">
        <f t="shared" si="0"/>
        <v>11.082410904168764</v>
      </c>
      <c r="N10" s="722">
        <v>41516</v>
      </c>
    </row>
    <row r="11" spans="1:14" ht="12.75">
      <c r="A11" s="450">
        <v>10</v>
      </c>
      <c r="B11" s="705"/>
      <c r="C11" s="760" t="s">
        <v>835</v>
      </c>
      <c r="D11" s="713" t="s">
        <v>71</v>
      </c>
      <c r="E11" s="707" t="s">
        <v>72</v>
      </c>
      <c r="F11" s="713" t="s">
        <v>835</v>
      </c>
      <c r="G11" s="725">
        <v>41397</v>
      </c>
      <c r="H11" s="710" t="s">
        <v>12</v>
      </c>
      <c r="I11" s="706">
        <v>190</v>
      </c>
      <c r="J11" s="706">
        <v>17</v>
      </c>
      <c r="K11" s="466">
        <v>8206124</v>
      </c>
      <c r="L11" s="467">
        <v>716391</v>
      </c>
      <c r="M11" s="711">
        <f t="shared" si="0"/>
        <v>11.454811688030698</v>
      </c>
      <c r="N11" s="712">
        <v>41509</v>
      </c>
    </row>
    <row r="12" spans="1:14" ht="12.75">
      <c r="A12" s="450">
        <v>11</v>
      </c>
      <c r="B12" s="705" t="s">
        <v>48</v>
      </c>
      <c r="C12" s="761" t="s">
        <v>722</v>
      </c>
      <c r="D12" s="714" t="s">
        <v>723</v>
      </c>
      <c r="E12" s="715"/>
      <c r="F12" s="716" t="s">
        <v>722</v>
      </c>
      <c r="G12" s="717">
        <v>41348</v>
      </c>
      <c r="H12" s="718" t="s">
        <v>10</v>
      </c>
      <c r="I12" s="719">
        <v>258</v>
      </c>
      <c r="J12" s="720">
        <v>20</v>
      </c>
      <c r="K12" s="470">
        <v>5362154</v>
      </c>
      <c r="L12" s="471">
        <v>668535</v>
      </c>
      <c r="M12" s="721">
        <f t="shared" si="0"/>
        <v>8.020752840165436</v>
      </c>
      <c r="N12" s="722">
        <v>41516</v>
      </c>
    </row>
    <row r="13" spans="1:14" ht="12.75">
      <c r="A13" s="450">
        <v>12</v>
      </c>
      <c r="B13" s="705"/>
      <c r="C13" s="761" t="s">
        <v>1129</v>
      </c>
      <c r="D13" s="714" t="s">
        <v>80</v>
      </c>
      <c r="E13" s="715" t="s">
        <v>69</v>
      </c>
      <c r="F13" s="728" t="s">
        <v>1130</v>
      </c>
      <c r="G13" s="717">
        <v>41451</v>
      </c>
      <c r="H13" s="718" t="s">
        <v>59</v>
      </c>
      <c r="I13" s="719">
        <v>150</v>
      </c>
      <c r="J13" s="719">
        <v>6</v>
      </c>
      <c r="K13" s="470">
        <f>8309.5+2056514.25+1217497.2+1057216.56+459620.14+130854.96+66107.93</f>
        <v>4996120.539999999</v>
      </c>
      <c r="L13" s="471">
        <f>579+175704+102950+95381+40463+17801+7071</f>
        <v>439949</v>
      </c>
      <c r="M13" s="721">
        <f t="shared" si="0"/>
        <v>11.356135688454795</v>
      </c>
      <c r="N13" s="722">
        <v>41516</v>
      </c>
    </row>
    <row r="14" spans="1:14" ht="12.75">
      <c r="A14" s="450">
        <v>13</v>
      </c>
      <c r="B14" s="705"/>
      <c r="C14" s="760" t="s">
        <v>620</v>
      </c>
      <c r="D14" s="706" t="s">
        <v>330</v>
      </c>
      <c r="E14" s="707" t="s">
        <v>72</v>
      </c>
      <c r="F14" s="713" t="s">
        <v>621</v>
      </c>
      <c r="G14" s="709">
        <v>41285</v>
      </c>
      <c r="H14" s="710" t="s">
        <v>12</v>
      </c>
      <c r="I14" s="706">
        <v>92</v>
      </c>
      <c r="J14" s="706">
        <v>29</v>
      </c>
      <c r="K14" s="466">
        <v>4835447</v>
      </c>
      <c r="L14" s="467">
        <v>432260</v>
      </c>
      <c r="M14" s="711">
        <f t="shared" si="0"/>
        <v>11.186431777171148</v>
      </c>
      <c r="N14" s="712">
        <v>41481</v>
      </c>
    </row>
    <row r="15" spans="1:14" ht="12.75">
      <c r="A15" s="450">
        <v>14</v>
      </c>
      <c r="B15" s="705"/>
      <c r="C15" s="760" t="s">
        <v>929</v>
      </c>
      <c r="D15" s="706" t="s">
        <v>931</v>
      </c>
      <c r="E15" s="707" t="s">
        <v>73</v>
      </c>
      <c r="F15" s="713" t="s">
        <v>930</v>
      </c>
      <c r="G15" s="709">
        <v>41425</v>
      </c>
      <c r="H15" s="710" t="s">
        <v>10</v>
      </c>
      <c r="I15" s="706">
        <v>138</v>
      </c>
      <c r="J15" s="729">
        <v>13</v>
      </c>
      <c r="K15" s="472">
        <f>4374530+2976</f>
        <v>4377506</v>
      </c>
      <c r="L15" s="473">
        <f>420829+595</f>
        <v>421424</v>
      </c>
      <c r="M15" s="711">
        <f t="shared" si="0"/>
        <v>10.387415049925965</v>
      </c>
      <c r="N15" s="712">
        <v>41509</v>
      </c>
    </row>
    <row r="16" spans="1:14" ht="12.75">
      <c r="A16" s="450">
        <v>15</v>
      </c>
      <c r="B16" s="705"/>
      <c r="C16" s="760" t="s">
        <v>782</v>
      </c>
      <c r="D16" s="706" t="s">
        <v>66</v>
      </c>
      <c r="E16" s="707" t="s">
        <v>72</v>
      </c>
      <c r="F16" s="713" t="s">
        <v>782</v>
      </c>
      <c r="G16" s="709">
        <v>41376</v>
      </c>
      <c r="H16" s="710" t="s">
        <v>12</v>
      </c>
      <c r="I16" s="706">
        <v>120</v>
      </c>
      <c r="J16" s="706">
        <v>16</v>
      </c>
      <c r="K16" s="466">
        <v>4190915</v>
      </c>
      <c r="L16" s="467">
        <v>390380</v>
      </c>
      <c r="M16" s="711">
        <f t="shared" si="0"/>
        <v>10.73547569035299</v>
      </c>
      <c r="N16" s="712">
        <v>41481</v>
      </c>
    </row>
    <row r="17" spans="1:14" ht="12.75">
      <c r="A17" s="450">
        <v>16</v>
      </c>
      <c r="B17" s="723" t="s">
        <v>48</v>
      </c>
      <c r="C17" s="762" t="s">
        <v>629</v>
      </c>
      <c r="D17" s="724" t="s">
        <v>630</v>
      </c>
      <c r="E17" s="706"/>
      <c r="F17" s="724" t="s">
        <v>629</v>
      </c>
      <c r="G17" s="725">
        <v>41299</v>
      </c>
      <c r="H17" s="710" t="s">
        <v>8</v>
      </c>
      <c r="I17" s="726">
        <v>227</v>
      </c>
      <c r="J17" s="724">
        <v>13</v>
      </c>
      <c r="K17" s="472">
        <v>3874224</v>
      </c>
      <c r="L17" s="473">
        <v>403000</v>
      </c>
      <c r="M17" s="711">
        <f t="shared" si="0"/>
        <v>9.61345905707196</v>
      </c>
      <c r="N17" s="712">
        <v>41411</v>
      </c>
    </row>
    <row r="18" spans="1:14" ht="12.75">
      <c r="A18" s="450">
        <v>17</v>
      </c>
      <c r="B18" s="705"/>
      <c r="C18" s="761" t="s">
        <v>1010</v>
      </c>
      <c r="D18" s="714" t="s">
        <v>267</v>
      </c>
      <c r="E18" s="715" t="s">
        <v>73</v>
      </c>
      <c r="F18" s="716" t="s">
        <v>1010</v>
      </c>
      <c r="G18" s="717">
        <v>41439</v>
      </c>
      <c r="H18" s="718" t="s">
        <v>10</v>
      </c>
      <c r="I18" s="719">
        <v>221</v>
      </c>
      <c r="J18" s="720">
        <v>12</v>
      </c>
      <c r="K18" s="470">
        <v>3654649</v>
      </c>
      <c r="L18" s="471">
        <v>313357</v>
      </c>
      <c r="M18" s="721">
        <f t="shared" si="0"/>
        <v>11.662892483652831</v>
      </c>
      <c r="N18" s="722">
        <v>41516</v>
      </c>
    </row>
    <row r="19" spans="1:14" ht="12.75">
      <c r="A19" s="450">
        <v>18</v>
      </c>
      <c r="B19" s="705" t="s">
        <v>48</v>
      </c>
      <c r="C19" s="760" t="s">
        <v>767</v>
      </c>
      <c r="D19" s="706" t="s">
        <v>770</v>
      </c>
      <c r="E19" s="707"/>
      <c r="F19" s="713" t="s">
        <v>767</v>
      </c>
      <c r="G19" s="709">
        <v>41369</v>
      </c>
      <c r="H19" s="710" t="s">
        <v>12</v>
      </c>
      <c r="I19" s="706">
        <v>167</v>
      </c>
      <c r="J19" s="706">
        <v>18</v>
      </c>
      <c r="K19" s="466">
        <v>3646064</v>
      </c>
      <c r="L19" s="467">
        <v>421052</v>
      </c>
      <c r="M19" s="711">
        <f t="shared" si="0"/>
        <v>8.659414989122483</v>
      </c>
      <c r="N19" s="712">
        <v>41488</v>
      </c>
    </row>
    <row r="20" spans="1:14" ht="12.75">
      <c r="A20" s="450">
        <v>19</v>
      </c>
      <c r="B20" s="705"/>
      <c r="C20" s="761" t="s">
        <v>1034</v>
      </c>
      <c r="D20" s="716" t="s">
        <v>71</v>
      </c>
      <c r="E20" s="715" t="s">
        <v>72</v>
      </c>
      <c r="F20" s="716" t="s">
        <v>1032</v>
      </c>
      <c r="G20" s="727">
        <v>41446</v>
      </c>
      <c r="H20" s="718" t="s">
        <v>12</v>
      </c>
      <c r="I20" s="719">
        <v>170</v>
      </c>
      <c r="J20" s="719">
        <v>11</v>
      </c>
      <c r="K20" s="540">
        <v>3620014</v>
      </c>
      <c r="L20" s="546">
        <v>356552</v>
      </c>
      <c r="M20" s="721">
        <f t="shared" si="0"/>
        <v>10.15283605196437</v>
      </c>
      <c r="N20" s="722">
        <v>41516</v>
      </c>
    </row>
    <row r="21" spans="1:14" ht="12.75">
      <c r="A21" s="450">
        <v>20</v>
      </c>
      <c r="B21" s="705"/>
      <c r="C21" s="760" t="s">
        <v>645</v>
      </c>
      <c r="D21" s="706" t="s">
        <v>70</v>
      </c>
      <c r="E21" s="707" t="s">
        <v>72</v>
      </c>
      <c r="F21" s="713" t="s">
        <v>647</v>
      </c>
      <c r="G21" s="709">
        <v>41306</v>
      </c>
      <c r="H21" s="710" t="s">
        <v>12</v>
      </c>
      <c r="I21" s="706">
        <v>71</v>
      </c>
      <c r="J21" s="706">
        <v>20</v>
      </c>
      <c r="K21" s="466">
        <v>3387081</v>
      </c>
      <c r="L21" s="467">
        <v>285957</v>
      </c>
      <c r="M21" s="711">
        <f t="shared" si="0"/>
        <v>11.844721409162917</v>
      </c>
      <c r="N21" s="712">
        <v>41439</v>
      </c>
    </row>
    <row r="22" spans="1:14" ht="12.75">
      <c r="A22" s="450">
        <v>21</v>
      </c>
      <c r="B22" s="705" t="s">
        <v>48</v>
      </c>
      <c r="C22" s="761" t="s">
        <v>653</v>
      </c>
      <c r="D22" s="714" t="s">
        <v>654</v>
      </c>
      <c r="E22" s="715"/>
      <c r="F22" s="716" t="s">
        <v>653</v>
      </c>
      <c r="G22" s="717">
        <v>41313</v>
      </c>
      <c r="H22" s="718" t="s">
        <v>12</v>
      </c>
      <c r="I22" s="719">
        <v>182</v>
      </c>
      <c r="J22" s="719">
        <v>30</v>
      </c>
      <c r="K22" s="540">
        <v>3326335</v>
      </c>
      <c r="L22" s="546">
        <v>347663</v>
      </c>
      <c r="M22" s="721">
        <f t="shared" si="0"/>
        <v>9.567699179953001</v>
      </c>
      <c r="N22" s="722">
        <v>41516</v>
      </c>
    </row>
    <row r="23" spans="1:14" ht="12.75">
      <c r="A23" s="450">
        <v>22</v>
      </c>
      <c r="B23" s="705" t="s">
        <v>48</v>
      </c>
      <c r="C23" s="761" t="s">
        <v>1145</v>
      </c>
      <c r="D23" s="716" t="s">
        <v>770</v>
      </c>
      <c r="E23" s="715"/>
      <c r="F23" s="716" t="s">
        <v>1146</v>
      </c>
      <c r="G23" s="727">
        <v>41488</v>
      </c>
      <c r="H23" s="718" t="s">
        <v>12</v>
      </c>
      <c r="I23" s="719">
        <v>193</v>
      </c>
      <c r="J23" s="719">
        <v>5</v>
      </c>
      <c r="K23" s="540">
        <v>3264267</v>
      </c>
      <c r="L23" s="546">
        <v>360501</v>
      </c>
      <c r="M23" s="721">
        <f t="shared" si="0"/>
        <v>9.054807060174591</v>
      </c>
      <c r="N23" s="722">
        <v>41516</v>
      </c>
    </row>
    <row r="24" spans="1:14" ht="12.75">
      <c r="A24" s="450">
        <v>23</v>
      </c>
      <c r="B24" s="705"/>
      <c r="C24" s="760" t="s">
        <v>750</v>
      </c>
      <c r="D24" s="706" t="s">
        <v>70</v>
      </c>
      <c r="E24" s="707" t="s">
        <v>72</v>
      </c>
      <c r="F24" s="713" t="s">
        <v>751</v>
      </c>
      <c r="G24" s="709">
        <v>41362</v>
      </c>
      <c r="H24" s="710" t="s">
        <v>12</v>
      </c>
      <c r="I24" s="706">
        <v>88</v>
      </c>
      <c r="J24" s="706">
        <v>17</v>
      </c>
      <c r="K24" s="466">
        <v>3132722</v>
      </c>
      <c r="L24" s="467">
        <v>280927</v>
      </c>
      <c r="M24" s="711">
        <f t="shared" si="0"/>
        <v>11.151373844450694</v>
      </c>
      <c r="N24" s="712">
        <v>41474</v>
      </c>
    </row>
    <row r="25" spans="1:14" ht="12.75">
      <c r="A25" s="450">
        <v>24</v>
      </c>
      <c r="B25" s="705"/>
      <c r="C25" s="761" t="s">
        <v>1071</v>
      </c>
      <c r="D25" s="716" t="s">
        <v>71</v>
      </c>
      <c r="E25" s="715" t="s">
        <v>72</v>
      </c>
      <c r="F25" s="716" t="s">
        <v>1070</v>
      </c>
      <c r="G25" s="727">
        <v>41460</v>
      </c>
      <c r="H25" s="718" t="s">
        <v>12</v>
      </c>
      <c r="I25" s="719">
        <v>143</v>
      </c>
      <c r="J25" s="719">
        <v>9</v>
      </c>
      <c r="K25" s="540">
        <v>3035705</v>
      </c>
      <c r="L25" s="546">
        <v>304547</v>
      </c>
      <c r="M25" s="721">
        <f t="shared" si="0"/>
        <v>9.967935983608442</v>
      </c>
      <c r="N25" s="722">
        <v>41516</v>
      </c>
    </row>
    <row r="26" spans="1:14" ht="12.75">
      <c r="A26" s="450">
        <v>25</v>
      </c>
      <c r="B26" s="705" t="s">
        <v>48</v>
      </c>
      <c r="C26" s="760" t="s">
        <v>721</v>
      </c>
      <c r="D26" s="706" t="s">
        <v>472</v>
      </c>
      <c r="E26" s="707"/>
      <c r="F26" s="713" t="s">
        <v>721</v>
      </c>
      <c r="G26" s="709">
        <v>41348</v>
      </c>
      <c r="H26" s="710" t="s">
        <v>12</v>
      </c>
      <c r="I26" s="706">
        <v>99</v>
      </c>
      <c r="J26" s="706">
        <v>23</v>
      </c>
      <c r="K26" s="466">
        <v>2979909</v>
      </c>
      <c r="L26" s="467">
        <v>304490</v>
      </c>
      <c r="M26" s="711">
        <f t="shared" si="0"/>
        <v>9.786557850832539</v>
      </c>
      <c r="N26" s="712">
        <v>41502</v>
      </c>
    </row>
    <row r="27" spans="1:14" ht="12.75">
      <c r="A27" s="450">
        <v>26</v>
      </c>
      <c r="B27" s="705"/>
      <c r="C27" s="761" t="s">
        <v>1185</v>
      </c>
      <c r="D27" s="716" t="s">
        <v>1186</v>
      </c>
      <c r="E27" s="715" t="s">
        <v>72</v>
      </c>
      <c r="F27" s="716" t="s">
        <v>1187</v>
      </c>
      <c r="G27" s="727">
        <v>41509</v>
      </c>
      <c r="H27" s="718" t="s">
        <v>12</v>
      </c>
      <c r="I27" s="719">
        <v>193</v>
      </c>
      <c r="J27" s="719">
        <v>2</v>
      </c>
      <c r="K27" s="540">
        <v>2820635</v>
      </c>
      <c r="L27" s="546">
        <v>251666</v>
      </c>
      <c r="M27" s="721">
        <f t="shared" si="0"/>
        <v>11.20785088172419</v>
      </c>
      <c r="N27" s="722">
        <v>41516</v>
      </c>
    </row>
    <row r="28" spans="1:14" ht="12.75">
      <c r="A28" s="450">
        <v>27</v>
      </c>
      <c r="B28" s="705" t="s">
        <v>48</v>
      </c>
      <c r="C28" s="760" t="s">
        <v>734</v>
      </c>
      <c r="D28" s="706" t="s">
        <v>735</v>
      </c>
      <c r="E28" s="707"/>
      <c r="F28" s="713" t="s">
        <v>734</v>
      </c>
      <c r="G28" s="709">
        <v>41355</v>
      </c>
      <c r="H28" s="710" t="s">
        <v>12</v>
      </c>
      <c r="I28" s="706">
        <v>236</v>
      </c>
      <c r="J28" s="706">
        <v>10</v>
      </c>
      <c r="K28" s="466">
        <v>2653184</v>
      </c>
      <c r="L28" s="467">
        <v>294264</v>
      </c>
      <c r="M28" s="711">
        <f t="shared" si="0"/>
        <v>9.016339069678928</v>
      </c>
      <c r="N28" s="712">
        <v>41418</v>
      </c>
    </row>
    <row r="29" spans="1:14" ht="12.75">
      <c r="A29" s="450">
        <v>28</v>
      </c>
      <c r="B29" s="705"/>
      <c r="C29" s="761" t="s">
        <v>1161</v>
      </c>
      <c r="D29" s="714" t="s">
        <v>975</v>
      </c>
      <c r="E29" s="715" t="s">
        <v>73</v>
      </c>
      <c r="F29" s="716" t="s">
        <v>1162</v>
      </c>
      <c r="G29" s="717">
        <v>41495</v>
      </c>
      <c r="H29" s="718" t="s">
        <v>10</v>
      </c>
      <c r="I29" s="719">
        <v>97</v>
      </c>
      <c r="J29" s="720">
        <v>4</v>
      </c>
      <c r="K29" s="470">
        <v>2643248</v>
      </c>
      <c r="L29" s="471">
        <v>230599</v>
      </c>
      <c r="M29" s="721">
        <f t="shared" si="0"/>
        <v>11.462530193105781</v>
      </c>
      <c r="N29" s="722">
        <v>41516</v>
      </c>
    </row>
    <row r="30" spans="1:14" ht="12.75">
      <c r="A30" s="450">
        <v>29</v>
      </c>
      <c r="B30" s="705"/>
      <c r="C30" s="760" t="s">
        <v>774</v>
      </c>
      <c r="D30" s="706" t="s">
        <v>80</v>
      </c>
      <c r="E30" s="707" t="s">
        <v>69</v>
      </c>
      <c r="F30" s="708" t="s">
        <v>775</v>
      </c>
      <c r="G30" s="709">
        <v>41011</v>
      </c>
      <c r="H30" s="710" t="s">
        <v>59</v>
      </c>
      <c r="I30" s="706">
        <v>111</v>
      </c>
      <c r="J30" s="706">
        <v>17</v>
      </c>
      <c r="K30" s="472">
        <f>840081.6+1141531.06+415639.52+94962.79+40190+32158+18826.5+13182+8586.5+6948.5+6413+6437.5+1976.5+2561+359+120+248</f>
        <v>2630221.47</v>
      </c>
      <c r="L30" s="473">
        <f>77218+104377+39001+9882+5453+4621+2741+2129+1364+1029+1037+1123+305+287+48+17+35</f>
        <v>250667</v>
      </c>
      <c r="M30" s="711">
        <f t="shared" si="0"/>
        <v>10.492890847219618</v>
      </c>
      <c r="N30" s="712">
        <v>41488</v>
      </c>
    </row>
    <row r="31" spans="1:14" ht="12.75">
      <c r="A31" s="450">
        <v>30</v>
      </c>
      <c r="B31" s="705"/>
      <c r="C31" s="760" t="s">
        <v>667</v>
      </c>
      <c r="D31" s="706" t="s">
        <v>80</v>
      </c>
      <c r="E31" s="707" t="s">
        <v>69</v>
      </c>
      <c r="F31" s="708" t="s">
        <v>668</v>
      </c>
      <c r="G31" s="709">
        <v>41348</v>
      </c>
      <c r="H31" s="710" t="s">
        <v>59</v>
      </c>
      <c r="I31" s="706">
        <v>107</v>
      </c>
      <c r="J31" s="706">
        <v>21</v>
      </c>
      <c r="K31" s="472">
        <f>1055246.28+660658.22+377829.53+158265.58+59476.26+27085.5+5204+6652.49+3283.5+7910+7338.16+1834.5+2410+162+1896+1178+728+509+400+517+3024</f>
        <v>2381608.02</v>
      </c>
      <c r="L31" s="473">
        <f>96631+61697+35550+15563+5553+4415+739+1136+624+1306+970+266+388+32+378+153+124+85+66+81+168</f>
        <v>225925</v>
      </c>
      <c r="M31" s="711">
        <f t="shared" si="0"/>
        <v>10.54158689830696</v>
      </c>
      <c r="N31" s="712">
        <v>41495</v>
      </c>
    </row>
    <row r="32" spans="1:14" ht="12.75">
      <c r="A32" s="450">
        <v>31</v>
      </c>
      <c r="B32" s="705"/>
      <c r="C32" s="760" t="s">
        <v>670</v>
      </c>
      <c r="D32" s="706" t="s">
        <v>71</v>
      </c>
      <c r="E32" s="707" t="s">
        <v>72</v>
      </c>
      <c r="F32" s="713" t="s">
        <v>671</v>
      </c>
      <c r="G32" s="709">
        <v>41348</v>
      </c>
      <c r="H32" s="710" t="s">
        <v>12</v>
      </c>
      <c r="I32" s="706">
        <v>60</v>
      </c>
      <c r="J32" s="706">
        <v>8</v>
      </c>
      <c r="K32" s="466">
        <v>2205719</v>
      </c>
      <c r="L32" s="467">
        <v>187489</v>
      </c>
      <c r="M32" s="711">
        <f t="shared" si="0"/>
        <v>11.764524852124659</v>
      </c>
      <c r="N32" s="712">
        <v>41369</v>
      </c>
    </row>
    <row r="33" spans="1:14" ht="12.75">
      <c r="A33" s="450">
        <v>32</v>
      </c>
      <c r="B33" s="705"/>
      <c r="C33" s="760" t="s">
        <v>706</v>
      </c>
      <c r="D33" s="706" t="s">
        <v>71</v>
      </c>
      <c r="E33" s="707" t="s">
        <v>72</v>
      </c>
      <c r="F33" s="713" t="s">
        <v>707</v>
      </c>
      <c r="G33" s="709">
        <v>41341</v>
      </c>
      <c r="H33" s="710" t="s">
        <v>12</v>
      </c>
      <c r="I33" s="706">
        <v>262</v>
      </c>
      <c r="J33" s="706">
        <v>16</v>
      </c>
      <c r="K33" s="466">
        <v>2170505</v>
      </c>
      <c r="L33" s="467">
        <v>183351</v>
      </c>
      <c r="M33" s="711">
        <f t="shared" si="0"/>
        <v>11.837977431265715</v>
      </c>
      <c r="N33" s="712">
        <v>41446</v>
      </c>
    </row>
    <row r="34" spans="1:14" ht="12.75">
      <c r="A34" s="450">
        <v>33</v>
      </c>
      <c r="B34" s="705"/>
      <c r="C34" s="761" t="s">
        <v>838</v>
      </c>
      <c r="D34" s="714" t="s">
        <v>841</v>
      </c>
      <c r="E34" s="715" t="s">
        <v>840</v>
      </c>
      <c r="F34" s="728" t="s">
        <v>839</v>
      </c>
      <c r="G34" s="717">
        <v>41397</v>
      </c>
      <c r="H34" s="718" t="s">
        <v>59</v>
      </c>
      <c r="I34" s="719">
        <v>104</v>
      </c>
      <c r="J34" s="719">
        <v>18</v>
      </c>
      <c r="K34" s="470">
        <f>817365.12+553920.94+348896.33+171455.22+56615.62+34749.5+18417.5+7935.5+6211.6+1930+4961.6+2201.5+3982.5+1332+915.5+1188+4275.2+180</f>
        <v>2036533.6300000004</v>
      </c>
      <c r="L34" s="471">
        <f>74439+52865+35091+18330+6907+4787+2534+1285+1134+311+852+404+544+253+159+238+841+27</f>
        <v>201001</v>
      </c>
      <c r="M34" s="721">
        <f aca="true" t="shared" si="1" ref="M34:M65">K34/L34</f>
        <v>10.131957701702978</v>
      </c>
      <c r="N34" s="722">
        <v>41516</v>
      </c>
    </row>
    <row r="35" spans="1:14" ht="12.75">
      <c r="A35" s="450">
        <v>34</v>
      </c>
      <c r="B35" s="705"/>
      <c r="C35" s="761" t="s">
        <v>1044</v>
      </c>
      <c r="D35" s="714" t="s">
        <v>266</v>
      </c>
      <c r="E35" s="715" t="s">
        <v>73</v>
      </c>
      <c r="F35" s="716" t="s">
        <v>1045</v>
      </c>
      <c r="G35" s="717">
        <v>41453</v>
      </c>
      <c r="H35" s="718" t="s">
        <v>10</v>
      </c>
      <c r="I35" s="719">
        <v>116</v>
      </c>
      <c r="J35" s="720">
        <v>10</v>
      </c>
      <c r="K35" s="470">
        <v>2005483</v>
      </c>
      <c r="L35" s="471">
        <v>198604</v>
      </c>
      <c r="M35" s="721">
        <f t="shared" si="1"/>
        <v>10.097898330345814</v>
      </c>
      <c r="N35" s="722">
        <v>41516</v>
      </c>
    </row>
    <row r="36" spans="1:14" ht="12.75">
      <c r="A36" s="450">
        <v>35</v>
      </c>
      <c r="B36" s="705"/>
      <c r="C36" s="760" t="s">
        <v>635</v>
      </c>
      <c r="D36" s="706" t="s">
        <v>637</v>
      </c>
      <c r="E36" s="707" t="s">
        <v>81</v>
      </c>
      <c r="F36" s="708" t="s">
        <v>636</v>
      </c>
      <c r="G36" s="709">
        <v>41299</v>
      </c>
      <c r="H36" s="710" t="s">
        <v>59</v>
      </c>
      <c r="I36" s="706">
        <v>100</v>
      </c>
      <c r="J36" s="706">
        <v>25</v>
      </c>
      <c r="K36" s="472">
        <f>1794030.67+40277.29+34660+28827+22014.37+13132.19+10634.5+7822.5+18245.14+5510+1916+6021.52+2040.01+83+1508+1425.6+658+224+1900.8+1900.8+950.4</f>
        <v>1993781.79</v>
      </c>
      <c r="L36" s="473">
        <f>189430+6511+5443+4579+3210+1891+1499+1121+3184+1095+339+1299+405+11+345+285+111+34+380+380+190</f>
        <v>221742</v>
      </c>
      <c r="M36" s="711">
        <f t="shared" si="1"/>
        <v>8.991448575371377</v>
      </c>
      <c r="N36" s="712">
        <v>41502</v>
      </c>
    </row>
    <row r="37" spans="1:14" ht="12.75">
      <c r="A37" s="450">
        <v>36</v>
      </c>
      <c r="B37" s="705"/>
      <c r="C37" s="761" t="s">
        <v>941</v>
      </c>
      <c r="D37" s="714" t="s">
        <v>334</v>
      </c>
      <c r="E37" s="715" t="s">
        <v>67</v>
      </c>
      <c r="F37" s="728" t="s">
        <v>938</v>
      </c>
      <c r="G37" s="717">
        <v>41425</v>
      </c>
      <c r="H37" s="718" t="s">
        <v>59</v>
      </c>
      <c r="I37" s="719">
        <v>48</v>
      </c>
      <c r="J37" s="719">
        <v>14</v>
      </c>
      <c r="K37" s="470">
        <f>340603.22+377197.88+292651.48+173882.75+144490.91+90875.16+64658.08+84588.52+71863.58+49657+62198+37054+19612.44+19891.54</f>
        <v>1829224.56</v>
      </c>
      <c r="L37" s="471">
        <f>31109+34354+27079+16831+14013+9355+6976+9368+8338+5828+6779+3918+1932+1923</f>
        <v>177803</v>
      </c>
      <c r="M37" s="721">
        <f t="shared" si="1"/>
        <v>10.28792855013695</v>
      </c>
      <c r="N37" s="722">
        <v>41516</v>
      </c>
    </row>
    <row r="38" spans="1:14" ht="12.75">
      <c r="A38" s="450">
        <v>37</v>
      </c>
      <c r="B38" s="705"/>
      <c r="C38" s="761" t="s">
        <v>1166</v>
      </c>
      <c r="D38" s="714" t="s">
        <v>80</v>
      </c>
      <c r="E38" s="715" t="s">
        <v>69</v>
      </c>
      <c r="F38" s="728" t="s">
        <v>1167</v>
      </c>
      <c r="G38" s="717">
        <v>41502</v>
      </c>
      <c r="H38" s="718" t="s">
        <v>59</v>
      </c>
      <c r="I38" s="719">
        <v>108</v>
      </c>
      <c r="J38" s="719">
        <v>3</v>
      </c>
      <c r="K38" s="470">
        <f>1190+858555.21+600359.84+291047.81</f>
        <v>1751152.8599999999</v>
      </c>
      <c r="L38" s="471">
        <f>119+80094+57408+29458</f>
        <v>167079</v>
      </c>
      <c r="M38" s="721">
        <f t="shared" si="1"/>
        <v>10.480987197672956</v>
      </c>
      <c r="N38" s="722">
        <v>41516</v>
      </c>
    </row>
    <row r="39" spans="1:14" ht="12.75">
      <c r="A39" s="450">
        <v>38</v>
      </c>
      <c r="B39" s="705"/>
      <c r="C39" s="760" t="s">
        <v>1113</v>
      </c>
      <c r="D39" s="706" t="s">
        <v>267</v>
      </c>
      <c r="E39" s="707" t="s">
        <v>73</v>
      </c>
      <c r="F39" s="713" t="s">
        <v>1114</v>
      </c>
      <c r="G39" s="709">
        <v>41474</v>
      </c>
      <c r="H39" s="710" t="s">
        <v>10</v>
      </c>
      <c r="I39" s="706">
        <v>113</v>
      </c>
      <c r="J39" s="729">
        <v>4</v>
      </c>
      <c r="K39" s="468">
        <f>1724458+3883</f>
        <v>1728341</v>
      </c>
      <c r="L39" s="469">
        <f>141219+408</f>
        <v>141627</v>
      </c>
      <c r="M39" s="711">
        <f t="shared" si="1"/>
        <v>12.203471089552133</v>
      </c>
      <c r="N39" s="712">
        <v>41495</v>
      </c>
    </row>
    <row r="40" spans="1:14" ht="12.75">
      <c r="A40" s="450">
        <v>39</v>
      </c>
      <c r="B40" s="705"/>
      <c r="C40" s="760" t="s">
        <v>640</v>
      </c>
      <c r="D40" s="706" t="s">
        <v>266</v>
      </c>
      <c r="E40" s="707" t="s">
        <v>73</v>
      </c>
      <c r="F40" s="713" t="s">
        <v>641</v>
      </c>
      <c r="G40" s="709">
        <v>41306</v>
      </c>
      <c r="H40" s="710" t="s">
        <v>10</v>
      </c>
      <c r="I40" s="706">
        <v>53</v>
      </c>
      <c r="J40" s="729">
        <v>21</v>
      </c>
      <c r="K40" s="472">
        <v>1723541</v>
      </c>
      <c r="L40" s="473">
        <v>139771</v>
      </c>
      <c r="M40" s="711">
        <f t="shared" si="1"/>
        <v>12.331177425932419</v>
      </c>
      <c r="N40" s="712">
        <v>41446</v>
      </c>
    </row>
    <row r="41" spans="1:14" ht="12.75">
      <c r="A41" s="450">
        <v>40</v>
      </c>
      <c r="B41" s="723"/>
      <c r="C41" s="762" t="s">
        <v>777</v>
      </c>
      <c r="D41" s="724" t="s">
        <v>780</v>
      </c>
      <c r="E41" s="706" t="s">
        <v>400</v>
      </c>
      <c r="F41" s="724" t="s">
        <v>781</v>
      </c>
      <c r="G41" s="725">
        <v>41376</v>
      </c>
      <c r="H41" s="710" t="s">
        <v>8</v>
      </c>
      <c r="I41" s="726">
        <v>71</v>
      </c>
      <c r="J41" s="724">
        <v>15</v>
      </c>
      <c r="K41" s="472">
        <v>1628199</v>
      </c>
      <c r="L41" s="473">
        <v>158010</v>
      </c>
      <c r="M41" s="711">
        <f t="shared" si="1"/>
        <v>10.304404784507309</v>
      </c>
      <c r="N41" s="712">
        <v>41481</v>
      </c>
    </row>
    <row r="42" spans="1:14" ht="12.75">
      <c r="A42" s="450">
        <v>41</v>
      </c>
      <c r="B42" s="705"/>
      <c r="C42" s="760" t="s">
        <v>878</v>
      </c>
      <c r="D42" s="706" t="s">
        <v>329</v>
      </c>
      <c r="E42" s="707" t="s">
        <v>73</v>
      </c>
      <c r="F42" s="713" t="s">
        <v>879</v>
      </c>
      <c r="G42" s="709">
        <v>41411</v>
      </c>
      <c r="H42" s="710" t="s">
        <v>10</v>
      </c>
      <c r="I42" s="706">
        <v>70</v>
      </c>
      <c r="J42" s="729">
        <v>8</v>
      </c>
      <c r="K42" s="472">
        <f>1568632+2381</f>
        <v>1571013</v>
      </c>
      <c r="L42" s="473">
        <f>120872+476</f>
        <v>121348</v>
      </c>
      <c r="M42" s="711">
        <f t="shared" si="1"/>
        <v>12.94634439792992</v>
      </c>
      <c r="N42" s="712">
        <v>41509</v>
      </c>
    </row>
    <row r="43" spans="1:14" ht="12.75">
      <c r="A43" s="450">
        <v>42</v>
      </c>
      <c r="B43" s="705"/>
      <c r="C43" s="760" t="s">
        <v>993</v>
      </c>
      <c r="D43" s="713" t="s">
        <v>70</v>
      </c>
      <c r="E43" s="707" t="s">
        <v>72</v>
      </c>
      <c r="F43" s="713" t="s">
        <v>1083</v>
      </c>
      <c r="G43" s="725">
        <v>41432</v>
      </c>
      <c r="H43" s="710" t="s">
        <v>12</v>
      </c>
      <c r="I43" s="706">
        <v>52</v>
      </c>
      <c r="J43" s="706">
        <v>6</v>
      </c>
      <c r="K43" s="466">
        <v>1551227</v>
      </c>
      <c r="L43" s="467">
        <v>123774</v>
      </c>
      <c r="M43" s="711">
        <f t="shared" si="1"/>
        <v>12.532737085332945</v>
      </c>
      <c r="N43" s="712">
        <v>41467</v>
      </c>
    </row>
    <row r="44" spans="1:14" ht="12.75">
      <c r="A44" s="450">
        <v>43</v>
      </c>
      <c r="B44" s="705"/>
      <c r="C44" s="760" t="s">
        <v>1117</v>
      </c>
      <c r="D44" s="713" t="s">
        <v>336</v>
      </c>
      <c r="E44" s="707" t="s">
        <v>92</v>
      </c>
      <c r="F44" s="713" t="s">
        <v>601</v>
      </c>
      <c r="G44" s="725">
        <v>41278</v>
      </c>
      <c r="H44" s="710" t="s">
        <v>12</v>
      </c>
      <c r="I44" s="706">
        <v>43</v>
      </c>
      <c r="J44" s="730">
        <v>29</v>
      </c>
      <c r="K44" s="466">
        <v>1521382</v>
      </c>
      <c r="L44" s="467">
        <v>121435</v>
      </c>
      <c r="M44" s="711">
        <f t="shared" si="1"/>
        <v>12.52836496891341</v>
      </c>
      <c r="N44" s="712">
        <v>41474</v>
      </c>
    </row>
    <row r="45" spans="1:14" ht="12.75">
      <c r="A45" s="450">
        <v>44</v>
      </c>
      <c r="B45" s="705"/>
      <c r="C45" s="761" t="s">
        <v>940</v>
      </c>
      <c r="D45" s="714" t="s">
        <v>80</v>
      </c>
      <c r="E45" s="715" t="s">
        <v>69</v>
      </c>
      <c r="F45" s="728" t="s">
        <v>939</v>
      </c>
      <c r="G45" s="717">
        <v>41425</v>
      </c>
      <c r="H45" s="718" t="s">
        <v>59</v>
      </c>
      <c r="I45" s="719">
        <v>93</v>
      </c>
      <c r="J45" s="719">
        <v>14</v>
      </c>
      <c r="K45" s="470">
        <f>560969.69+474123.7+288746.5+34389.8+21918.97+14956.66+10538.1+8770.9+5638.9+4851+3982.5+1303+985+506</f>
        <v>1431680.7199999997</v>
      </c>
      <c r="L45" s="471">
        <f>51988+46222+27139+3659+3098+2212+1839+1309+935+731+641+187+127+60</f>
        <v>140147</v>
      </c>
      <c r="M45" s="721">
        <f t="shared" si="1"/>
        <v>10.215564514402732</v>
      </c>
      <c r="N45" s="722">
        <v>41516</v>
      </c>
    </row>
    <row r="46" spans="1:14" ht="12.75">
      <c r="A46" s="450">
        <v>45</v>
      </c>
      <c r="B46" s="705"/>
      <c r="C46" s="761" t="s">
        <v>1147</v>
      </c>
      <c r="D46" s="714" t="s">
        <v>1148</v>
      </c>
      <c r="E46" s="715" t="s">
        <v>67</v>
      </c>
      <c r="F46" s="728" t="s">
        <v>1147</v>
      </c>
      <c r="G46" s="717">
        <v>41488</v>
      </c>
      <c r="H46" s="718" t="s">
        <v>59</v>
      </c>
      <c r="I46" s="719">
        <v>125</v>
      </c>
      <c r="J46" s="719">
        <v>5</v>
      </c>
      <c r="K46" s="470">
        <f>770+483988.89+387526.56+275331.41+124160.55+52022.7</f>
        <v>1323800.1099999999</v>
      </c>
      <c r="L46" s="471">
        <f>77+42880+37444+25809+12812+5430</f>
        <v>124452</v>
      </c>
      <c r="M46" s="721">
        <f t="shared" si="1"/>
        <v>10.637033635457847</v>
      </c>
      <c r="N46" s="722">
        <v>41516</v>
      </c>
    </row>
    <row r="47" spans="1:14" ht="12.75">
      <c r="A47" s="450">
        <v>46</v>
      </c>
      <c r="B47" s="705" t="s">
        <v>48</v>
      </c>
      <c r="C47" s="763" t="s">
        <v>663</v>
      </c>
      <c r="D47" s="710" t="s">
        <v>664</v>
      </c>
      <c r="E47" s="710"/>
      <c r="F47" s="710" t="s">
        <v>663</v>
      </c>
      <c r="G47" s="725">
        <v>41320</v>
      </c>
      <c r="H47" s="710" t="s">
        <v>46</v>
      </c>
      <c r="I47" s="706">
        <v>156</v>
      </c>
      <c r="J47" s="706">
        <v>21</v>
      </c>
      <c r="K47" s="466">
        <v>1267361.49</v>
      </c>
      <c r="L47" s="467">
        <v>193069</v>
      </c>
      <c r="M47" s="711">
        <f t="shared" si="1"/>
        <v>6.5642930247735265</v>
      </c>
      <c r="N47" s="712">
        <v>41481</v>
      </c>
    </row>
    <row r="48" spans="1:14" ht="12.75">
      <c r="A48" s="450">
        <v>47</v>
      </c>
      <c r="B48" s="705"/>
      <c r="C48" s="763" t="s">
        <v>633</v>
      </c>
      <c r="D48" s="710" t="s">
        <v>634</v>
      </c>
      <c r="E48" s="710" t="s">
        <v>75</v>
      </c>
      <c r="F48" s="710" t="s">
        <v>633</v>
      </c>
      <c r="G48" s="725">
        <v>41299</v>
      </c>
      <c r="H48" s="710" t="s">
        <v>46</v>
      </c>
      <c r="I48" s="706">
        <v>73</v>
      </c>
      <c r="J48" s="706">
        <v>18</v>
      </c>
      <c r="K48" s="466">
        <v>1266576.25</v>
      </c>
      <c r="L48" s="467">
        <v>122101</v>
      </c>
      <c r="M48" s="711">
        <f t="shared" si="1"/>
        <v>10.373184904300539</v>
      </c>
      <c r="N48" s="712">
        <v>41418</v>
      </c>
    </row>
    <row r="49" spans="1:14" ht="12.75">
      <c r="A49" s="450">
        <v>48</v>
      </c>
      <c r="B49" s="705"/>
      <c r="C49" s="760" t="s">
        <v>725</v>
      </c>
      <c r="D49" s="706" t="s">
        <v>267</v>
      </c>
      <c r="E49" s="707" t="s">
        <v>73</v>
      </c>
      <c r="F49" s="713" t="s">
        <v>726</v>
      </c>
      <c r="G49" s="709">
        <v>41355</v>
      </c>
      <c r="H49" s="710" t="s">
        <v>10</v>
      </c>
      <c r="I49" s="706">
        <v>71</v>
      </c>
      <c r="J49" s="729">
        <v>4</v>
      </c>
      <c r="K49" s="468">
        <v>1247430</v>
      </c>
      <c r="L49" s="469">
        <v>101025</v>
      </c>
      <c r="M49" s="711">
        <f t="shared" si="1"/>
        <v>12.347735708982926</v>
      </c>
      <c r="N49" s="712">
        <v>41376</v>
      </c>
    </row>
    <row r="50" spans="1:14" ht="12.75">
      <c r="A50" s="450">
        <v>49</v>
      </c>
      <c r="B50" s="705" t="s">
        <v>48</v>
      </c>
      <c r="C50" s="760" t="s">
        <v>618</v>
      </c>
      <c r="D50" s="706" t="s">
        <v>619</v>
      </c>
      <c r="E50" s="707"/>
      <c r="F50" s="713" t="s">
        <v>618</v>
      </c>
      <c r="G50" s="709">
        <v>41285</v>
      </c>
      <c r="H50" s="710" t="s">
        <v>12</v>
      </c>
      <c r="I50" s="706">
        <v>239</v>
      </c>
      <c r="J50" s="706">
        <v>32</v>
      </c>
      <c r="K50" s="466">
        <v>1238519</v>
      </c>
      <c r="L50" s="467">
        <v>134306</v>
      </c>
      <c r="M50" s="711">
        <f t="shared" si="1"/>
        <v>9.2216207764359</v>
      </c>
      <c r="N50" s="712">
        <v>41502</v>
      </c>
    </row>
    <row r="51" spans="1:14" ht="12.75">
      <c r="A51" s="450">
        <v>50</v>
      </c>
      <c r="B51" s="705"/>
      <c r="C51" s="760" t="s">
        <v>626</v>
      </c>
      <c r="D51" s="706" t="s">
        <v>627</v>
      </c>
      <c r="E51" s="707" t="s">
        <v>72</v>
      </c>
      <c r="F51" s="713" t="s">
        <v>626</v>
      </c>
      <c r="G51" s="709">
        <v>41292</v>
      </c>
      <c r="H51" s="710" t="s">
        <v>12</v>
      </c>
      <c r="I51" s="706">
        <v>76</v>
      </c>
      <c r="J51" s="706">
        <v>19</v>
      </c>
      <c r="K51" s="466">
        <v>1224383</v>
      </c>
      <c r="L51" s="467">
        <v>121124</v>
      </c>
      <c r="M51" s="711">
        <f t="shared" si="1"/>
        <v>10.108508635778211</v>
      </c>
      <c r="N51" s="712">
        <v>41418</v>
      </c>
    </row>
    <row r="52" spans="1:14" ht="12.75">
      <c r="A52" s="450">
        <v>51</v>
      </c>
      <c r="B52" s="705"/>
      <c r="C52" s="761" t="s">
        <v>715</v>
      </c>
      <c r="D52" s="714" t="s">
        <v>716</v>
      </c>
      <c r="E52" s="715" t="s">
        <v>65</v>
      </c>
      <c r="F52" s="728" t="s">
        <v>717</v>
      </c>
      <c r="G52" s="717">
        <v>41348</v>
      </c>
      <c r="H52" s="718" t="s">
        <v>59</v>
      </c>
      <c r="I52" s="719">
        <v>25</v>
      </c>
      <c r="J52" s="719">
        <v>21</v>
      </c>
      <c r="K52" s="470">
        <f>444019.23+322801.64+149138.7+71014.06+16566.26+25233.5+7838+9867+5635.63+6619.1+5833.1+4443+6388.5+1585.5+3587+844+994+204+383+227+215</f>
        <v>1083437.2200000002</v>
      </c>
      <c r="L52" s="471">
        <f>39872+30388+15039+7529+2514+3572+1136+1461+1053+1018+1043+753+1169+234+557+112+150+29+59+32+30</f>
        <v>107750</v>
      </c>
      <c r="M52" s="721">
        <f t="shared" si="1"/>
        <v>10.055101809744782</v>
      </c>
      <c r="N52" s="722">
        <v>41516</v>
      </c>
    </row>
    <row r="53" spans="1:14" ht="12.75">
      <c r="A53" s="450">
        <v>52</v>
      </c>
      <c r="B53" s="705"/>
      <c r="C53" s="760" t="s">
        <v>800</v>
      </c>
      <c r="D53" s="706" t="s">
        <v>802</v>
      </c>
      <c r="E53" s="707" t="s">
        <v>73</v>
      </c>
      <c r="F53" s="713" t="s">
        <v>801</v>
      </c>
      <c r="G53" s="709">
        <v>41383</v>
      </c>
      <c r="H53" s="710" t="s">
        <v>10</v>
      </c>
      <c r="I53" s="706">
        <v>57</v>
      </c>
      <c r="J53" s="729">
        <v>15</v>
      </c>
      <c r="K53" s="472">
        <f>1076578+684</f>
        <v>1077262</v>
      </c>
      <c r="L53" s="473">
        <f>109705+72</f>
        <v>109777</v>
      </c>
      <c r="M53" s="711">
        <f t="shared" si="1"/>
        <v>9.813184911229127</v>
      </c>
      <c r="N53" s="712">
        <v>41481</v>
      </c>
    </row>
    <row r="54" spans="1:14" ht="12.75">
      <c r="A54" s="450">
        <v>53</v>
      </c>
      <c r="B54" s="705"/>
      <c r="C54" s="760" t="s">
        <v>686</v>
      </c>
      <c r="D54" s="706" t="s">
        <v>66</v>
      </c>
      <c r="E54" s="707" t="s">
        <v>72</v>
      </c>
      <c r="F54" s="713" t="s">
        <v>687</v>
      </c>
      <c r="G54" s="709">
        <v>41334</v>
      </c>
      <c r="H54" s="710" t="s">
        <v>12</v>
      </c>
      <c r="I54" s="706">
        <v>20</v>
      </c>
      <c r="J54" s="706">
        <v>9</v>
      </c>
      <c r="K54" s="466">
        <v>1059821</v>
      </c>
      <c r="L54" s="467">
        <v>86441</v>
      </c>
      <c r="M54" s="711">
        <f t="shared" si="1"/>
        <v>12.260628636873706</v>
      </c>
      <c r="N54" s="712">
        <v>41390</v>
      </c>
    </row>
    <row r="55" spans="1:14" ht="12.75">
      <c r="A55" s="450">
        <v>54</v>
      </c>
      <c r="B55" s="705"/>
      <c r="C55" s="760" t="s">
        <v>785</v>
      </c>
      <c r="D55" s="706" t="s">
        <v>787</v>
      </c>
      <c r="E55" s="707" t="s">
        <v>67</v>
      </c>
      <c r="F55" s="708" t="s">
        <v>786</v>
      </c>
      <c r="G55" s="709">
        <v>41383</v>
      </c>
      <c r="H55" s="710" t="s">
        <v>59</v>
      </c>
      <c r="I55" s="706">
        <v>158</v>
      </c>
      <c r="J55" s="706">
        <v>18</v>
      </c>
      <c r="K55" s="472">
        <f>763144.24+126926.48+54828.86+24177.5+11596.5+11544.5+4894.5+10539.7+5307.2+4709.7+6656.6+559+1102+3591+2107+20+950.4+2613.6</f>
        <v>1035268.7799999998</v>
      </c>
      <c r="L55" s="473">
        <f>93517+16895+7831+3806+1798+1875+784+1678+849+898+1177+76+149+661+391+2+190+523</f>
        <v>133100</v>
      </c>
      <c r="M55" s="711">
        <f t="shared" si="1"/>
        <v>7.778127573253191</v>
      </c>
      <c r="N55" s="712">
        <v>41502</v>
      </c>
    </row>
    <row r="56" spans="1:14" ht="12.75">
      <c r="A56" s="450">
        <v>55</v>
      </c>
      <c r="B56" s="705" t="s">
        <v>48</v>
      </c>
      <c r="C56" s="763" t="s">
        <v>999</v>
      </c>
      <c r="D56" s="710" t="s">
        <v>1001</v>
      </c>
      <c r="E56" s="710"/>
      <c r="F56" s="710" t="s">
        <v>999</v>
      </c>
      <c r="G56" s="725">
        <v>41432</v>
      </c>
      <c r="H56" s="710" t="s">
        <v>46</v>
      </c>
      <c r="I56" s="706">
        <v>158</v>
      </c>
      <c r="J56" s="706">
        <v>12</v>
      </c>
      <c r="K56" s="466">
        <v>887190.59</v>
      </c>
      <c r="L56" s="467">
        <v>99160</v>
      </c>
      <c r="M56" s="711">
        <f t="shared" si="1"/>
        <v>8.947061214199273</v>
      </c>
      <c r="N56" s="712">
        <v>41509</v>
      </c>
    </row>
    <row r="57" spans="1:14" ht="12.75">
      <c r="A57" s="450">
        <v>56</v>
      </c>
      <c r="B57" s="705"/>
      <c r="C57" s="760" t="s">
        <v>768</v>
      </c>
      <c r="D57" s="706" t="s">
        <v>771</v>
      </c>
      <c r="E57" s="707" t="s">
        <v>79</v>
      </c>
      <c r="F57" s="713" t="s">
        <v>769</v>
      </c>
      <c r="G57" s="709">
        <v>41369</v>
      </c>
      <c r="H57" s="710" t="s">
        <v>12</v>
      </c>
      <c r="I57" s="706">
        <v>88</v>
      </c>
      <c r="J57" s="706">
        <v>19</v>
      </c>
      <c r="K57" s="466">
        <v>872674</v>
      </c>
      <c r="L57" s="467">
        <v>80175</v>
      </c>
      <c r="M57" s="711">
        <f t="shared" si="1"/>
        <v>10.88461490489554</v>
      </c>
      <c r="N57" s="712">
        <v>41495</v>
      </c>
    </row>
    <row r="58" spans="1:14" ht="12.75">
      <c r="A58" s="450">
        <v>57</v>
      </c>
      <c r="B58" s="705"/>
      <c r="C58" s="764" t="s">
        <v>1174</v>
      </c>
      <c r="D58" s="714" t="s">
        <v>1175</v>
      </c>
      <c r="E58" s="714" t="s">
        <v>236</v>
      </c>
      <c r="F58" s="718" t="s">
        <v>1174</v>
      </c>
      <c r="G58" s="717">
        <v>41502</v>
      </c>
      <c r="H58" s="718" t="s">
        <v>151</v>
      </c>
      <c r="I58" s="719">
        <v>52</v>
      </c>
      <c r="J58" s="719">
        <v>3</v>
      </c>
      <c r="K58" s="731">
        <v>820506.63</v>
      </c>
      <c r="L58" s="732">
        <v>63721</v>
      </c>
      <c r="M58" s="721">
        <f t="shared" si="1"/>
        <v>12.876549803047661</v>
      </c>
      <c r="N58" s="722">
        <v>41516</v>
      </c>
    </row>
    <row r="59" spans="1:14" ht="12.75">
      <c r="A59" s="450">
        <v>58</v>
      </c>
      <c r="B59" s="705"/>
      <c r="C59" s="765" t="s">
        <v>870</v>
      </c>
      <c r="D59" s="706" t="s">
        <v>605</v>
      </c>
      <c r="E59" s="706" t="s">
        <v>284</v>
      </c>
      <c r="F59" s="710" t="s">
        <v>871</v>
      </c>
      <c r="G59" s="725">
        <v>41404</v>
      </c>
      <c r="H59" s="710" t="s">
        <v>244</v>
      </c>
      <c r="I59" s="706">
        <v>80</v>
      </c>
      <c r="J59" s="706">
        <v>9</v>
      </c>
      <c r="K59" s="472">
        <v>791941</v>
      </c>
      <c r="L59" s="473">
        <v>76958</v>
      </c>
      <c r="M59" s="711">
        <f t="shared" si="1"/>
        <v>10.290561085267289</v>
      </c>
      <c r="N59" s="712">
        <v>41460</v>
      </c>
    </row>
    <row r="60" spans="1:14" ht="12.75">
      <c r="A60" s="450">
        <v>59</v>
      </c>
      <c r="B60" s="705"/>
      <c r="C60" s="760" t="s">
        <v>682</v>
      </c>
      <c r="D60" s="706" t="s">
        <v>329</v>
      </c>
      <c r="E60" s="707" t="s">
        <v>73</v>
      </c>
      <c r="F60" s="713" t="s">
        <v>683</v>
      </c>
      <c r="G60" s="709">
        <v>41334</v>
      </c>
      <c r="H60" s="710" t="s">
        <v>10</v>
      </c>
      <c r="I60" s="706">
        <v>49</v>
      </c>
      <c r="J60" s="729">
        <v>15</v>
      </c>
      <c r="K60" s="468">
        <f>757159+2380</f>
        <v>759539</v>
      </c>
      <c r="L60" s="469">
        <f>61939+238</f>
        <v>62177</v>
      </c>
      <c r="M60" s="711">
        <f t="shared" si="1"/>
        <v>12.215755021953456</v>
      </c>
      <c r="N60" s="712">
        <v>41495</v>
      </c>
    </row>
    <row r="61" spans="1:14" ht="12.75">
      <c r="A61" s="450">
        <v>60</v>
      </c>
      <c r="B61" s="705"/>
      <c r="C61" s="761" t="s">
        <v>1084</v>
      </c>
      <c r="D61" s="714" t="s">
        <v>1086</v>
      </c>
      <c r="E61" s="715" t="s">
        <v>73</v>
      </c>
      <c r="F61" s="716" t="s">
        <v>1085</v>
      </c>
      <c r="G61" s="717">
        <v>41467</v>
      </c>
      <c r="H61" s="718" t="s">
        <v>10</v>
      </c>
      <c r="I61" s="719">
        <v>105</v>
      </c>
      <c r="J61" s="720">
        <v>8</v>
      </c>
      <c r="K61" s="470">
        <v>750919</v>
      </c>
      <c r="L61" s="471">
        <v>70709</v>
      </c>
      <c r="M61" s="721">
        <f t="shared" si="1"/>
        <v>10.619850372654117</v>
      </c>
      <c r="N61" s="722">
        <v>41516</v>
      </c>
    </row>
    <row r="62" spans="1:14" ht="12.75">
      <c r="A62" s="450">
        <v>61</v>
      </c>
      <c r="B62" s="705"/>
      <c r="C62" s="760" t="s">
        <v>757</v>
      </c>
      <c r="D62" s="706" t="s">
        <v>334</v>
      </c>
      <c r="E62" s="707" t="s">
        <v>67</v>
      </c>
      <c r="F62" s="708" t="s">
        <v>758</v>
      </c>
      <c r="G62" s="725">
        <v>41369</v>
      </c>
      <c r="H62" s="710" t="s">
        <v>59</v>
      </c>
      <c r="I62" s="706">
        <v>50</v>
      </c>
      <c r="J62" s="706">
        <v>20</v>
      </c>
      <c r="K62" s="472">
        <f>236280.56+147504.84+81195.68+49961.54+40964.96+41440.13+24306.02+8208.08+3265.86+3702.8+5764.5+4708.5+3878+2163+764+2453+502+60+180+368</f>
        <v>657671.47</v>
      </c>
      <c r="L62" s="473">
        <f>22431+14239+8777+6197+5357+5298+3069+991+434+490+808+678+551+298+97+341+66+10+30+48</f>
        <v>70210</v>
      </c>
      <c r="M62" s="711">
        <f t="shared" si="1"/>
        <v>9.367205098988748</v>
      </c>
      <c r="N62" s="712">
        <v>41509</v>
      </c>
    </row>
    <row r="63" spans="1:14" ht="12.75">
      <c r="A63" s="450">
        <v>62</v>
      </c>
      <c r="B63" s="705" t="s">
        <v>48</v>
      </c>
      <c r="C63" s="760" t="s">
        <v>680</v>
      </c>
      <c r="D63" s="706" t="s">
        <v>681</v>
      </c>
      <c r="E63" s="707"/>
      <c r="F63" s="713" t="s">
        <v>680</v>
      </c>
      <c r="G63" s="709">
        <v>41334</v>
      </c>
      <c r="H63" s="710" t="s">
        <v>10</v>
      </c>
      <c r="I63" s="706">
        <v>134</v>
      </c>
      <c r="J63" s="729">
        <v>16</v>
      </c>
      <c r="K63" s="468">
        <v>652390</v>
      </c>
      <c r="L63" s="469">
        <v>74593</v>
      </c>
      <c r="M63" s="711">
        <f t="shared" si="1"/>
        <v>8.745994932500368</v>
      </c>
      <c r="N63" s="712">
        <v>41474</v>
      </c>
    </row>
    <row r="64" spans="1:14" ht="12.75">
      <c r="A64" s="450">
        <v>63</v>
      </c>
      <c r="B64" s="705"/>
      <c r="C64" s="760" t="s">
        <v>684</v>
      </c>
      <c r="D64" s="706" t="s">
        <v>80</v>
      </c>
      <c r="E64" s="707" t="s">
        <v>67</v>
      </c>
      <c r="F64" s="708" t="s">
        <v>685</v>
      </c>
      <c r="G64" s="709">
        <v>41334</v>
      </c>
      <c r="H64" s="710" t="s">
        <v>59</v>
      </c>
      <c r="I64" s="706">
        <v>118</v>
      </c>
      <c r="J64" s="706">
        <v>13</v>
      </c>
      <c r="K64" s="472">
        <f>346379.76+195668.14+80050.02+6110+198+3325.5+3344.5+586+3410.82+3749.5+1383+789.5+410</f>
        <v>645404.74</v>
      </c>
      <c r="L64" s="473">
        <f>35721+21307+10691+881+38+554+505+126+453+595+172+83+98</f>
        <v>71224</v>
      </c>
      <c r="M64" s="711">
        <f t="shared" si="1"/>
        <v>9.061618836347298</v>
      </c>
      <c r="N64" s="712">
        <v>41502</v>
      </c>
    </row>
    <row r="65" spans="1:14" ht="12.75">
      <c r="A65" s="450">
        <v>64</v>
      </c>
      <c r="B65" s="705" t="s">
        <v>48</v>
      </c>
      <c r="C65" s="766" t="s">
        <v>891</v>
      </c>
      <c r="D65" s="733" t="s">
        <v>892</v>
      </c>
      <c r="E65" s="714"/>
      <c r="F65" s="733" t="s">
        <v>891</v>
      </c>
      <c r="G65" s="727">
        <v>41411</v>
      </c>
      <c r="H65" s="718" t="s">
        <v>8</v>
      </c>
      <c r="I65" s="734">
        <v>142</v>
      </c>
      <c r="J65" s="735">
        <v>11</v>
      </c>
      <c r="K65" s="470">
        <v>640921</v>
      </c>
      <c r="L65" s="471">
        <v>75195</v>
      </c>
      <c r="M65" s="721">
        <f t="shared" si="1"/>
        <v>8.5234523572046</v>
      </c>
      <c r="N65" s="722">
        <v>41516</v>
      </c>
    </row>
    <row r="66" spans="1:14" ht="12.75">
      <c r="A66" s="450">
        <v>65</v>
      </c>
      <c r="B66" s="705"/>
      <c r="C66" s="760" t="s">
        <v>649</v>
      </c>
      <c r="D66" s="706" t="s">
        <v>80</v>
      </c>
      <c r="E66" s="707" t="s">
        <v>69</v>
      </c>
      <c r="F66" s="708" t="s">
        <v>649</v>
      </c>
      <c r="G66" s="709">
        <v>41313</v>
      </c>
      <c r="H66" s="710" t="s">
        <v>59</v>
      </c>
      <c r="I66" s="706">
        <v>37</v>
      </c>
      <c r="J66" s="706">
        <v>16</v>
      </c>
      <c r="K66" s="472">
        <f>308428.4+169669.5+83617.5+36681+6451.5+238+1444+1646+1188+2106+997.5+224+227.5+2376+698+1188</f>
        <v>617180.9</v>
      </c>
      <c r="L66" s="473">
        <f>23619+13274+6300+2726+561+48+353+467+238+443+139+34+35+475+88+238</f>
        <v>49038</v>
      </c>
      <c r="M66" s="711">
        <f aca="true" t="shared" si="2" ref="M66:M82">K66/L66</f>
        <v>12.585768179778947</v>
      </c>
      <c r="N66" s="712">
        <v>41495</v>
      </c>
    </row>
    <row r="67" spans="1:14" ht="12.75">
      <c r="A67" s="450">
        <v>66</v>
      </c>
      <c r="B67" s="705"/>
      <c r="C67" s="761" t="s">
        <v>1183</v>
      </c>
      <c r="D67" s="714" t="s">
        <v>975</v>
      </c>
      <c r="E67" s="715" t="s">
        <v>73</v>
      </c>
      <c r="F67" s="716" t="s">
        <v>1184</v>
      </c>
      <c r="G67" s="717">
        <v>41509</v>
      </c>
      <c r="H67" s="718" t="s">
        <v>10</v>
      </c>
      <c r="I67" s="719">
        <v>39</v>
      </c>
      <c r="J67" s="720">
        <v>2</v>
      </c>
      <c r="K67" s="470">
        <v>607007</v>
      </c>
      <c r="L67" s="471">
        <v>50010</v>
      </c>
      <c r="M67" s="721">
        <f t="shared" si="2"/>
        <v>12.1377124575085</v>
      </c>
      <c r="N67" s="722">
        <v>41516</v>
      </c>
    </row>
    <row r="68" spans="1:14" ht="12.75">
      <c r="A68" s="450">
        <v>67</v>
      </c>
      <c r="B68" s="705"/>
      <c r="C68" s="761" t="s">
        <v>1087</v>
      </c>
      <c r="D68" s="714" t="s">
        <v>80</v>
      </c>
      <c r="E68" s="715" t="s">
        <v>69</v>
      </c>
      <c r="F68" s="728" t="s">
        <v>1091</v>
      </c>
      <c r="G68" s="717">
        <v>41406</v>
      </c>
      <c r="H68" s="718" t="s">
        <v>59</v>
      </c>
      <c r="I68" s="719">
        <v>59</v>
      </c>
      <c r="J68" s="719">
        <v>8</v>
      </c>
      <c r="K68" s="470">
        <f>7564+203463.62+165525.48+102724.84+31921.1+21163.52+5226.58+9632+7671</f>
        <v>554892.1399999999</v>
      </c>
      <c r="L68" s="471">
        <f>760+17006+13840+8677+2651+2717+672+1376+1005</f>
        <v>48704</v>
      </c>
      <c r="M68" s="721">
        <f t="shared" si="2"/>
        <v>11.393153334428382</v>
      </c>
      <c r="N68" s="722">
        <v>41516</v>
      </c>
    </row>
    <row r="69" spans="1:14" ht="12.75">
      <c r="A69" s="450">
        <v>68</v>
      </c>
      <c r="B69" s="705"/>
      <c r="C69" s="760" t="s">
        <v>1160</v>
      </c>
      <c r="D69" s="713" t="s">
        <v>66</v>
      </c>
      <c r="E69" s="707" t="s">
        <v>72</v>
      </c>
      <c r="F69" s="713" t="s">
        <v>1160</v>
      </c>
      <c r="G69" s="725">
        <v>41495</v>
      </c>
      <c r="H69" s="710" t="s">
        <v>12</v>
      </c>
      <c r="I69" s="706">
        <v>20</v>
      </c>
      <c r="J69" s="706">
        <v>3</v>
      </c>
      <c r="K69" s="466">
        <v>536754</v>
      </c>
      <c r="L69" s="467">
        <v>44080</v>
      </c>
      <c r="M69" s="711">
        <f t="shared" si="2"/>
        <v>12.176814882032668</v>
      </c>
      <c r="N69" s="712">
        <v>41509</v>
      </c>
    </row>
    <row r="70" spans="1:14" ht="12.75">
      <c r="A70" s="450">
        <v>69</v>
      </c>
      <c r="B70" s="705"/>
      <c r="C70" s="761" t="s">
        <v>1201</v>
      </c>
      <c r="D70" s="714" t="s">
        <v>267</v>
      </c>
      <c r="E70" s="715" t="s">
        <v>73</v>
      </c>
      <c r="F70" s="716" t="s">
        <v>1202</v>
      </c>
      <c r="G70" s="717">
        <v>41516</v>
      </c>
      <c r="H70" s="718" t="s">
        <v>10</v>
      </c>
      <c r="I70" s="719">
        <v>71</v>
      </c>
      <c r="J70" s="720">
        <v>1</v>
      </c>
      <c r="K70" s="470">
        <v>533880</v>
      </c>
      <c r="L70" s="471">
        <v>50286</v>
      </c>
      <c r="M70" s="721">
        <f t="shared" si="2"/>
        <v>10.616871495048324</v>
      </c>
      <c r="N70" s="722">
        <v>41516</v>
      </c>
    </row>
    <row r="71" spans="1:14" ht="12.75">
      <c r="A71" s="450">
        <v>70</v>
      </c>
      <c r="B71" s="705" t="s">
        <v>48</v>
      </c>
      <c r="C71" s="761" t="s">
        <v>730</v>
      </c>
      <c r="D71" s="714" t="s">
        <v>566</v>
      </c>
      <c r="E71" s="715"/>
      <c r="F71" s="728" t="s">
        <v>730</v>
      </c>
      <c r="G71" s="717">
        <v>41355</v>
      </c>
      <c r="H71" s="718" t="s">
        <v>59</v>
      </c>
      <c r="I71" s="719">
        <v>141</v>
      </c>
      <c r="J71" s="719">
        <v>18</v>
      </c>
      <c r="K71" s="470">
        <f>309737.79+106144.11+40397.55+20332.5+11277.5+6741+3986+3559+516+3263+432+794+1425.6+1188+1663.2+2851.2+1663.2+2019.6</f>
        <v>517991.24999999994</v>
      </c>
      <c r="L71" s="471">
        <f>35020+12576+5163+3117+1814+1194+652+642+78+655+60+123+285+238+333+571+333+404</f>
        <v>63258</v>
      </c>
      <c r="M71" s="721">
        <f t="shared" si="2"/>
        <v>8.188549274400074</v>
      </c>
      <c r="N71" s="722">
        <v>41516</v>
      </c>
    </row>
    <row r="72" spans="1:14" ht="12.75">
      <c r="A72" s="450">
        <v>71</v>
      </c>
      <c r="B72" s="705"/>
      <c r="C72" s="760" t="s">
        <v>791</v>
      </c>
      <c r="D72" s="706" t="s">
        <v>338</v>
      </c>
      <c r="E72" s="707" t="s">
        <v>67</v>
      </c>
      <c r="F72" s="708" t="s">
        <v>790</v>
      </c>
      <c r="G72" s="709">
        <v>41383</v>
      </c>
      <c r="H72" s="710" t="s">
        <v>59</v>
      </c>
      <c r="I72" s="706">
        <v>35</v>
      </c>
      <c r="J72" s="706">
        <v>8</v>
      </c>
      <c r="K72" s="472">
        <f>307491.12+158217.69+23707.13+12763.5+3380.5+80+798+498</f>
        <v>506935.94</v>
      </c>
      <c r="L72" s="473">
        <f>27354+14768+2566+1434+406+8+87+68</f>
        <v>46691</v>
      </c>
      <c r="M72" s="711">
        <f t="shared" si="2"/>
        <v>10.857251718746653</v>
      </c>
      <c r="N72" s="712">
        <v>41488</v>
      </c>
    </row>
    <row r="73" spans="1:14" ht="12.75">
      <c r="A73" s="450">
        <v>72</v>
      </c>
      <c r="B73" s="705"/>
      <c r="C73" s="761" t="s">
        <v>1127</v>
      </c>
      <c r="D73" s="714" t="s">
        <v>1128</v>
      </c>
      <c r="E73" s="715" t="s">
        <v>313</v>
      </c>
      <c r="F73" s="728" t="s">
        <v>1126</v>
      </c>
      <c r="G73" s="717">
        <v>41481</v>
      </c>
      <c r="H73" s="718" t="s">
        <v>59</v>
      </c>
      <c r="I73" s="719">
        <v>42</v>
      </c>
      <c r="J73" s="719">
        <v>6</v>
      </c>
      <c r="K73" s="470">
        <f>190439.85+132666.13+70432.07+36924.7+40698.87+28681</f>
        <v>499842.62</v>
      </c>
      <c r="L73" s="471">
        <f>16217+10795+6870+4371+5196+3525</f>
        <v>46974</v>
      </c>
      <c r="M73" s="721">
        <f t="shared" si="2"/>
        <v>10.640835781496147</v>
      </c>
      <c r="N73" s="722">
        <v>41516</v>
      </c>
    </row>
    <row r="74" spans="1:14" ht="12.75">
      <c r="A74" s="450">
        <v>73</v>
      </c>
      <c r="B74" s="705"/>
      <c r="C74" s="764" t="s">
        <v>1139</v>
      </c>
      <c r="D74" s="714" t="s">
        <v>1140</v>
      </c>
      <c r="E74" s="714" t="s">
        <v>236</v>
      </c>
      <c r="F74" s="718" t="s">
        <v>1141</v>
      </c>
      <c r="G74" s="717">
        <v>41488</v>
      </c>
      <c r="H74" s="718" t="s">
        <v>151</v>
      </c>
      <c r="I74" s="719">
        <v>79</v>
      </c>
      <c r="J74" s="719">
        <v>5</v>
      </c>
      <c r="K74" s="731">
        <v>493358.97</v>
      </c>
      <c r="L74" s="732">
        <v>45336</v>
      </c>
      <c r="M74" s="721">
        <f t="shared" si="2"/>
        <v>10.882278321863419</v>
      </c>
      <c r="N74" s="722">
        <v>41516</v>
      </c>
    </row>
    <row r="75" spans="1:14" ht="12.75">
      <c r="A75" s="450">
        <v>74</v>
      </c>
      <c r="B75" s="705"/>
      <c r="C75" s="765" t="s">
        <v>622</v>
      </c>
      <c r="D75" s="706" t="s">
        <v>384</v>
      </c>
      <c r="E75" s="706" t="s">
        <v>236</v>
      </c>
      <c r="F75" s="736" t="s">
        <v>623</v>
      </c>
      <c r="G75" s="709">
        <v>41292</v>
      </c>
      <c r="H75" s="710" t="s">
        <v>151</v>
      </c>
      <c r="I75" s="730">
        <v>56</v>
      </c>
      <c r="J75" s="706">
        <v>10</v>
      </c>
      <c r="K75" s="737">
        <v>480270.2</v>
      </c>
      <c r="L75" s="738">
        <v>38527</v>
      </c>
      <c r="M75" s="711">
        <f t="shared" si="2"/>
        <v>12.46580839411322</v>
      </c>
      <c r="N75" s="712">
        <v>41481</v>
      </c>
    </row>
    <row r="76" spans="1:14" ht="12.75">
      <c r="A76" s="450">
        <v>75</v>
      </c>
      <c r="B76" s="705"/>
      <c r="C76" s="761" t="s">
        <v>1199</v>
      </c>
      <c r="D76" s="714" t="s">
        <v>975</v>
      </c>
      <c r="E76" s="715" t="s">
        <v>73</v>
      </c>
      <c r="F76" s="714" t="s">
        <v>1200</v>
      </c>
      <c r="G76" s="717">
        <v>41516</v>
      </c>
      <c r="H76" s="718" t="s">
        <v>10</v>
      </c>
      <c r="I76" s="719">
        <v>29</v>
      </c>
      <c r="J76" s="720">
        <v>1</v>
      </c>
      <c r="K76" s="470">
        <v>464837</v>
      </c>
      <c r="L76" s="471">
        <v>36027</v>
      </c>
      <c r="M76" s="721">
        <f t="shared" si="2"/>
        <v>12.90246204235712</v>
      </c>
      <c r="N76" s="722">
        <v>41516</v>
      </c>
    </row>
    <row r="77" spans="1:14" ht="12.75">
      <c r="A77" s="450">
        <v>76</v>
      </c>
      <c r="B77" s="723"/>
      <c r="C77" s="762" t="s">
        <v>855</v>
      </c>
      <c r="D77" s="724" t="s">
        <v>856</v>
      </c>
      <c r="E77" s="706" t="s">
        <v>240</v>
      </c>
      <c r="F77" s="724" t="s">
        <v>854</v>
      </c>
      <c r="G77" s="725">
        <v>41404</v>
      </c>
      <c r="H77" s="710" t="s">
        <v>8</v>
      </c>
      <c r="I77" s="726">
        <v>40</v>
      </c>
      <c r="J77" s="739">
        <v>15</v>
      </c>
      <c r="K77" s="468">
        <v>411785</v>
      </c>
      <c r="L77" s="469">
        <v>43285</v>
      </c>
      <c r="M77" s="711">
        <f t="shared" si="2"/>
        <v>9.513341804320204</v>
      </c>
      <c r="N77" s="712">
        <v>41502</v>
      </c>
    </row>
    <row r="78" spans="1:14" ht="12.75">
      <c r="A78" s="450">
        <v>77</v>
      </c>
      <c r="B78" s="705"/>
      <c r="C78" s="761" t="s">
        <v>1203</v>
      </c>
      <c r="D78" s="714" t="s">
        <v>263</v>
      </c>
      <c r="E78" s="715" t="s">
        <v>67</v>
      </c>
      <c r="F78" s="728" t="s">
        <v>1204</v>
      </c>
      <c r="G78" s="717">
        <v>41516</v>
      </c>
      <c r="H78" s="718" t="s">
        <v>59</v>
      </c>
      <c r="I78" s="719">
        <v>65</v>
      </c>
      <c r="J78" s="719">
        <v>1</v>
      </c>
      <c r="K78" s="470">
        <f>1906+397782.49</f>
        <v>399688.49</v>
      </c>
      <c r="L78" s="471">
        <f>221+39887</f>
        <v>40108</v>
      </c>
      <c r="M78" s="721">
        <f t="shared" si="2"/>
        <v>9.965305924005186</v>
      </c>
      <c r="N78" s="722">
        <v>41516</v>
      </c>
    </row>
    <row r="79" spans="1:14" ht="12.75">
      <c r="A79" s="450">
        <v>78</v>
      </c>
      <c r="B79" s="705"/>
      <c r="C79" s="760" t="s">
        <v>824</v>
      </c>
      <c r="D79" s="706" t="s">
        <v>80</v>
      </c>
      <c r="E79" s="707" t="s">
        <v>69</v>
      </c>
      <c r="F79" s="708" t="s">
        <v>825</v>
      </c>
      <c r="G79" s="725">
        <v>41390</v>
      </c>
      <c r="H79" s="710" t="s">
        <v>59</v>
      </c>
      <c r="I79" s="706">
        <v>36</v>
      </c>
      <c r="J79" s="706">
        <v>16</v>
      </c>
      <c r="K79" s="472">
        <f>16644+132733.09+77084.07+35386.19+45062.05+10556.44+12658.5+15306.91+12950.62+11732+5610+1490+2710.72+5329.72+5684+2214+192</f>
        <v>393344.30999999994</v>
      </c>
      <c r="L79" s="473">
        <f>1408+11323+6712+3601+5471+1406+2076+2109+1689+1569+741+218+401+669+764+305+32</f>
        <v>40494</v>
      </c>
      <c r="M79" s="711">
        <f t="shared" si="2"/>
        <v>9.713644243591641</v>
      </c>
      <c r="N79" s="712">
        <v>41495</v>
      </c>
    </row>
    <row r="80" spans="1:14" ht="12.75">
      <c r="A80" s="450">
        <v>79</v>
      </c>
      <c r="B80" s="705"/>
      <c r="C80" s="765" t="s">
        <v>797</v>
      </c>
      <c r="D80" s="706" t="s">
        <v>799</v>
      </c>
      <c r="E80" s="706" t="s">
        <v>284</v>
      </c>
      <c r="F80" s="710" t="s">
        <v>798</v>
      </c>
      <c r="G80" s="725">
        <v>41383</v>
      </c>
      <c r="H80" s="710" t="s">
        <v>244</v>
      </c>
      <c r="I80" s="706">
        <v>50</v>
      </c>
      <c r="J80" s="730">
        <v>9</v>
      </c>
      <c r="K80" s="466">
        <v>365021</v>
      </c>
      <c r="L80" s="467">
        <v>37899</v>
      </c>
      <c r="M80" s="711">
        <f t="shared" si="2"/>
        <v>9.631415076914958</v>
      </c>
      <c r="N80" s="712">
        <v>41446</v>
      </c>
    </row>
    <row r="81" spans="1:14" ht="12.75">
      <c r="A81" s="450">
        <v>80</v>
      </c>
      <c r="B81" s="705" t="s">
        <v>48</v>
      </c>
      <c r="C81" s="763" t="s">
        <v>847</v>
      </c>
      <c r="D81" s="710" t="s">
        <v>848</v>
      </c>
      <c r="E81" s="710"/>
      <c r="F81" s="710" t="s">
        <v>847</v>
      </c>
      <c r="G81" s="725">
        <v>41397</v>
      </c>
      <c r="H81" s="710" t="s">
        <v>46</v>
      </c>
      <c r="I81" s="706">
        <v>85</v>
      </c>
      <c r="J81" s="706">
        <v>12</v>
      </c>
      <c r="K81" s="466">
        <v>363941.49</v>
      </c>
      <c r="L81" s="467">
        <v>42462</v>
      </c>
      <c r="M81" s="711">
        <f t="shared" si="2"/>
        <v>8.57099265225378</v>
      </c>
      <c r="N81" s="712">
        <v>41502</v>
      </c>
    </row>
    <row r="82" spans="1:14" ht="12.75">
      <c r="A82" s="450">
        <v>81</v>
      </c>
      <c r="B82" s="705"/>
      <c r="C82" s="761" t="s">
        <v>759</v>
      </c>
      <c r="D82" s="714" t="s">
        <v>332</v>
      </c>
      <c r="E82" s="715" t="s">
        <v>81</v>
      </c>
      <c r="F82" s="728" t="s">
        <v>760</v>
      </c>
      <c r="G82" s="727">
        <v>41369</v>
      </c>
      <c r="H82" s="718" t="s">
        <v>59</v>
      </c>
      <c r="I82" s="719">
        <v>36</v>
      </c>
      <c r="J82" s="719">
        <v>22</v>
      </c>
      <c r="K82" s="470">
        <f>89916.47+42311.77+18933.34+26683.66+14917+35240.5+21799+13144.5+17512+10760+10745.58+6090+6987.47+11843.28+3155.5+813+12098.58+2010.36+4358.72+3416+2586+628</f>
        <v>355950.73</v>
      </c>
      <c r="L82" s="471">
        <f>7966+3957+2100+3063+1894+4874+2790+1661+2701+1662+1555+871+986+1460+428+136+1440+225+505+391+294+79</f>
        <v>41038</v>
      </c>
      <c r="M82" s="721">
        <f t="shared" si="2"/>
        <v>8.673686095813636</v>
      </c>
      <c r="N82" s="722">
        <v>41516</v>
      </c>
    </row>
    <row r="83" spans="1:14" ht="12.75">
      <c r="A83" s="450">
        <v>82</v>
      </c>
      <c r="B83" s="740"/>
      <c r="C83" s="767" t="s">
        <v>748</v>
      </c>
      <c r="D83" s="741" t="s">
        <v>749</v>
      </c>
      <c r="E83" s="742" t="s">
        <v>382</v>
      </c>
      <c r="F83" s="741" t="s">
        <v>8</v>
      </c>
      <c r="G83" s="743">
        <v>41362</v>
      </c>
      <c r="H83" s="744" t="s">
        <v>8</v>
      </c>
      <c r="I83" s="745">
        <v>52</v>
      </c>
      <c r="J83" s="741">
        <v>10</v>
      </c>
      <c r="K83" s="468">
        <v>355010</v>
      </c>
      <c r="L83" s="469">
        <v>36445</v>
      </c>
      <c r="M83" s="746">
        <v>9.740979558238442</v>
      </c>
      <c r="N83" s="747">
        <v>41425</v>
      </c>
    </row>
    <row r="84" spans="1:14" ht="12.75">
      <c r="A84" s="450">
        <v>83</v>
      </c>
      <c r="B84" s="705"/>
      <c r="C84" s="761" t="s">
        <v>1088</v>
      </c>
      <c r="D84" s="714" t="s">
        <v>1090</v>
      </c>
      <c r="E84" s="715" t="s">
        <v>67</v>
      </c>
      <c r="F84" s="728" t="s">
        <v>1089</v>
      </c>
      <c r="G84" s="717">
        <v>41406</v>
      </c>
      <c r="H84" s="718" t="s">
        <v>59</v>
      </c>
      <c r="I84" s="719">
        <v>65</v>
      </c>
      <c r="J84" s="719">
        <v>8</v>
      </c>
      <c r="K84" s="470">
        <f>147229.49+122928.77+49411.65+3998.29+10081+3481.88+3502.5+2210</f>
        <v>342843.58</v>
      </c>
      <c r="L84" s="471">
        <f>14018+12688+5044+496+1280+522+514+343</f>
        <v>34905</v>
      </c>
      <c r="M84" s="721">
        <f>K84/L84</f>
        <v>9.822191090101706</v>
      </c>
      <c r="N84" s="722">
        <v>41516</v>
      </c>
    </row>
    <row r="85" spans="1:14" ht="12.75">
      <c r="A85" s="450">
        <v>84</v>
      </c>
      <c r="B85" s="705"/>
      <c r="C85" s="760" t="s">
        <v>688</v>
      </c>
      <c r="D85" s="706" t="s">
        <v>71</v>
      </c>
      <c r="E85" s="707" t="s">
        <v>72</v>
      </c>
      <c r="F85" s="713" t="s">
        <v>690</v>
      </c>
      <c r="G85" s="709">
        <v>37365</v>
      </c>
      <c r="H85" s="710" t="s">
        <v>12</v>
      </c>
      <c r="I85" s="706">
        <v>65</v>
      </c>
      <c r="J85" s="706">
        <v>9</v>
      </c>
      <c r="K85" s="466">
        <v>335378</v>
      </c>
      <c r="L85" s="467">
        <v>27239</v>
      </c>
      <c r="M85" s="711">
        <f>K85/L85</f>
        <v>12.312419692352876</v>
      </c>
      <c r="N85" s="712">
        <v>41390</v>
      </c>
    </row>
    <row r="86" spans="1:14" ht="12.75">
      <c r="A86" s="450">
        <v>85</v>
      </c>
      <c r="B86" s="723"/>
      <c r="C86" s="766" t="s">
        <v>817</v>
      </c>
      <c r="D86" s="733" t="s">
        <v>309</v>
      </c>
      <c r="E86" s="714" t="s">
        <v>400</v>
      </c>
      <c r="F86" s="733" t="s">
        <v>818</v>
      </c>
      <c r="G86" s="727">
        <v>41390</v>
      </c>
      <c r="H86" s="718" t="s">
        <v>8</v>
      </c>
      <c r="I86" s="734">
        <v>30</v>
      </c>
      <c r="J86" s="735">
        <v>16</v>
      </c>
      <c r="K86" s="470">
        <v>331506</v>
      </c>
      <c r="L86" s="471">
        <v>27343</v>
      </c>
      <c r="M86" s="721">
        <f>K86/L86</f>
        <v>12.123980543466335</v>
      </c>
      <c r="N86" s="722">
        <v>41516</v>
      </c>
    </row>
    <row r="87" spans="1:14" ht="12.75">
      <c r="A87" s="450">
        <v>86</v>
      </c>
      <c r="B87" s="705"/>
      <c r="C87" s="761" t="s">
        <v>1157</v>
      </c>
      <c r="D87" s="714" t="s">
        <v>1159</v>
      </c>
      <c r="E87" s="715" t="s">
        <v>69</v>
      </c>
      <c r="F87" s="728" t="s">
        <v>1158</v>
      </c>
      <c r="G87" s="717">
        <v>41495</v>
      </c>
      <c r="H87" s="718" t="s">
        <v>59</v>
      </c>
      <c r="I87" s="719">
        <v>56</v>
      </c>
      <c r="J87" s="719">
        <v>5</v>
      </c>
      <c r="K87" s="470">
        <f>2498+159085.99+88246.35+42853.84+26406.58</f>
        <v>319090.76</v>
      </c>
      <c r="L87" s="471">
        <f>172+14037+8194+4707+3214</f>
        <v>30324</v>
      </c>
      <c r="M87" s="721">
        <f>K87/L87</f>
        <v>10.522713362353253</v>
      </c>
      <c r="N87" s="722">
        <v>41516</v>
      </c>
    </row>
    <row r="88" spans="1:14" ht="12.75">
      <c r="A88" s="450">
        <v>87</v>
      </c>
      <c r="B88" s="705"/>
      <c r="C88" s="760" t="s">
        <v>718</v>
      </c>
      <c r="D88" s="706" t="s">
        <v>719</v>
      </c>
      <c r="E88" s="707" t="s">
        <v>65</v>
      </c>
      <c r="F88" s="708" t="s">
        <v>720</v>
      </c>
      <c r="G88" s="709">
        <v>41348</v>
      </c>
      <c r="H88" s="710" t="s">
        <v>59</v>
      </c>
      <c r="I88" s="706">
        <v>56</v>
      </c>
      <c r="J88" s="706">
        <v>18</v>
      </c>
      <c r="K88" s="472">
        <f>105311.24+58117.77+9232.5+8779+9716.97+15255.5+6847+6895.88+8613+17804.5+9634.58+5379+23010.47+10333.81+2108+5089+6661+1471.5</f>
        <v>310260.72000000003</v>
      </c>
      <c r="L88" s="473">
        <f>10267+5913+1202+1209+1227+2095+1025+956+965+2292+1318+712+2898+1446+334+726+855+179</f>
        <v>35619</v>
      </c>
      <c r="M88" s="711">
        <f>K88/L88</f>
        <v>8.71053988040091</v>
      </c>
      <c r="N88" s="712">
        <v>41467</v>
      </c>
    </row>
    <row r="89" spans="1:14" ht="12.75">
      <c r="A89" s="450">
        <v>88</v>
      </c>
      <c r="B89" s="748"/>
      <c r="C89" s="768" t="s">
        <v>602</v>
      </c>
      <c r="D89" s="742" t="s">
        <v>605</v>
      </c>
      <c r="E89" s="744" t="s">
        <v>604</v>
      </c>
      <c r="F89" s="744" t="s">
        <v>603</v>
      </c>
      <c r="G89" s="743">
        <v>41278</v>
      </c>
      <c r="H89" s="744" t="s">
        <v>139</v>
      </c>
      <c r="I89" s="742">
        <v>46</v>
      </c>
      <c r="J89" s="742">
        <v>17</v>
      </c>
      <c r="K89" s="749">
        <v>295304.14999999997</v>
      </c>
      <c r="L89" s="750">
        <v>29956</v>
      </c>
      <c r="M89" s="746">
        <v>9.857929963947122</v>
      </c>
      <c r="N89" s="747">
        <v>41425</v>
      </c>
    </row>
    <row r="90" spans="1:14" ht="12.75">
      <c r="A90" s="450">
        <v>89</v>
      </c>
      <c r="B90" s="705"/>
      <c r="C90" s="760" t="s">
        <v>650</v>
      </c>
      <c r="D90" s="706" t="s">
        <v>652</v>
      </c>
      <c r="E90" s="707" t="s">
        <v>65</v>
      </c>
      <c r="F90" s="708" t="s">
        <v>651</v>
      </c>
      <c r="G90" s="709">
        <v>41313</v>
      </c>
      <c r="H90" s="710" t="s">
        <v>59</v>
      </c>
      <c r="I90" s="706">
        <v>30</v>
      </c>
      <c r="J90" s="706">
        <v>4</v>
      </c>
      <c r="K90" s="472">
        <f>245560.84+37711.96+5196.46+1930</f>
        <v>290399.26</v>
      </c>
      <c r="L90" s="473">
        <f>20614+2887+433+167</f>
        <v>24101</v>
      </c>
      <c r="M90" s="711">
        <f aca="true" t="shared" si="3" ref="M90:M121">K90/L90</f>
        <v>12.049261856354509</v>
      </c>
      <c r="N90" s="712">
        <v>41341</v>
      </c>
    </row>
    <row r="91" spans="1:14" ht="12.75">
      <c r="A91" s="450">
        <v>90</v>
      </c>
      <c r="B91" s="705"/>
      <c r="C91" s="761" t="s">
        <v>1097</v>
      </c>
      <c r="D91" s="716" t="s">
        <v>70</v>
      </c>
      <c r="E91" s="715" t="s">
        <v>72</v>
      </c>
      <c r="F91" s="716" t="s">
        <v>1098</v>
      </c>
      <c r="G91" s="727">
        <v>41467</v>
      </c>
      <c r="H91" s="718" t="s">
        <v>12</v>
      </c>
      <c r="I91" s="719">
        <v>24</v>
      </c>
      <c r="J91" s="719">
        <v>8</v>
      </c>
      <c r="K91" s="540">
        <v>286244</v>
      </c>
      <c r="L91" s="546">
        <v>24893</v>
      </c>
      <c r="M91" s="721">
        <f t="shared" si="3"/>
        <v>11.498975615634917</v>
      </c>
      <c r="N91" s="722">
        <v>41516</v>
      </c>
    </row>
    <row r="92" spans="1:14" ht="12.75">
      <c r="A92" s="450">
        <v>91</v>
      </c>
      <c r="B92" s="723"/>
      <c r="C92" s="766" t="s">
        <v>936</v>
      </c>
      <c r="D92" s="733" t="s">
        <v>749</v>
      </c>
      <c r="E92" s="714" t="s">
        <v>240</v>
      </c>
      <c r="F92" s="733" t="s">
        <v>937</v>
      </c>
      <c r="G92" s="727">
        <v>41425</v>
      </c>
      <c r="H92" s="718" t="s">
        <v>8</v>
      </c>
      <c r="I92" s="734">
        <v>16</v>
      </c>
      <c r="J92" s="735">
        <v>14</v>
      </c>
      <c r="K92" s="470">
        <v>283511</v>
      </c>
      <c r="L92" s="471">
        <v>26988</v>
      </c>
      <c r="M92" s="721">
        <f t="shared" si="3"/>
        <v>10.505076330220838</v>
      </c>
      <c r="N92" s="722">
        <v>41516</v>
      </c>
    </row>
    <row r="93" spans="1:14" ht="12.75">
      <c r="A93" s="450">
        <v>92</v>
      </c>
      <c r="B93" s="705"/>
      <c r="C93" s="765" t="s">
        <v>631</v>
      </c>
      <c r="D93" s="706" t="s">
        <v>632</v>
      </c>
      <c r="E93" s="706" t="s">
        <v>236</v>
      </c>
      <c r="F93" s="736" t="s">
        <v>631</v>
      </c>
      <c r="G93" s="709">
        <v>41299</v>
      </c>
      <c r="H93" s="710" t="s">
        <v>151</v>
      </c>
      <c r="I93" s="730">
        <v>42</v>
      </c>
      <c r="J93" s="706">
        <v>15</v>
      </c>
      <c r="K93" s="751">
        <v>275733.27</v>
      </c>
      <c r="L93" s="752">
        <v>28042</v>
      </c>
      <c r="M93" s="711">
        <f t="shared" si="3"/>
        <v>9.832867484487554</v>
      </c>
      <c r="N93" s="712">
        <v>41397</v>
      </c>
    </row>
    <row r="94" spans="1:14" ht="12.75">
      <c r="A94" s="450">
        <v>93</v>
      </c>
      <c r="B94" s="705"/>
      <c r="C94" s="760" t="s">
        <v>702</v>
      </c>
      <c r="D94" s="706" t="s">
        <v>710</v>
      </c>
      <c r="E94" s="707" t="s">
        <v>65</v>
      </c>
      <c r="F94" s="708" t="s">
        <v>703</v>
      </c>
      <c r="G94" s="709">
        <v>41341</v>
      </c>
      <c r="H94" s="710" t="s">
        <v>59</v>
      </c>
      <c r="I94" s="706">
        <v>22</v>
      </c>
      <c r="J94" s="706">
        <v>19</v>
      </c>
      <c r="K94" s="472">
        <f>131015.14+79925.3+16649+1025+6099+3288.5+3544+6184.5+4106.5+3609+5832+332+1365+2483.02+479+1153+2851+533+166</f>
        <v>270639.96</v>
      </c>
      <c r="L94" s="473">
        <f>9993+6019+1229+123+768+363+475+643+475+493+835+60+205+354+65+160+404+66+21</f>
        <v>22751</v>
      </c>
      <c r="M94" s="711">
        <f t="shared" si="3"/>
        <v>11.89573908839172</v>
      </c>
      <c r="N94" s="712">
        <v>41474</v>
      </c>
    </row>
    <row r="95" spans="1:14" ht="12.75">
      <c r="A95" s="450">
        <v>94</v>
      </c>
      <c r="B95" s="705"/>
      <c r="C95" s="763" t="s">
        <v>808</v>
      </c>
      <c r="D95" s="710" t="s">
        <v>813</v>
      </c>
      <c r="E95" s="710" t="s">
        <v>811</v>
      </c>
      <c r="F95" s="710" t="s">
        <v>812</v>
      </c>
      <c r="G95" s="725">
        <v>41390</v>
      </c>
      <c r="H95" s="710" t="s">
        <v>46</v>
      </c>
      <c r="I95" s="706">
        <v>40</v>
      </c>
      <c r="J95" s="706">
        <v>12</v>
      </c>
      <c r="K95" s="466">
        <v>269659.25</v>
      </c>
      <c r="L95" s="467">
        <v>24866</v>
      </c>
      <c r="M95" s="711">
        <f t="shared" si="3"/>
        <v>10.844496501246683</v>
      </c>
      <c r="N95" s="712">
        <v>41467</v>
      </c>
    </row>
    <row r="96" spans="1:14" ht="12.75">
      <c r="A96" s="450">
        <v>95</v>
      </c>
      <c r="B96" s="705"/>
      <c r="C96" s="765" t="s">
        <v>648</v>
      </c>
      <c r="D96" s="706" t="s">
        <v>676</v>
      </c>
      <c r="E96" s="706" t="s">
        <v>236</v>
      </c>
      <c r="F96" s="736" t="s">
        <v>648</v>
      </c>
      <c r="G96" s="709">
        <v>41313</v>
      </c>
      <c r="H96" s="710" t="s">
        <v>151</v>
      </c>
      <c r="I96" s="730">
        <v>46</v>
      </c>
      <c r="J96" s="706">
        <v>10</v>
      </c>
      <c r="K96" s="466">
        <v>265392.2</v>
      </c>
      <c r="L96" s="467">
        <v>21377</v>
      </c>
      <c r="M96" s="711">
        <f t="shared" si="3"/>
        <v>12.4148477335454</v>
      </c>
      <c r="N96" s="712">
        <v>41404</v>
      </c>
    </row>
    <row r="97" spans="1:14" ht="12.75">
      <c r="A97" s="450">
        <v>96</v>
      </c>
      <c r="B97" s="705"/>
      <c r="C97" s="765" t="s">
        <v>754</v>
      </c>
      <c r="D97" s="706" t="s">
        <v>761</v>
      </c>
      <c r="E97" s="706" t="s">
        <v>755</v>
      </c>
      <c r="F97" s="710" t="s">
        <v>756</v>
      </c>
      <c r="G97" s="725">
        <v>41369</v>
      </c>
      <c r="H97" s="710" t="s">
        <v>244</v>
      </c>
      <c r="I97" s="706">
        <v>40</v>
      </c>
      <c r="J97" s="730">
        <v>11</v>
      </c>
      <c r="K97" s="472">
        <v>264803</v>
      </c>
      <c r="L97" s="473">
        <v>32515</v>
      </c>
      <c r="M97" s="711">
        <f t="shared" si="3"/>
        <v>8.144025834230355</v>
      </c>
      <c r="N97" s="712">
        <v>41446</v>
      </c>
    </row>
    <row r="98" spans="1:14" ht="12.75">
      <c r="A98" s="450">
        <v>97</v>
      </c>
      <c r="B98" s="705"/>
      <c r="C98" s="764" t="s">
        <v>1104</v>
      </c>
      <c r="D98" s="714" t="s">
        <v>975</v>
      </c>
      <c r="E98" s="718" t="s">
        <v>313</v>
      </c>
      <c r="F98" s="718" t="s">
        <v>1105</v>
      </c>
      <c r="G98" s="727">
        <v>41474</v>
      </c>
      <c r="H98" s="718" t="s">
        <v>139</v>
      </c>
      <c r="I98" s="719">
        <v>15</v>
      </c>
      <c r="J98" s="719">
        <v>7</v>
      </c>
      <c r="K98" s="540">
        <v>263712.05</v>
      </c>
      <c r="L98" s="546">
        <v>22444</v>
      </c>
      <c r="M98" s="721">
        <f t="shared" si="3"/>
        <v>11.749779451078238</v>
      </c>
      <c r="N98" s="722">
        <v>41516</v>
      </c>
    </row>
    <row r="99" spans="1:14" ht="12.75">
      <c r="A99" s="450">
        <v>98</v>
      </c>
      <c r="B99" s="705"/>
      <c r="C99" s="760" t="s">
        <v>796</v>
      </c>
      <c r="D99" s="706" t="s">
        <v>793</v>
      </c>
      <c r="E99" s="707" t="s">
        <v>79</v>
      </c>
      <c r="F99" s="713" t="s">
        <v>792</v>
      </c>
      <c r="G99" s="709">
        <v>41383</v>
      </c>
      <c r="H99" s="710" t="s">
        <v>12</v>
      </c>
      <c r="I99" s="706">
        <v>73</v>
      </c>
      <c r="J99" s="706">
        <v>9</v>
      </c>
      <c r="K99" s="466">
        <v>260248</v>
      </c>
      <c r="L99" s="467">
        <v>24350</v>
      </c>
      <c r="M99" s="711">
        <f t="shared" si="3"/>
        <v>10.687802874743326</v>
      </c>
      <c r="N99" s="712">
        <v>41439</v>
      </c>
    </row>
    <row r="100" spans="1:14" ht="12.75">
      <c r="A100" s="450">
        <v>99</v>
      </c>
      <c r="B100" s="705" t="s">
        <v>48</v>
      </c>
      <c r="C100" s="764" t="s">
        <v>1179</v>
      </c>
      <c r="D100" s="718" t="s">
        <v>1180</v>
      </c>
      <c r="E100" s="718"/>
      <c r="F100" s="718" t="s">
        <v>1179</v>
      </c>
      <c r="G100" s="717">
        <v>41502</v>
      </c>
      <c r="H100" s="718" t="s">
        <v>47</v>
      </c>
      <c r="I100" s="719">
        <v>56</v>
      </c>
      <c r="J100" s="734">
        <v>3</v>
      </c>
      <c r="K100" s="540">
        <f>114504.36+84148+54773.58</f>
        <v>253425.94</v>
      </c>
      <c r="L100" s="546">
        <f>13567+10129+6963</f>
        <v>30659</v>
      </c>
      <c r="M100" s="721">
        <f t="shared" si="3"/>
        <v>8.265955836785283</v>
      </c>
      <c r="N100" s="722">
        <v>41516</v>
      </c>
    </row>
    <row r="101" spans="1:14" ht="12.75">
      <c r="A101" s="450">
        <v>100</v>
      </c>
      <c r="B101" s="723"/>
      <c r="C101" s="762" t="s">
        <v>736</v>
      </c>
      <c r="D101" s="724" t="s">
        <v>353</v>
      </c>
      <c r="E101" s="706" t="s">
        <v>400</v>
      </c>
      <c r="F101" s="724" t="s">
        <v>737</v>
      </c>
      <c r="G101" s="725">
        <v>41355</v>
      </c>
      <c r="H101" s="710" t="s">
        <v>8</v>
      </c>
      <c r="I101" s="726">
        <v>10</v>
      </c>
      <c r="J101" s="724">
        <v>17</v>
      </c>
      <c r="K101" s="468">
        <v>251068</v>
      </c>
      <c r="L101" s="469">
        <v>19568</v>
      </c>
      <c r="M101" s="711">
        <f t="shared" si="3"/>
        <v>12.830539656582175</v>
      </c>
      <c r="N101" s="712">
        <v>41488</v>
      </c>
    </row>
    <row r="102" spans="1:14" ht="12.75">
      <c r="A102" s="450">
        <v>101</v>
      </c>
      <c r="B102" s="723"/>
      <c r="C102" s="762" t="s">
        <v>612</v>
      </c>
      <c r="D102" s="724" t="s">
        <v>616</v>
      </c>
      <c r="E102" s="706" t="s">
        <v>400</v>
      </c>
      <c r="F102" s="724" t="s">
        <v>614</v>
      </c>
      <c r="G102" s="725">
        <v>41285</v>
      </c>
      <c r="H102" s="710" t="s">
        <v>8</v>
      </c>
      <c r="I102" s="726">
        <v>20</v>
      </c>
      <c r="J102" s="724">
        <v>10</v>
      </c>
      <c r="K102" s="472">
        <v>251045</v>
      </c>
      <c r="L102" s="473">
        <v>19221</v>
      </c>
      <c r="M102" s="711">
        <f t="shared" si="3"/>
        <v>13.060974975287445</v>
      </c>
      <c r="N102" s="712">
        <v>41397</v>
      </c>
    </row>
    <row r="103" spans="1:14" ht="12.75">
      <c r="A103" s="450">
        <v>102</v>
      </c>
      <c r="B103" s="723"/>
      <c r="C103" s="766" t="s">
        <v>1046</v>
      </c>
      <c r="D103" s="733" t="s">
        <v>1049</v>
      </c>
      <c r="E103" s="714" t="s">
        <v>1047</v>
      </c>
      <c r="F103" s="733" t="s">
        <v>1048</v>
      </c>
      <c r="G103" s="727">
        <v>41453</v>
      </c>
      <c r="H103" s="718" t="s">
        <v>8</v>
      </c>
      <c r="I103" s="734">
        <v>20</v>
      </c>
      <c r="J103" s="735">
        <v>10</v>
      </c>
      <c r="K103" s="470">
        <v>235401</v>
      </c>
      <c r="L103" s="471">
        <v>22564</v>
      </c>
      <c r="M103" s="721">
        <f t="shared" si="3"/>
        <v>10.43259173905336</v>
      </c>
      <c r="N103" s="722">
        <v>41516</v>
      </c>
    </row>
    <row r="104" spans="1:14" ht="12.75">
      <c r="A104" s="450">
        <v>103</v>
      </c>
      <c r="B104" s="723"/>
      <c r="C104" s="766" t="s">
        <v>888</v>
      </c>
      <c r="D104" s="733" t="s">
        <v>890</v>
      </c>
      <c r="E104" s="714" t="s">
        <v>400</v>
      </c>
      <c r="F104" s="733" t="s">
        <v>889</v>
      </c>
      <c r="G104" s="727">
        <v>41411</v>
      </c>
      <c r="H104" s="718" t="s">
        <v>8</v>
      </c>
      <c r="I104" s="734">
        <v>30</v>
      </c>
      <c r="J104" s="735">
        <v>16</v>
      </c>
      <c r="K104" s="470">
        <v>222884</v>
      </c>
      <c r="L104" s="471">
        <v>21540</v>
      </c>
      <c r="M104" s="721">
        <f t="shared" si="3"/>
        <v>10.34744661095636</v>
      </c>
      <c r="N104" s="722">
        <v>41516</v>
      </c>
    </row>
    <row r="105" spans="1:14" ht="12.75">
      <c r="A105" s="450">
        <v>104</v>
      </c>
      <c r="B105" s="723"/>
      <c r="C105" s="766" t="s">
        <v>1194</v>
      </c>
      <c r="D105" s="733" t="s">
        <v>1195</v>
      </c>
      <c r="E105" s="714" t="s">
        <v>1196</v>
      </c>
      <c r="F105" s="733" t="s">
        <v>1193</v>
      </c>
      <c r="G105" s="727">
        <v>41509</v>
      </c>
      <c r="H105" s="718" t="s">
        <v>8</v>
      </c>
      <c r="I105" s="734">
        <v>30</v>
      </c>
      <c r="J105" s="735">
        <v>2</v>
      </c>
      <c r="K105" s="470">
        <v>220582</v>
      </c>
      <c r="L105" s="471">
        <v>19661</v>
      </c>
      <c r="M105" s="721">
        <f t="shared" si="3"/>
        <v>11.219266568333248</v>
      </c>
      <c r="N105" s="722">
        <v>41516</v>
      </c>
    </row>
    <row r="106" spans="1:14" ht="12.75">
      <c r="A106" s="450">
        <v>105</v>
      </c>
      <c r="B106" s="705" t="s">
        <v>48</v>
      </c>
      <c r="C106" s="764" t="s">
        <v>1124</v>
      </c>
      <c r="D106" s="718" t="s">
        <v>1125</v>
      </c>
      <c r="E106" s="718"/>
      <c r="F106" s="718" t="s">
        <v>1124</v>
      </c>
      <c r="G106" s="717">
        <v>41481</v>
      </c>
      <c r="H106" s="718" t="s">
        <v>47</v>
      </c>
      <c r="I106" s="719">
        <v>36</v>
      </c>
      <c r="J106" s="734">
        <v>6</v>
      </c>
      <c r="K106" s="540">
        <f>75791.5+45396.5+46241.25+26225.58+16734.29+9874</f>
        <v>220263.12000000002</v>
      </c>
      <c r="L106" s="546">
        <f>7928+4962+5981+3263+2099+1161</f>
        <v>25394</v>
      </c>
      <c r="M106" s="721">
        <f t="shared" si="3"/>
        <v>8.673825313066079</v>
      </c>
      <c r="N106" s="722">
        <v>41516</v>
      </c>
    </row>
    <row r="107" spans="1:14" ht="12.75">
      <c r="A107" s="450">
        <v>106</v>
      </c>
      <c r="B107" s="705"/>
      <c r="C107" s="764" t="s">
        <v>1011</v>
      </c>
      <c r="D107" s="714" t="s">
        <v>1012</v>
      </c>
      <c r="E107" s="718" t="s">
        <v>313</v>
      </c>
      <c r="F107" s="718" t="s">
        <v>1013</v>
      </c>
      <c r="G107" s="727">
        <v>41439</v>
      </c>
      <c r="H107" s="718" t="s">
        <v>139</v>
      </c>
      <c r="I107" s="719">
        <v>25</v>
      </c>
      <c r="J107" s="719">
        <v>12</v>
      </c>
      <c r="K107" s="540">
        <v>216417.77000000002</v>
      </c>
      <c r="L107" s="546">
        <v>23941</v>
      </c>
      <c r="M107" s="721">
        <f t="shared" si="3"/>
        <v>9.039629505868595</v>
      </c>
      <c r="N107" s="722">
        <v>41516</v>
      </c>
    </row>
    <row r="108" spans="1:14" ht="12.75">
      <c r="A108" s="450">
        <v>107</v>
      </c>
      <c r="B108" s="705"/>
      <c r="C108" s="761" t="s">
        <v>880</v>
      </c>
      <c r="D108" s="714" t="s">
        <v>927</v>
      </c>
      <c r="E108" s="715" t="s">
        <v>81</v>
      </c>
      <c r="F108" s="728" t="s">
        <v>881</v>
      </c>
      <c r="G108" s="727">
        <v>41411</v>
      </c>
      <c r="H108" s="718" t="s">
        <v>59</v>
      </c>
      <c r="I108" s="719">
        <v>25</v>
      </c>
      <c r="J108" s="719">
        <v>16</v>
      </c>
      <c r="K108" s="470">
        <f>53825.68+18463.66+23208.46+22523.86+25321.5+9874.74+13675.88+7530.63+8956.95+6176+6892.5+3042.5+5006.6+1445+700.5+3880</f>
        <v>210524.46</v>
      </c>
      <c r="L108" s="471">
        <f>5293+2006+2872+2942+3225+1402+1749+948+1093+894+912+407+664+211+101+472</f>
        <v>25191</v>
      </c>
      <c r="M108" s="721">
        <f t="shared" si="3"/>
        <v>8.357129927355007</v>
      </c>
      <c r="N108" s="722">
        <v>41516</v>
      </c>
    </row>
    <row r="109" spans="1:14" ht="12.75">
      <c r="A109" s="450">
        <v>108</v>
      </c>
      <c r="B109" s="723"/>
      <c r="C109" s="766" t="s">
        <v>1076</v>
      </c>
      <c r="D109" s="733" t="s">
        <v>1078</v>
      </c>
      <c r="E109" s="714" t="s">
        <v>400</v>
      </c>
      <c r="F109" s="733" t="s">
        <v>1077</v>
      </c>
      <c r="G109" s="727">
        <v>41460</v>
      </c>
      <c r="H109" s="718" t="s">
        <v>8</v>
      </c>
      <c r="I109" s="734">
        <v>30</v>
      </c>
      <c r="J109" s="735">
        <v>9</v>
      </c>
      <c r="K109" s="470">
        <v>208719</v>
      </c>
      <c r="L109" s="471">
        <v>18509</v>
      </c>
      <c r="M109" s="721">
        <f t="shared" si="3"/>
        <v>11.276622183802475</v>
      </c>
      <c r="N109" s="722">
        <v>41516</v>
      </c>
    </row>
    <row r="110" spans="1:14" ht="12.75">
      <c r="A110" s="450">
        <v>109</v>
      </c>
      <c r="B110" s="705"/>
      <c r="C110" s="761" t="s">
        <v>1053</v>
      </c>
      <c r="D110" s="714" t="s">
        <v>1054</v>
      </c>
      <c r="E110" s="715" t="s">
        <v>81</v>
      </c>
      <c r="F110" s="728" t="s">
        <v>1052</v>
      </c>
      <c r="G110" s="717">
        <v>41453</v>
      </c>
      <c r="H110" s="718" t="s">
        <v>59</v>
      </c>
      <c r="I110" s="719">
        <v>22</v>
      </c>
      <c r="J110" s="719">
        <v>10</v>
      </c>
      <c r="K110" s="470">
        <f>48261.64+22456.51+12015.65+15543.81+21327.24+13750.5+30117.44+10884.5+16461.89+9292</f>
        <v>200111.18</v>
      </c>
      <c r="L110" s="471">
        <f>4870+2416+1418+1884+2629+1920+4068+1433+2012+1233</f>
        <v>23883</v>
      </c>
      <c r="M110" s="721">
        <f t="shared" si="3"/>
        <v>8.37881254448771</v>
      </c>
      <c r="N110" s="722">
        <v>41516</v>
      </c>
    </row>
    <row r="111" spans="1:14" ht="12.75">
      <c r="A111" s="450">
        <v>110</v>
      </c>
      <c r="B111" s="705"/>
      <c r="C111" s="763" t="s">
        <v>1039</v>
      </c>
      <c r="D111" s="710" t="s">
        <v>1041</v>
      </c>
      <c r="E111" s="710" t="s">
        <v>75</v>
      </c>
      <c r="F111" s="710" t="s">
        <v>1040</v>
      </c>
      <c r="G111" s="725">
        <v>41446</v>
      </c>
      <c r="H111" s="710" t="s">
        <v>46</v>
      </c>
      <c r="I111" s="706">
        <v>21</v>
      </c>
      <c r="J111" s="706">
        <v>10</v>
      </c>
      <c r="K111" s="466">
        <v>187938.49</v>
      </c>
      <c r="L111" s="467">
        <v>22199</v>
      </c>
      <c r="M111" s="711">
        <f t="shared" si="3"/>
        <v>8.466079102662281</v>
      </c>
      <c r="N111" s="712">
        <v>41509</v>
      </c>
    </row>
    <row r="112" spans="1:14" ht="12.75">
      <c r="A112" s="450">
        <v>111</v>
      </c>
      <c r="B112" s="705" t="s">
        <v>48</v>
      </c>
      <c r="C112" s="763" t="s">
        <v>704</v>
      </c>
      <c r="D112" s="710" t="s">
        <v>705</v>
      </c>
      <c r="E112" s="710"/>
      <c r="F112" s="710" t="s">
        <v>704</v>
      </c>
      <c r="G112" s="725">
        <v>41341</v>
      </c>
      <c r="H112" s="710" t="s">
        <v>46</v>
      </c>
      <c r="I112" s="706">
        <v>141</v>
      </c>
      <c r="J112" s="706">
        <v>12</v>
      </c>
      <c r="K112" s="466">
        <v>184329.11</v>
      </c>
      <c r="L112" s="467">
        <v>21450</v>
      </c>
      <c r="M112" s="711">
        <f t="shared" si="3"/>
        <v>8.593431701631701</v>
      </c>
      <c r="N112" s="712">
        <v>41509</v>
      </c>
    </row>
    <row r="113" spans="1:14" ht="12.75">
      <c r="A113" s="450">
        <v>112</v>
      </c>
      <c r="B113" s="705"/>
      <c r="C113" s="761" t="s">
        <v>904</v>
      </c>
      <c r="D113" s="714" t="s">
        <v>905</v>
      </c>
      <c r="E113" s="715" t="s">
        <v>313</v>
      </c>
      <c r="F113" s="728" t="s">
        <v>906</v>
      </c>
      <c r="G113" s="717">
        <v>41418</v>
      </c>
      <c r="H113" s="718" t="s">
        <v>59</v>
      </c>
      <c r="I113" s="719">
        <v>22</v>
      </c>
      <c r="J113" s="719">
        <v>15</v>
      </c>
      <c r="K113" s="470">
        <f>42301.45+27488.5+21349.04+30409.93+18481.11+10952.22+5759.24+3595+8467+7348.36+2517+1617.5+1024+819+898.5</f>
        <v>183027.84999999995</v>
      </c>
      <c r="L113" s="471">
        <f>4145+3094+2230+3762+2228+1398+815+487+1032+981+320+228+143+116+147</f>
        <v>21126</v>
      </c>
      <c r="M113" s="721">
        <f t="shared" si="3"/>
        <v>8.663630124017795</v>
      </c>
      <c r="N113" s="722">
        <v>41516</v>
      </c>
    </row>
    <row r="114" spans="1:14" ht="12.75">
      <c r="A114" s="450">
        <v>113</v>
      </c>
      <c r="B114" s="705"/>
      <c r="C114" s="760" t="s">
        <v>842</v>
      </c>
      <c r="D114" s="706" t="s">
        <v>843</v>
      </c>
      <c r="E114" s="707"/>
      <c r="F114" s="708" t="s">
        <v>842</v>
      </c>
      <c r="G114" s="709">
        <v>41397</v>
      </c>
      <c r="H114" s="710" t="s">
        <v>59</v>
      </c>
      <c r="I114" s="706">
        <v>57</v>
      </c>
      <c r="J114" s="706">
        <v>12</v>
      </c>
      <c r="K114" s="472">
        <f>92151.61+51942.85+10997.37+7462.5+2440+1074+1023.5+518+3564+1188+369+3564</f>
        <v>176294.83</v>
      </c>
      <c r="L114" s="473">
        <f>9717+5660+1373+1067+430+182+165+83+713+238+45+713</f>
        <v>20386</v>
      </c>
      <c r="M114" s="711">
        <f t="shared" si="3"/>
        <v>8.647838222309428</v>
      </c>
      <c r="N114" s="712">
        <v>41495</v>
      </c>
    </row>
    <row r="115" spans="1:14" ht="12.75">
      <c r="A115" s="450">
        <v>114</v>
      </c>
      <c r="B115" s="705"/>
      <c r="C115" s="769" t="s">
        <v>828</v>
      </c>
      <c r="D115" s="715" t="s">
        <v>830</v>
      </c>
      <c r="E115" s="714" t="s">
        <v>240</v>
      </c>
      <c r="F115" s="733" t="s">
        <v>829</v>
      </c>
      <c r="G115" s="727">
        <v>41397</v>
      </c>
      <c r="H115" s="718" t="s">
        <v>327</v>
      </c>
      <c r="I115" s="734">
        <v>21</v>
      </c>
      <c r="J115" s="753">
        <v>16</v>
      </c>
      <c r="K115" s="470">
        <v>169372</v>
      </c>
      <c r="L115" s="471">
        <v>14273</v>
      </c>
      <c r="M115" s="721">
        <f t="shared" si="3"/>
        <v>11.86660127513487</v>
      </c>
      <c r="N115" s="722">
        <v>41516</v>
      </c>
    </row>
    <row r="116" spans="1:14" ht="12.75">
      <c r="A116" s="450">
        <v>115</v>
      </c>
      <c r="B116" s="705"/>
      <c r="C116" s="761" t="s">
        <v>1164</v>
      </c>
      <c r="D116" s="716" t="s">
        <v>1163</v>
      </c>
      <c r="E116" s="715" t="s">
        <v>72</v>
      </c>
      <c r="F116" s="716" t="s">
        <v>1165</v>
      </c>
      <c r="G116" s="727">
        <v>41502</v>
      </c>
      <c r="H116" s="718" t="s">
        <v>12</v>
      </c>
      <c r="I116" s="719">
        <v>31</v>
      </c>
      <c r="J116" s="719">
        <v>3</v>
      </c>
      <c r="K116" s="540">
        <v>167537</v>
      </c>
      <c r="L116" s="546">
        <v>14893</v>
      </c>
      <c r="M116" s="721">
        <f t="shared" si="3"/>
        <v>11.249378902840261</v>
      </c>
      <c r="N116" s="722">
        <v>41516</v>
      </c>
    </row>
    <row r="117" spans="1:14" ht="12.75">
      <c r="A117" s="450">
        <v>116</v>
      </c>
      <c r="B117" s="705"/>
      <c r="C117" s="765" t="s">
        <v>696</v>
      </c>
      <c r="D117" s="710" t="s">
        <v>514</v>
      </c>
      <c r="E117" s="710" t="s">
        <v>377</v>
      </c>
      <c r="F117" s="710" t="s">
        <v>695</v>
      </c>
      <c r="G117" s="709">
        <v>41341</v>
      </c>
      <c r="H117" s="710" t="s">
        <v>47</v>
      </c>
      <c r="I117" s="706">
        <v>25</v>
      </c>
      <c r="J117" s="726">
        <v>9</v>
      </c>
      <c r="K117" s="466">
        <f>82974.95+51908.24+21657.08+485+1011+957.5+1829+225+192</f>
        <v>161239.77000000002</v>
      </c>
      <c r="L117" s="467">
        <f>7092+4129+1644+58+91+123+282+18+24</f>
        <v>13461</v>
      </c>
      <c r="M117" s="711">
        <f t="shared" si="3"/>
        <v>11.978290617338981</v>
      </c>
      <c r="N117" s="712">
        <v>41453</v>
      </c>
    </row>
    <row r="118" spans="1:14" ht="12.75">
      <c r="A118" s="450">
        <v>117</v>
      </c>
      <c r="B118" s="705"/>
      <c r="C118" s="760" t="s">
        <v>747</v>
      </c>
      <c r="D118" s="706" t="s">
        <v>80</v>
      </c>
      <c r="E118" s="707" t="s">
        <v>69</v>
      </c>
      <c r="F118" s="708" t="s">
        <v>747</v>
      </c>
      <c r="G118" s="709">
        <v>41362</v>
      </c>
      <c r="H118" s="710" t="s">
        <v>59</v>
      </c>
      <c r="I118" s="706">
        <v>23</v>
      </c>
      <c r="J118" s="706">
        <v>13</v>
      </c>
      <c r="K118" s="472">
        <f>8400+83886.5+43672.5+5181.5+3386+2546.2+725+5369.44+1896.41+1790.41+1544.4+78+104+1782</f>
        <v>160362.36000000002</v>
      </c>
      <c r="L118" s="473">
        <f>1680+6359+3167+346+335+267+50+980+351+329+300+12+16+356</f>
        <v>14548</v>
      </c>
      <c r="M118" s="711">
        <f t="shared" si="3"/>
        <v>11.022983227935113</v>
      </c>
      <c r="N118" s="712">
        <v>41495</v>
      </c>
    </row>
    <row r="119" spans="1:14" ht="12.75">
      <c r="A119" s="450">
        <v>118</v>
      </c>
      <c r="B119" s="705"/>
      <c r="C119" s="760" t="s">
        <v>864</v>
      </c>
      <c r="D119" s="706" t="s">
        <v>475</v>
      </c>
      <c r="E119" s="707" t="s">
        <v>81</v>
      </c>
      <c r="F119" s="708" t="s">
        <v>865</v>
      </c>
      <c r="G119" s="709">
        <v>41404</v>
      </c>
      <c r="H119" s="710" t="s">
        <v>59</v>
      </c>
      <c r="I119" s="706">
        <v>15</v>
      </c>
      <c r="J119" s="706">
        <v>14</v>
      </c>
      <c r="K119" s="472">
        <f>68427.53+37839.97+11338.7+3629+11577.5+3858.58+2044.36+2146.36+4546+1881.5+233+3874.07+1280+823+819</f>
        <v>154318.56999999998</v>
      </c>
      <c r="L119" s="473">
        <f>5183+2916+1079+434+1567+513+278+301+501+243+38+387+135+85+108</f>
        <v>13768</v>
      </c>
      <c r="M119" s="711">
        <f t="shared" si="3"/>
        <v>11.208495787332945</v>
      </c>
      <c r="N119" s="712">
        <v>41509</v>
      </c>
    </row>
    <row r="120" spans="1:14" ht="12.75">
      <c r="A120" s="450">
        <v>119</v>
      </c>
      <c r="B120" s="723"/>
      <c r="C120" s="762" t="s">
        <v>642</v>
      </c>
      <c r="D120" s="724" t="s">
        <v>237</v>
      </c>
      <c r="E120" s="706" t="s">
        <v>400</v>
      </c>
      <c r="F120" s="724" t="s">
        <v>643</v>
      </c>
      <c r="G120" s="725">
        <v>41306</v>
      </c>
      <c r="H120" s="710" t="s">
        <v>8</v>
      </c>
      <c r="I120" s="726">
        <v>35</v>
      </c>
      <c r="J120" s="724">
        <v>7</v>
      </c>
      <c r="K120" s="468">
        <v>154115</v>
      </c>
      <c r="L120" s="469">
        <v>11597</v>
      </c>
      <c r="M120" s="711">
        <f t="shared" si="3"/>
        <v>13.289212727429508</v>
      </c>
      <c r="N120" s="712">
        <v>41390</v>
      </c>
    </row>
    <row r="121" spans="1:14" ht="12.75">
      <c r="A121" s="450">
        <v>120</v>
      </c>
      <c r="B121" s="723"/>
      <c r="C121" s="763" t="s">
        <v>857</v>
      </c>
      <c r="D121" s="707" t="s">
        <v>872</v>
      </c>
      <c r="E121" s="706" t="s">
        <v>859</v>
      </c>
      <c r="F121" s="724" t="s">
        <v>873</v>
      </c>
      <c r="G121" s="725">
        <v>41404</v>
      </c>
      <c r="H121" s="710" t="s">
        <v>327</v>
      </c>
      <c r="I121" s="726">
        <v>32</v>
      </c>
      <c r="J121" s="724">
        <v>13</v>
      </c>
      <c r="K121" s="468">
        <v>153693</v>
      </c>
      <c r="L121" s="469">
        <v>17330</v>
      </c>
      <c r="M121" s="711">
        <f t="shared" si="3"/>
        <v>8.86860934795153</v>
      </c>
      <c r="N121" s="712">
        <v>41495</v>
      </c>
    </row>
    <row r="122" spans="1:14" ht="12.75">
      <c r="A122" s="450">
        <v>121</v>
      </c>
      <c r="B122" s="705"/>
      <c r="C122" s="765" t="s">
        <v>764</v>
      </c>
      <c r="D122" s="706" t="s">
        <v>766</v>
      </c>
      <c r="E122" s="710" t="s">
        <v>313</v>
      </c>
      <c r="F122" s="710" t="s">
        <v>765</v>
      </c>
      <c r="G122" s="725">
        <v>41369</v>
      </c>
      <c r="H122" s="710" t="s">
        <v>139</v>
      </c>
      <c r="I122" s="706">
        <v>25</v>
      </c>
      <c r="J122" s="706">
        <v>13</v>
      </c>
      <c r="K122" s="466">
        <v>151551.07</v>
      </c>
      <c r="L122" s="467">
        <v>14497</v>
      </c>
      <c r="M122" s="711">
        <f aca="true" t="shared" si="4" ref="M122:M153">K122/L122</f>
        <v>10.453960819479892</v>
      </c>
      <c r="N122" s="712">
        <v>41481</v>
      </c>
    </row>
    <row r="123" spans="1:14" ht="12.75">
      <c r="A123" s="450">
        <v>122</v>
      </c>
      <c r="B123" s="705" t="s">
        <v>48</v>
      </c>
      <c r="C123" s="769" t="s">
        <v>883</v>
      </c>
      <c r="D123" s="718" t="s">
        <v>885</v>
      </c>
      <c r="E123" s="718"/>
      <c r="F123" s="718" t="s">
        <v>883</v>
      </c>
      <c r="G123" s="727">
        <v>41411</v>
      </c>
      <c r="H123" s="718" t="s">
        <v>46</v>
      </c>
      <c r="I123" s="719">
        <v>100</v>
      </c>
      <c r="J123" s="719">
        <v>13</v>
      </c>
      <c r="K123" s="540">
        <v>151331.47</v>
      </c>
      <c r="L123" s="546">
        <v>17873</v>
      </c>
      <c r="M123" s="721">
        <f t="shared" si="4"/>
        <v>8.467043585296256</v>
      </c>
      <c r="N123" s="722">
        <v>41516</v>
      </c>
    </row>
    <row r="124" spans="1:14" ht="12.75">
      <c r="A124" s="450">
        <v>123</v>
      </c>
      <c r="B124" s="723"/>
      <c r="C124" s="766" t="s">
        <v>1018</v>
      </c>
      <c r="D124" s="733" t="s">
        <v>334</v>
      </c>
      <c r="E124" s="714" t="s">
        <v>92</v>
      </c>
      <c r="F124" s="733" t="s">
        <v>1019</v>
      </c>
      <c r="G124" s="727">
        <v>41439</v>
      </c>
      <c r="H124" s="718" t="s">
        <v>8</v>
      </c>
      <c r="I124" s="734">
        <v>35</v>
      </c>
      <c r="J124" s="735">
        <v>12</v>
      </c>
      <c r="K124" s="470">
        <v>148902</v>
      </c>
      <c r="L124" s="471">
        <v>14542</v>
      </c>
      <c r="M124" s="721">
        <f t="shared" si="4"/>
        <v>10.23944436803741</v>
      </c>
      <c r="N124" s="722">
        <v>41516</v>
      </c>
    </row>
    <row r="125" spans="1:14" ht="12.75">
      <c r="A125" s="450">
        <v>124</v>
      </c>
      <c r="B125" s="723"/>
      <c r="C125" s="769" t="s">
        <v>1115</v>
      </c>
      <c r="D125" s="715" t="s">
        <v>963</v>
      </c>
      <c r="E125" s="714" t="s">
        <v>1047</v>
      </c>
      <c r="F125" s="733" t="s">
        <v>1116</v>
      </c>
      <c r="G125" s="727">
        <v>41474</v>
      </c>
      <c r="H125" s="718" t="s">
        <v>327</v>
      </c>
      <c r="I125" s="734">
        <v>18</v>
      </c>
      <c r="J125" s="735">
        <v>7</v>
      </c>
      <c r="K125" s="470">
        <v>143030</v>
      </c>
      <c r="L125" s="471">
        <v>12446</v>
      </c>
      <c r="M125" s="721">
        <f t="shared" si="4"/>
        <v>11.492045637152499</v>
      </c>
      <c r="N125" s="722">
        <v>41516</v>
      </c>
    </row>
    <row r="126" spans="1:14" ht="12.75">
      <c r="A126" s="450">
        <v>125</v>
      </c>
      <c r="B126" s="705"/>
      <c r="C126" s="760" t="s">
        <v>862</v>
      </c>
      <c r="D126" s="706" t="s">
        <v>66</v>
      </c>
      <c r="E126" s="707" t="s">
        <v>72</v>
      </c>
      <c r="F126" s="713" t="s">
        <v>863</v>
      </c>
      <c r="G126" s="709">
        <v>41404</v>
      </c>
      <c r="H126" s="710" t="s">
        <v>12</v>
      </c>
      <c r="I126" s="706">
        <v>20</v>
      </c>
      <c r="J126" s="706">
        <v>12</v>
      </c>
      <c r="K126" s="466">
        <v>143013</v>
      </c>
      <c r="L126" s="467">
        <v>12203</v>
      </c>
      <c r="M126" s="711">
        <f t="shared" si="4"/>
        <v>11.71949520609686</v>
      </c>
      <c r="N126" s="712">
        <v>41481</v>
      </c>
    </row>
    <row r="127" spans="1:14" ht="12.75">
      <c r="A127" s="450">
        <v>126</v>
      </c>
      <c r="B127" s="705"/>
      <c r="C127" s="764" t="s">
        <v>1188</v>
      </c>
      <c r="D127" s="714" t="s">
        <v>1190</v>
      </c>
      <c r="E127" s="718" t="s">
        <v>313</v>
      </c>
      <c r="F127" s="718" t="s">
        <v>1189</v>
      </c>
      <c r="G127" s="727">
        <v>41509</v>
      </c>
      <c r="H127" s="718" t="s">
        <v>139</v>
      </c>
      <c r="I127" s="719">
        <v>20</v>
      </c>
      <c r="J127" s="719">
        <v>2</v>
      </c>
      <c r="K127" s="540">
        <v>141852.36</v>
      </c>
      <c r="L127" s="546">
        <v>11594</v>
      </c>
      <c r="M127" s="721">
        <f t="shared" si="4"/>
        <v>12.234980162152837</v>
      </c>
      <c r="N127" s="722">
        <v>41516</v>
      </c>
    </row>
    <row r="128" spans="1:14" ht="12.75">
      <c r="A128" s="450">
        <v>127</v>
      </c>
      <c r="B128" s="705"/>
      <c r="C128" s="761" t="s">
        <v>1014</v>
      </c>
      <c r="D128" s="714" t="s">
        <v>80</v>
      </c>
      <c r="E128" s="715" t="s">
        <v>69</v>
      </c>
      <c r="F128" s="728" t="s">
        <v>1015</v>
      </c>
      <c r="G128" s="717">
        <v>41439</v>
      </c>
      <c r="H128" s="718" t="s">
        <v>59</v>
      </c>
      <c r="I128" s="719">
        <v>25</v>
      </c>
      <c r="J128" s="719">
        <v>11</v>
      </c>
      <c r="K128" s="470">
        <f>61942.74+28234.93+13668.5+5240.5+10574.1+9158+3369+1649+1475.5+105+646</f>
        <v>136063.27000000002</v>
      </c>
      <c r="L128" s="471">
        <f>5947+2632+1843+726+1780+759+460+199+205+26+79</f>
        <v>14656</v>
      </c>
      <c r="M128" s="721">
        <f t="shared" si="4"/>
        <v>9.283792985807862</v>
      </c>
      <c r="N128" s="722">
        <v>41516</v>
      </c>
    </row>
    <row r="129" spans="1:14" ht="12.75">
      <c r="A129" s="450">
        <v>128</v>
      </c>
      <c r="B129" s="705" t="s">
        <v>48</v>
      </c>
      <c r="C129" s="765" t="s">
        <v>776</v>
      </c>
      <c r="D129" s="710" t="s">
        <v>783</v>
      </c>
      <c r="E129" s="710"/>
      <c r="F129" s="710" t="s">
        <v>776</v>
      </c>
      <c r="G129" s="709">
        <v>41376</v>
      </c>
      <c r="H129" s="710" t="s">
        <v>47</v>
      </c>
      <c r="I129" s="706">
        <v>68</v>
      </c>
      <c r="J129" s="726">
        <v>9</v>
      </c>
      <c r="K129" s="466">
        <f>72269.52+36259.56+10710.97+4843+941+781+279+269+3667</f>
        <v>130020.05</v>
      </c>
      <c r="L129" s="467">
        <f>7708+4426+1369+603+111+140+33+33+497</f>
        <v>14920</v>
      </c>
      <c r="M129" s="711">
        <f t="shared" si="4"/>
        <v>8.714480563002681</v>
      </c>
      <c r="N129" s="712">
        <v>41432</v>
      </c>
    </row>
    <row r="130" spans="1:14" ht="12.75">
      <c r="A130" s="450">
        <v>129</v>
      </c>
      <c r="B130" s="705"/>
      <c r="C130" s="769" t="s">
        <v>1119</v>
      </c>
      <c r="D130" s="718" t="s">
        <v>1120</v>
      </c>
      <c r="E130" s="718" t="s">
        <v>403</v>
      </c>
      <c r="F130" s="718" t="s">
        <v>1118</v>
      </c>
      <c r="G130" s="727">
        <v>41481</v>
      </c>
      <c r="H130" s="718" t="s">
        <v>46</v>
      </c>
      <c r="I130" s="719">
        <v>25</v>
      </c>
      <c r="J130" s="719">
        <v>6</v>
      </c>
      <c r="K130" s="540">
        <v>126949.62</v>
      </c>
      <c r="L130" s="546">
        <v>14425</v>
      </c>
      <c r="M130" s="721">
        <f t="shared" si="4"/>
        <v>8.800666897746966</v>
      </c>
      <c r="N130" s="722">
        <v>41516</v>
      </c>
    </row>
    <row r="131" spans="1:14" ht="12.75">
      <c r="A131" s="450">
        <v>130</v>
      </c>
      <c r="B131" s="705"/>
      <c r="C131" s="761" t="s">
        <v>1101</v>
      </c>
      <c r="D131" s="716" t="s">
        <v>1100</v>
      </c>
      <c r="E131" s="715" t="s">
        <v>92</v>
      </c>
      <c r="F131" s="716" t="s">
        <v>1099</v>
      </c>
      <c r="G131" s="727">
        <v>41467</v>
      </c>
      <c r="H131" s="718" t="s">
        <v>12</v>
      </c>
      <c r="I131" s="719">
        <v>48</v>
      </c>
      <c r="J131" s="719">
        <v>8</v>
      </c>
      <c r="K131" s="540">
        <v>126905</v>
      </c>
      <c r="L131" s="546">
        <v>12316</v>
      </c>
      <c r="M131" s="721">
        <f t="shared" si="4"/>
        <v>10.304075998700878</v>
      </c>
      <c r="N131" s="722">
        <v>41516</v>
      </c>
    </row>
    <row r="132" spans="1:14" ht="12.75">
      <c r="A132" s="450">
        <v>131</v>
      </c>
      <c r="B132" s="705"/>
      <c r="C132" s="761" t="s">
        <v>1208</v>
      </c>
      <c r="D132" s="716" t="s">
        <v>1007</v>
      </c>
      <c r="E132" s="716" t="s">
        <v>92</v>
      </c>
      <c r="F132" s="716" t="s">
        <v>1209</v>
      </c>
      <c r="G132" s="727">
        <v>41516</v>
      </c>
      <c r="H132" s="718" t="s">
        <v>12</v>
      </c>
      <c r="I132" s="719">
        <v>39</v>
      </c>
      <c r="J132" s="719">
        <v>1</v>
      </c>
      <c r="K132" s="540">
        <v>122934</v>
      </c>
      <c r="L132" s="546">
        <v>10332</v>
      </c>
      <c r="M132" s="721">
        <f t="shared" si="4"/>
        <v>11.898373983739837</v>
      </c>
      <c r="N132" s="722">
        <v>41516</v>
      </c>
    </row>
    <row r="133" spans="1:14" ht="12.75">
      <c r="A133" s="450">
        <v>132</v>
      </c>
      <c r="B133" s="705"/>
      <c r="C133" s="760" t="s">
        <v>673</v>
      </c>
      <c r="D133" s="706" t="s">
        <v>677</v>
      </c>
      <c r="E133" s="707" t="s">
        <v>80</v>
      </c>
      <c r="F133" s="708" t="s">
        <v>674</v>
      </c>
      <c r="G133" s="709">
        <v>41327</v>
      </c>
      <c r="H133" s="710" t="s">
        <v>59</v>
      </c>
      <c r="I133" s="754">
        <v>12</v>
      </c>
      <c r="J133" s="706">
        <v>15</v>
      </c>
      <c r="K133" s="472">
        <f>21402+44492.2+30813.5+2007+2035+3860.5+155+102+1260.5+443+564+2240+9525.5+2109.5+402.5+516.5</f>
        <v>121928.7</v>
      </c>
      <c r="L133" s="473">
        <f>2042+3124+2339+240+270+429+18+13+176+56+56+250+935+405+61+56</f>
        <v>10470</v>
      </c>
      <c r="M133" s="711">
        <f t="shared" si="4"/>
        <v>11.645530085959885</v>
      </c>
      <c r="N133" s="712">
        <v>41467</v>
      </c>
    </row>
    <row r="134" spans="1:14" ht="12.75">
      <c r="A134" s="450">
        <v>133</v>
      </c>
      <c r="B134" s="723"/>
      <c r="C134" s="766" t="s">
        <v>1191</v>
      </c>
      <c r="D134" s="733" t="s">
        <v>780</v>
      </c>
      <c r="E134" s="714" t="s">
        <v>400</v>
      </c>
      <c r="F134" s="733" t="s">
        <v>1192</v>
      </c>
      <c r="G134" s="727">
        <v>41509</v>
      </c>
      <c r="H134" s="718" t="s">
        <v>8</v>
      </c>
      <c r="I134" s="734">
        <v>20</v>
      </c>
      <c r="J134" s="735">
        <v>2</v>
      </c>
      <c r="K134" s="470">
        <v>121346</v>
      </c>
      <c r="L134" s="471">
        <v>8823</v>
      </c>
      <c r="M134" s="721">
        <f t="shared" si="4"/>
        <v>13.753371868978805</v>
      </c>
      <c r="N134" s="722">
        <v>41516</v>
      </c>
    </row>
    <row r="135" spans="1:14" ht="12.75">
      <c r="A135" s="450">
        <v>134</v>
      </c>
      <c r="B135" s="723"/>
      <c r="C135" s="762" t="s">
        <v>613</v>
      </c>
      <c r="D135" s="724" t="s">
        <v>617</v>
      </c>
      <c r="E135" s="706" t="s">
        <v>400</v>
      </c>
      <c r="F135" s="724" t="s">
        <v>615</v>
      </c>
      <c r="G135" s="725">
        <v>41285</v>
      </c>
      <c r="H135" s="710" t="s">
        <v>8</v>
      </c>
      <c r="I135" s="726">
        <v>18</v>
      </c>
      <c r="J135" s="724">
        <v>6</v>
      </c>
      <c r="K135" s="472">
        <v>112862</v>
      </c>
      <c r="L135" s="473">
        <v>8678</v>
      </c>
      <c r="M135" s="711">
        <f t="shared" si="4"/>
        <v>13.00553122839364</v>
      </c>
      <c r="N135" s="712">
        <v>41397</v>
      </c>
    </row>
    <row r="136" spans="1:14" ht="12.75">
      <c r="A136" s="450">
        <v>135</v>
      </c>
      <c r="B136" s="705"/>
      <c r="C136" s="763" t="s">
        <v>882</v>
      </c>
      <c r="D136" s="710" t="s">
        <v>887</v>
      </c>
      <c r="E136" s="710" t="s">
        <v>886</v>
      </c>
      <c r="F136" s="710" t="s">
        <v>884</v>
      </c>
      <c r="G136" s="725">
        <v>41411</v>
      </c>
      <c r="H136" s="710" t="s">
        <v>46</v>
      </c>
      <c r="I136" s="706">
        <v>20</v>
      </c>
      <c r="J136" s="706">
        <v>12</v>
      </c>
      <c r="K136" s="466">
        <v>112255.07</v>
      </c>
      <c r="L136" s="467">
        <v>13580</v>
      </c>
      <c r="M136" s="711">
        <f t="shared" si="4"/>
        <v>8.266205449189986</v>
      </c>
      <c r="N136" s="712">
        <v>41502</v>
      </c>
    </row>
    <row r="137" spans="1:14" ht="12.75">
      <c r="A137" s="450">
        <v>136</v>
      </c>
      <c r="B137" s="705"/>
      <c r="C137" s="765" t="s">
        <v>609</v>
      </c>
      <c r="D137" s="706" t="s">
        <v>611</v>
      </c>
      <c r="E137" s="710" t="s">
        <v>65</v>
      </c>
      <c r="F137" s="710" t="s">
        <v>610</v>
      </c>
      <c r="G137" s="725">
        <v>41285</v>
      </c>
      <c r="H137" s="710" t="s">
        <v>139</v>
      </c>
      <c r="I137" s="706">
        <v>10</v>
      </c>
      <c r="J137" s="706">
        <v>12</v>
      </c>
      <c r="K137" s="466">
        <v>112182.03000000001</v>
      </c>
      <c r="L137" s="467">
        <v>11112</v>
      </c>
      <c r="M137" s="711">
        <f t="shared" si="4"/>
        <v>10.095575053995681</v>
      </c>
      <c r="N137" s="712">
        <v>41460</v>
      </c>
    </row>
    <row r="138" spans="1:14" ht="12.75">
      <c r="A138" s="450">
        <v>137</v>
      </c>
      <c r="B138" s="705"/>
      <c r="C138" s="769" t="s">
        <v>1055</v>
      </c>
      <c r="D138" s="718" t="s">
        <v>1056</v>
      </c>
      <c r="E138" s="718" t="s">
        <v>403</v>
      </c>
      <c r="F138" s="718" t="s">
        <v>1057</v>
      </c>
      <c r="G138" s="727">
        <v>41453</v>
      </c>
      <c r="H138" s="718" t="s">
        <v>46</v>
      </c>
      <c r="I138" s="719">
        <v>40</v>
      </c>
      <c r="J138" s="719">
        <v>10</v>
      </c>
      <c r="K138" s="540">
        <v>109575.32</v>
      </c>
      <c r="L138" s="546">
        <v>12670</v>
      </c>
      <c r="M138" s="721">
        <f t="shared" si="4"/>
        <v>8.64840726124704</v>
      </c>
      <c r="N138" s="722">
        <v>41516</v>
      </c>
    </row>
    <row r="139" spans="1:14" ht="12.75">
      <c r="A139" s="450">
        <v>138</v>
      </c>
      <c r="B139" s="705"/>
      <c r="C139" s="769" t="s">
        <v>918</v>
      </c>
      <c r="D139" s="718" t="s">
        <v>333</v>
      </c>
      <c r="E139" s="718" t="s">
        <v>75</v>
      </c>
      <c r="F139" s="718" t="s">
        <v>928</v>
      </c>
      <c r="G139" s="727">
        <v>41418</v>
      </c>
      <c r="H139" s="718" t="s">
        <v>46</v>
      </c>
      <c r="I139" s="719">
        <v>20</v>
      </c>
      <c r="J139" s="719">
        <v>13</v>
      </c>
      <c r="K139" s="540">
        <v>107148.64</v>
      </c>
      <c r="L139" s="546">
        <v>11311</v>
      </c>
      <c r="M139" s="721">
        <f t="shared" si="4"/>
        <v>9.472959066395545</v>
      </c>
      <c r="N139" s="722">
        <v>41516</v>
      </c>
    </row>
    <row r="140" spans="1:14" ht="12.75">
      <c r="A140" s="450">
        <v>139</v>
      </c>
      <c r="B140" s="705"/>
      <c r="C140" s="764" t="s">
        <v>1072</v>
      </c>
      <c r="D140" s="714" t="s">
        <v>392</v>
      </c>
      <c r="E140" s="718" t="s">
        <v>65</v>
      </c>
      <c r="F140" s="718" t="s">
        <v>1073</v>
      </c>
      <c r="G140" s="727">
        <v>41460</v>
      </c>
      <c r="H140" s="718" t="s">
        <v>139</v>
      </c>
      <c r="I140" s="719">
        <v>15</v>
      </c>
      <c r="J140" s="719">
        <v>9</v>
      </c>
      <c r="K140" s="540">
        <v>105182.25000000001</v>
      </c>
      <c r="L140" s="546">
        <v>10282.4</v>
      </c>
      <c r="M140" s="721">
        <f t="shared" si="4"/>
        <v>10.229348206644366</v>
      </c>
      <c r="N140" s="722">
        <v>41516</v>
      </c>
    </row>
    <row r="141" spans="1:14" ht="12.75">
      <c r="A141" s="450">
        <v>140</v>
      </c>
      <c r="B141" s="723"/>
      <c r="C141" s="763" t="s">
        <v>923</v>
      </c>
      <c r="D141" s="707" t="s">
        <v>926</v>
      </c>
      <c r="E141" s="706" t="s">
        <v>240</v>
      </c>
      <c r="F141" s="724" t="s">
        <v>922</v>
      </c>
      <c r="G141" s="725">
        <v>41418</v>
      </c>
      <c r="H141" s="710" t="s">
        <v>327</v>
      </c>
      <c r="I141" s="726">
        <v>16</v>
      </c>
      <c r="J141" s="724">
        <v>12</v>
      </c>
      <c r="K141" s="468">
        <v>101862</v>
      </c>
      <c r="L141" s="469">
        <v>8212</v>
      </c>
      <c r="M141" s="711">
        <f t="shared" si="4"/>
        <v>12.404042864101315</v>
      </c>
      <c r="N141" s="712">
        <v>41502</v>
      </c>
    </row>
    <row r="142" spans="1:14" ht="12.75">
      <c r="A142" s="450">
        <v>141</v>
      </c>
      <c r="B142" s="705"/>
      <c r="C142" s="769" t="s">
        <v>1106</v>
      </c>
      <c r="D142" s="718" t="s">
        <v>963</v>
      </c>
      <c r="E142" s="718" t="s">
        <v>75</v>
      </c>
      <c r="F142" s="718" t="s">
        <v>1107</v>
      </c>
      <c r="G142" s="727">
        <v>41474</v>
      </c>
      <c r="H142" s="718" t="s">
        <v>46</v>
      </c>
      <c r="I142" s="719">
        <v>20</v>
      </c>
      <c r="J142" s="719">
        <v>7</v>
      </c>
      <c r="K142" s="540">
        <v>97334.93</v>
      </c>
      <c r="L142" s="546">
        <v>10960</v>
      </c>
      <c r="M142" s="721">
        <f t="shared" si="4"/>
        <v>8.880924270072992</v>
      </c>
      <c r="N142" s="722">
        <v>41516</v>
      </c>
    </row>
    <row r="143" spans="1:14" ht="12.75">
      <c r="A143" s="450">
        <v>142</v>
      </c>
      <c r="B143" s="723" t="s">
        <v>48</v>
      </c>
      <c r="C143" s="763" t="s">
        <v>713</v>
      </c>
      <c r="D143" s="707" t="s">
        <v>714</v>
      </c>
      <c r="E143" s="706"/>
      <c r="F143" s="724" t="s">
        <v>713</v>
      </c>
      <c r="G143" s="725">
        <v>41348</v>
      </c>
      <c r="H143" s="710" t="s">
        <v>327</v>
      </c>
      <c r="I143" s="726">
        <v>10</v>
      </c>
      <c r="J143" s="724">
        <v>14</v>
      </c>
      <c r="K143" s="472">
        <v>95403</v>
      </c>
      <c r="L143" s="473">
        <v>8281</v>
      </c>
      <c r="M143" s="711">
        <f t="shared" si="4"/>
        <v>11.520710059171599</v>
      </c>
      <c r="N143" s="712">
        <v>41446</v>
      </c>
    </row>
    <row r="144" spans="1:14" ht="12.75">
      <c r="A144" s="450">
        <v>143</v>
      </c>
      <c r="B144" s="705"/>
      <c r="C144" s="760" t="s">
        <v>826</v>
      </c>
      <c r="D144" s="706" t="s">
        <v>332</v>
      </c>
      <c r="E144" s="707" t="s">
        <v>81</v>
      </c>
      <c r="F144" s="708" t="s">
        <v>827</v>
      </c>
      <c r="G144" s="725">
        <v>41390</v>
      </c>
      <c r="H144" s="710" t="s">
        <v>59</v>
      </c>
      <c r="I144" s="706">
        <v>10</v>
      </c>
      <c r="J144" s="706">
        <v>12</v>
      </c>
      <c r="K144" s="472">
        <f>35342.43+14132.81+9508+4411+1510+1366.5+11094.5+3394.8+2795+876+88+900</f>
        <v>85419.04</v>
      </c>
      <c r="L144" s="473">
        <f>2501+1026+721+520+212+168+1090+512+315+96+10+99</f>
        <v>7270</v>
      </c>
      <c r="M144" s="711">
        <f t="shared" si="4"/>
        <v>11.749524071526821</v>
      </c>
      <c r="N144" s="712">
        <v>41474</v>
      </c>
    </row>
    <row r="145" spans="1:14" ht="12.75">
      <c r="A145" s="450">
        <v>144</v>
      </c>
      <c r="B145" s="705" t="s">
        <v>48</v>
      </c>
      <c r="C145" s="763" t="s">
        <v>866</v>
      </c>
      <c r="D145" s="710" t="s">
        <v>867</v>
      </c>
      <c r="E145" s="710"/>
      <c r="F145" s="710" t="s">
        <v>868</v>
      </c>
      <c r="G145" s="725">
        <v>41404</v>
      </c>
      <c r="H145" s="710" t="s">
        <v>46</v>
      </c>
      <c r="I145" s="706">
        <v>80</v>
      </c>
      <c r="J145" s="706">
        <v>5</v>
      </c>
      <c r="K145" s="466">
        <v>85148.39</v>
      </c>
      <c r="L145" s="467">
        <v>10239</v>
      </c>
      <c r="M145" s="711">
        <f t="shared" si="4"/>
        <v>8.316084578572125</v>
      </c>
      <c r="N145" s="712">
        <v>41432</v>
      </c>
    </row>
    <row r="146" spans="1:14" ht="12.75">
      <c r="A146" s="450">
        <v>145</v>
      </c>
      <c r="B146" s="705"/>
      <c r="C146" s="765" t="s">
        <v>833</v>
      </c>
      <c r="D146" s="706" t="s">
        <v>279</v>
      </c>
      <c r="E146" s="710" t="s">
        <v>313</v>
      </c>
      <c r="F146" s="710" t="s">
        <v>834</v>
      </c>
      <c r="G146" s="725">
        <v>41397</v>
      </c>
      <c r="H146" s="710" t="s">
        <v>139</v>
      </c>
      <c r="I146" s="706">
        <v>33</v>
      </c>
      <c r="J146" s="706">
        <v>12</v>
      </c>
      <c r="K146" s="466">
        <v>83035.84000000001</v>
      </c>
      <c r="L146" s="467">
        <v>10031</v>
      </c>
      <c r="M146" s="711">
        <f t="shared" si="4"/>
        <v>8.277922440434654</v>
      </c>
      <c r="N146" s="712">
        <v>41481</v>
      </c>
    </row>
    <row r="147" spans="1:14" ht="12.75">
      <c r="A147" s="450">
        <v>146</v>
      </c>
      <c r="B147" s="705"/>
      <c r="C147" s="766" t="s">
        <v>831</v>
      </c>
      <c r="D147" s="733" t="s">
        <v>261</v>
      </c>
      <c r="E147" s="714" t="s">
        <v>400</v>
      </c>
      <c r="F147" s="733" t="s">
        <v>832</v>
      </c>
      <c r="G147" s="727">
        <v>41397</v>
      </c>
      <c r="H147" s="718" t="s">
        <v>8</v>
      </c>
      <c r="I147" s="734">
        <v>8</v>
      </c>
      <c r="J147" s="735">
        <v>11</v>
      </c>
      <c r="K147" s="470">
        <v>80557</v>
      </c>
      <c r="L147" s="471">
        <v>6511</v>
      </c>
      <c r="M147" s="721">
        <f t="shared" si="4"/>
        <v>12.372446628782061</v>
      </c>
      <c r="N147" s="722">
        <v>41516</v>
      </c>
    </row>
    <row r="148" spans="1:14" ht="12.75">
      <c r="A148" s="450">
        <v>147</v>
      </c>
      <c r="B148" s="723"/>
      <c r="C148" s="766" t="s">
        <v>994</v>
      </c>
      <c r="D148" s="733" t="s">
        <v>995</v>
      </c>
      <c r="E148" s="714" t="s">
        <v>8</v>
      </c>
      <c r="F148" s="733" t="s">
        <v>996</v>
      </c>
      <c r="G148" s="727">
        <v>41432</v>
      </c>
      <c r="H148" s="718" t="s">
        <v>8</v>
      </c>
      <c r="I148" s="734">
        <v>30</v>
      </c>
      <c r="J148" s="735">
        <v>11</v>
      </c>
      <c r="K148" s="470">
        <v>80337</v>
      </c>
      <c r="L148" s="471">
        <v>8045</v>
      </c>
      <c r="M148" s="721">
        <f t="shared" si="4"/>
        <v>9.985954008701057</v>
      </c>
      <c r="N148" s="722">
        <v>41516</v>
      </c>
    </row>
    <row r="149" spans="1:14" ht="12.75">
      <c r="A149" s="450">
        <v>148</v>
      </c>
      <c r="B149" s="705"/>
      <c r="C149" s="764" t="s">
        <v>851</v>
      </c>
      <c r="D149" s="714" t="s">
        <v>853</v>
      </c>
      <c r="E149" s="714" t="s">
        <v>236</v>
      </c>
      <c r="F149" s="755" t="s">
        <v>852</v>
      </c>
      <c r="G149" s="717">
        <v>41404</v>
      </c>
      <c r="H149" s="718" t="s">
        <v>151</v>
      </c>
      <c r="I149" s="756">
        <v>18</v>
      </c>
      <c r="J149" s="719">
        <v>10</v>
      </c>
      <c r="K149" s="731">
        <v>76419.79</v>
      </c>
      <c r="L149" s="732">
        <v>7559</v>
      </c>
      <c r="M149" s="721">
        <f t="shared" si="4"/>
        <v>10.109775102526788</v>
      </c>
      <c r="N149" s="722">
        <v>41516</v>
      </c>
    </row>
    <row r="150" spans="1:14" ht="12.75">
      <c r="A150" s="450">
        <v>149</v>
      </c>
      <c r="B150" s="705"/>
      <c r="C150" s="763" t="s">
        <v>772</v>
      </c>
      <c r="D150" s="710" t="s">
        <v>396</v>
      </c>
      <c r="E150" s="710" t="s">
        <v>75</v>
      </c>
      <c r="F150" s="710" t="s">
        <v>773</v>
      </c>
      <c r="G150" s="725">
        <v>41376</v>
      </c>
      <c r="H150" s="710" t="s">
        <v>46</v>
      </c>
      <c r="I150" s="706">
        <v>12</v>
      </c>
      <c r="J150" s="706">
        <v>9</v>
      </c>
      <c r="K150" s="466">
        <v>73299.35</v>
      </c>
      <c r="L150" s="467">
        <v>5655</v>
      </c>
      <c r="M150" s="711">
        <f t="shared" si="4"/>
        <v>12.96186560565871</v>
      </c>
      <c r="N150" s="712">
        <v>41453</v>
      </c>
    </row>
    <row r="151" spans="1:14" ht="12.75">
      <c r="A151" s="450">
        <v>150</v>
      </c>
      <c r="B151" s="705" t="s">
        <v>48</v>
      </c>
      <c r="C151" s="765" t="s">
        <v>815</v>
      </c>
      <c r="D151" s="710" t="s">
        <v>816</v>
      </c>
      <c r="E151" s="710"/>
      <c r="F151" s="710" t="s">
        <v>815</v>
      </c>
      <c r="G151" s="709">
        <v>41390</v>
      </c>
      <c r="H151" s="710" t="s">
        <v>47</v>
      </c>
      <c r="I151" s="706">
        <v>51</v>
      </c>
      <c r="J151" s="726">
        <v>9</v>
      </c>
      <c r="K151" s="466">
        <f>42870.52+20213.21+5455+165+540+551+1304+224+219</f>
        <v>71541.73</v>
      </c>
      <c r="L151" s="467">
        <f>5387+2505+645+18+76+75+176+28+27</f>
        <v>8937</v>
      </c>
      <c r="M151" s="711">
        <f t="shared" si="4"/>
        <v>8.00511692961844</v>
      </c>
      <c r="N151" s="712">
        <v>41446</v>
      </c>
    </row>
    <row r="152" spans="1:14" ht="12.75">
      <c r="A152" s="450">
        <v>151</v>
      </c>
      <c r="B152" s="705"/>
      <c r="C152" s="761" t="s">
        <v>1024</v>
      </c>
      <c r="D152" s="714" t="s">
        <v>846</v>
      </c>
      <c r="E152" s="715" t="s">
        <v>65</v>
      </c>
      <c r="F152" s="728" t="s">
        <v>1025</v>
      </c>
      <c r="G152" s="727">
        <v>41415</v>
      </c>
      <c r="H152" s="718" t="s">
        <v>59</v>
      </c>
      <c r="I152" s="719">
        <v>15</v>
      </c>
      <c r="J152" s="719">
        <v>11</v>
      </c>
      <c r="K152" s="470">
        <f>22328.29+12997.69+1497+7167.54+4950.62+4306.75+1793.5+5632.5+2877+5547.22+1039</f>
        <v>70137.11</v>
      </c>
      <c r="L152" s="471">
        <f>2309+1391+164+870+612+542+286+822+362+737+135</f>
        <v>8230</v>
      </c>
      <c r="M152" s="721">
        <f t="shared" si="4"/>
        <v>8.522127582017012</v>
      </c>
      <c r="N152" s="722">
        <v>41516</v>
      </c>
    </row>
    <row r="153" spans="1:14" ht="12.75">
      <c r="A153" s="450">
        <v>152</v>
      </c>
      <c r="B153" s="723"/>
      <c r="C153" s="766" t="s">
        <v>1213</v>
      </c>
      <c r="D153" s="733" t="s">
        <v>1215</v>
      </c>
      <c r="E153" s="714" t="s">
        <v>400</v>
      </c>
      <c r="F153" s="733" t="s">
        <v>1214</v>
      </c>
      <c r="G153" s="727">
        <v>41516</v>
      </c>
      <c r="H153" s="718" t="s">
        <v>8</v>
      </c>
      <c r="I153" s="734">
        <v>41</v>
      </c>
      <c r="J153" s="735">
        <v>1</v>
      </c>
      <c r="K153" s="470">
        <v>67279</v>
      </c>
      <c r="L153" s="471">
        <v>6177</v>
      </c>
      <c r="M153" s="721">
        <f t="shared" si="4"/>
        <v>10.89185688845718</v>
      </c>
      <c r="N153" s="722">
        <v>41516</v>
      </c>
    </row>
    <row r="154" spans="1:14" ht="12.75">
      <c r="A154" s="450">
        <v>153</v>
      </c>
      <c r="B154" s="705"/>
      <c r="C154" s="761" t="s">
        <v>1005</v>
      </c>
      <c r="D154" s="714" t="s">
        <v>1007</v>
      </c>
      <c r="E154" s="715" t="s">
        <v>81</v>
      </c>
      <c r="F154" s="728" t="s">
        <v>1006</v>
      </c>
      <c r="G154" s="717">
        <v>41432</v>
      </c>
      <c r="H154" s="718" t="s">
        <v>59</v>
      </c>
      <c r="I154" s="719">
        <v>17</v>
      </c>
      <c r="J154" s="719">
        <v>9</v>
      </c>
      <c r="K154" s="470">
        <f>40761.96+9215.4+3284.27+1206.63+1234+7189.38+1023+522.5+401</f>
        <v>64838.13999999999</v>
      </c>
      <c r="L154" s="471">
        <f>3177+721+299+142+127+619+116+59+44</f>
        <v>5304</v>
      </c>
      <c r="M154" s="721">
        <f aca="true" t="shared" si="5" ref="M154:M185">K154/L154</f>
        <v>12.224385369532428</v>
      </c>
      <c r="N154" s="722">
        <v>41516</v>
      </c>
    </row>
    <row r="155" spans="1:14" ht="12.75">
      <c r="A155" s="450">
        <v>154</v>
      </c>
      <c r="B155" s="705"/>
      <c r="C155" s="764" t="s">
        <v>1176</v>
      </c>
      <c r="D155" s="714" t="s">
        <v>1178</v>
      </c>
      <c r="E155" s="714" t="s">
        <v>284</v>
      </c>
      <c r="F155" s="718" t="s">
        <v>1177</v>
      </c>
      <c r="G155" s="727">
        <v>41502</v>
      </c>
      <c r="H155" s="718" t="s">
        <v>244</v>
      </c>
      <c r="I155" s="719">
        <v>25</v>
      </c>
      <c r="J155" s="756">
        <v>3</v>
      </c>
      <c r="K155" s="540">
        <v>63243</v>
      </c>
      <c r="L155" s="546">
        <v>6525</v>
      </c>
      <c r="M155" s="721">
        <f t="shared" si="5"/>
        <v>9.692413793103448</v>
      </c>
      <c r="N155" s="722">
        <v>41516</v>
      </c>
    </row>
    <row r="156" spans="1:14" ht="12.75">
      <c r="A156" s="450">
        <v>155</v>
      </c>
      <c r="B156" s="705"/>
      <c r="C156" s="764" t="s">
        <v>1074</v>
      </c>
      <c r="D156" s="714" t="s">
        <v>1080</v>
      </c>
      <c r="E156" s="718" t="s">
        <v>109</v>
      </c>
      <c r="F156" s="718" t="s">
        <v>1075</v>
      </c>
      <c r="G156" s="727">
        <v>41460</v>
      </c>
      <c r="H156" s="718" t="s">
        <v>139</v>
      </c>
      <c r="I156" s="719">
        <v>25</v>
      </c>
      <c r="J156" s="719">
        <v>9</v>
      </c>
      <c r="K156" s="540">
        <v>59787.94</v>
      </c>
      <c r="L156" s="546">
        <v>5773</v>
      </c>
      <c r="M156" s="721">
        <f t="shared" si="5"/>
        <v>10.3564767018881</v>
      </c>
      <c r="N156" s="722">
        <v>41516</v>
      </c>
    </row>
    <row r="157" spans="1:14" ht="12.75">
      <c r="A157" s="450">
        <v>156</v>
      </c>
      <c r="B157" s="705"/>
      <c r="C157" s="765" t="s">
        <v>727</v>
      </c>
      <c r="D157" s="706" t="s">
        <v>225</v>
      </c>
      <c r="E157" s="710" t="s">
        <v>728</v>
      </c>
      <c r="F157" s="710" t="s">
        <v>729</v>
      </c>
      <c r="G157" s="725">
        <v>41355</v>
      </c>
      <c r="H157" s="710" t="s">
        <v>139</v>
      </c>
      <c r="I157" s="706">
        <v>5</v>
      </c>
      <c r="J157" s="706">
        <v>10</v>
      </c>
      <c r="K157" s="466">
        <v>59765.45</v>
      </c>
      <c r="L157" s="467">
        <v>6063</v>
      </c>
      <c r="M157" s="711">
        <f t="shared" si="5"/>
        <v>9.857405574797955</v>
      </c>
      <c r="N157" s="712">
        <v>41418</v>
      </c>
    </row>
    <row r="158" spans="1:14" ht="12.75">
      <c r="A158" s="450">
        <v>157</v>
      </c>
      <c r="B158" s="705" t="s">
        <v>48</v>
      </c>
      <c r="C158" s="760" t="s">
        <v>788</v>
      </c>
      <c r="D158" s="706" t="s">
        <v>789</v>
      </c>
      <c r="E158" s="707"/>
      <c r="F158" s="708" t="s">
        <v>788</v>
      </c>
      <c r="G158" s="709">
        <v>41383</v>
      </c>
      <c r="H158" s="710" t="s">
        <v>59</v>
      </c>
      <c r="I158" s="706">
        <v>16</v>
      </c>
      <c r="J158" s="706">
        <v>12</v>
      </c>
      <c r="K158" s="472">
        <f>31428.3+11387.5+1945.5+4368.5+2824+1445.19+997.56+1066+889.5+1106+559+561.86</f>
        <v>58578.91</v>
      </c>
      <c r="L158" s="473">
        <f>2428+1032+205+565+357+157+108+205+142+117+75+79</f>
        <v>5470</v>
      </c>
      <c r="M158" s="711">
        <f t="shared" si="5"/>
        <v>10.709124314442414</v>
      </c>
      <c r="N158" s="712">
        <v>41474</v>
      </c>
    </row>
    <row r="159" spans="1:14" ht="12.75">
      <c r="A159" s="450">
        <v>158</v>
      </c>
      <c r="B159" s="705" t="s">
        <v>48</v>
      </c>
      <c r="C159" s="765" t="s">
        <v>869</v>
      </c>
      <c r="D159" s="710" t="s">
        <v>874</v>
      </c>
      <c r="E159" s="710"/>
      <c r="F159" s="710" t="s">
        <v>869</v>
      </c>
      <c r="G159" s="709">
        <v>41404</v>
      </c>
      <c r="H159" s="710" t="s">
        <v>47</v>
      </c>
      <c r="I159" s="706">
        <v>20</v>
      </c>
      <c r="J159" s="726">
        <v>10</v>
      </c>
      <c r="K159" s="466">
        <f>9371.87+3352.93+2461+1247+204+666+338+1800+1801+33614</f>
        <v>54855.8</v>
      </c>
      <c r="L159" s="467">
        <f>1066+391+326+163+24+128+39+342+350+6480</f>
        <v>9309</v>
      </c>
      <c r="M159" s="711">
        <f t="shared" si="5"/>
        <v>5.8927704372113014</v>
      </c>
      <c r="N159" s="712">
        <v>41488</v>
      </c>
    </row>
    <row r="160" spans="1:14" ht="12.75">
      <c r="A160" s="450">
        <v>159</v>
      </c>
      <c r="B160" s="705" t="s">
        <v>48</v>
      </c>
      <c r="C160" s="762" t="s">
        <v>778</v>
      </c>
      <c r="D160" s="724" t="s">
        <v>779</v>
      </c>
      <c r="E160" s="706"/>
      <c r="F160" s="724" t="s">
        <v>778</v>
      </c>
      <c r="G160" s="725">
        <v>41376</v>
      </c>
      <c r="H160" s="710" t="s">
        <v>8</v>
      </c>
      <c r="I160" s="726">
        <v>16</v>
      </c>
      <c r="J160" s="724">
        <v>7</v>
      </c>
      <c r="K160" s="472">
        <v>53310</v>
      </c>
      <c r="L160" s="473">
        <v>5069</v>
      </c>
      <c r="M160" s="711">
        <f t="shared" si="5"/>
        <v>10.516867232195699</v>
      </c>
      <c r="N160" s="712">
        <v>41446</v>
      </c>
    </row>
    <row r="161" spans="1:14" ht="12.75">
      <c r="A161" s="450">
        <v>160</v>
      </c>
      <c r="B161" s="705"/>
      <c r="C161" s="760" t="s">
        <v>689</v>
      </c>
      <c r="D161" s="706" t="s">
        <v>71</v>
      </c>
      <c r="E161" s="707" t="s">
        <v>72</v>
      </c>
      <c r="F161" s="713" t="s">
        <v>694</v>
      </c>
      <c r="G161" s="709">
        <v>41334</v>
      </c>
      <c r="H161" s="710" t="s">
        <v>12</v>
      </c>
      <c r="I161" s="706">
        <v>16</v>
      </c>
      <c r="J161" s="706">
        <v>3</v>
      </c>
      <c r="K161" s="466">
        <v>53151</v>
      </c>
      <c r="L161" s="467">
        <v>4903</v>
      </c>
      <c r="M161" s="711">
        <f t="shared" si="5"/>
        <v>10.840505812767693</v>
      </c>
      <c r="N161" s="712">
        <v>41348</v>
      </c>
    </row>
    <row r="162" spans="1:14" ht="12.75">
      <c r="A162" s="450">
        <v>161</v>
      </c>
      <c r="B162" s="705" t="s">
        <v>48</v>
      </c>
      <c r="C162" s="765" t="s">
        <v>897</v>
      </c>
      <c r="D162" s="710" t="s">
        <v>898</v>
      </c>
      <c r="E162" s="710"/>
      <c r="F162" s="710" t="s">
        <v>897</v>
      </c>
      <c r="G162" s="709">
        <v>41411</v>
      </c>
      <c r="H162" s="710" t="s">
        <v>47</v>
      </c>
      <c r="I162" s="706">
        <v>22</v>
      </c>
      <c r="J162" s="726">
        <v>7</v>
      </c>
      <c r="K162" s="466">
        <f>30722+11098+1371.5+3179+2399+857+124</f>
        <v>49750.5</v>
      </c>
      <c r="L162" s="467">
        <f>3741+1293+192+409+380+143+24</f>
        <v>6182</v>
      </c>
      <c r="M162" s="711">
        <f t="shared" si="5"/>
        <v>8.047638304755742</v>
      </c>
      <c r="N162" s="712">
        <v>41453</v>
      </c>
    </row>
    <row r="163" spans="1:14" ht="12.75">
      <c r="A163" s="450">
        <v>162</v>
      </c>
      <c r="B163" s="705"/>
      <c r="C163" s="761" t="s">
        <v>1050</v>
      </c>
      <c r="D163" s="714" t="s">
        <v>1007</v>
      </c>
      <c r="E163" s="715" t="s">
        <v>65</v>
      </c>
      <c r="F163" s="728" t="s">
        <v>1051</v>
      </c>
      <c r="G163" s="717">
        <v>41453</v>
      </c>
      <c r="H163" s="718" t="s">
        <v>59</v>
      </c>
      <c r="I163" s="719">
        <v>26</v>
      </c>
      <c r="J163" s="719">
        <v>8</v>
      </c>
      <c r="K163" s="470">
        <f>32439.87+7886+1187+3595.6+1758.5+300+1561.5+352.5</f>
        <v>49080.969999999994</v>
      </c>
      <c r="L163" s="471">
        <f>2622+664+119+517+193+52+337+96</f>
        <v>4600</v>
      </c>
      <c r="M163" s="721">
        <f t="shared" si="5"/>
        <v>10.66977608695652</v>
      </c>
      <c r="N163" s="722">
        <v>41516</v>
      </c>
    </row>
    <row r="164" spans="1:14" ht="12.75">
      <c r="A164" s="450">
        <v>163</v>
      </c>
      <c r="B164" s="705" t="s">
        <v>48</v>
      </c>
      <c r="C164" s="764" t="s">
        <v>836</v>
      </c>
      <c r="D164" s="718" t="s">
        <v>837</v>
      </c>
      <c r="E164" s="718"/>
      <c r="F164" s="718" t="s">
        <v>836</v>
      </c>
      <c r="G164" s="717">
        <v>41397</v>
      </c>
      <c r="H164" s="718" t="s">
        <v>47</v>
      </c>
      <c r="I164" s="719">
        <v>21</v>
      </c>
      <c r="J164" s="734">
        <v>13</v>
      </c>
      <c r="K164" s="540">
        <f>17811.5+10803.5+3816.5+1022+234+326+278+456+266+534+453+469+12006</f>
        <v>48475.5</v>
      </c>
      <c r="L164" s="546">
        <f>1808+1143+381+119+22+29+24+59+31+65+56+60+2332</f>
        <v>6129</v>
      </c>
      <c r="M164" s="721">
        <f t="shared" si="5"/>
        <v>7.909202153695546</v>
      </c>
      <c r="N164" s="722">
        <v>41516</v>
      </c>
    </row>
    <row r="165" spans="1:14" ht="12.75">
      <c r="A165" s="450">
        <v>164</v>
      </c>
      <c r="B165" s="705"/>
      <c r="C165" s="765" t="s">
        <v>743</v>
      </c>
      <c r="D165" s="710" t="s">
        <v>746</v>
      </c>
      <c r="E165" s="710" t="s">
        <v>744</v>
      </c>
      <c r="F165" s="710" t="s">
        <v>745</v>
      </c>
      <c r="G165" s="709">
        <v>41362</v>
      </c>
      <c r="H165" s="710" t="s">
        <v>47</v>
      </c>
      <c r="I165" s="706">
        <v>15</v>
      </c>
      <c r="J165" s="726">
        <v>18</v>
      </c>
      <c r="K165" s="466">
        <f>21119.5+8754.5+4013+2846+777+347+838+810+517+305+1747.5+3308.5+278+234+273+143+190+136</f>
        <v>46637</v>
      </c>
      <c r="L165" s="467">
        <f>2084+1005+442+304+104+55+131+122+81+47+236+423+37+32+39+20+31+22</f>
        <v>5215</v>
      </c>
      <c r="M165" s="711">
        <f t="shared" si="5"/>
        <v>8.942857142857143</v>
      </c>
      <c r="N165" s="712">
        <v>41509</v>
      </c>
    </row>
    <row r="166" spans="1:14" ht="12.75">
      <c r="A166" s="450">
        <v>165</v>
      </c>
      <c r="B166" s="705"/>
      <c r="C166" s="765" t="s">
        <v>807</v>
      </c>
      <c r="D166" s="706" t="s">
        <v>814</v>
      </c>
      <c r="E166" s="706" t="s">
        <v>236</v>
      </c>
      <c r="F166" s="736" t="s">
        <v>807</v>
      </c>
      <c r="G166" s="709">
        <v>41390</v>
      </c>
      <c r="H166" s="710" t="s">
        <v>151</v>
      </c>
      <c r="I166" s="730">
        <v>10</v>
      </c>
      <c r="J166" s="706">
        <v>9</v>
      </c>
      <c r="K166" s="737">
        <v>43692</v>
      </c>
      <c r="L166" s="738">
        <v>6519</v>
      </c>
      <c r="M166" s="711">
        <f t="shared" si="5"/>
        <v>6.702254947077773</v>
      </c>
      <c r="N166" s="712">
        <v>41481</v>
      </c>
    </row>
    <row r="167" spans="1:14" ht="12.75">
      <c r="A167" s="450">
        <v>166</v>
      </c>
      <c r="B167" s="723"/>
      <c r="C167" s="763" t="s">
        <v>638</v>
      </c>
      <c r="D167" s="707" t="s">
        <v>639</v>
      </c>
      <c r="E167" s="706" t="s">
        <v>81</v>
      </c>
      <c r="F167" s="724" t="s">
        <v>638</v>
      </c>
      <c r="G167" s="725">
        <v>41299</v>
      </c>
      <c r="H167" s="710" t="s">
        <v>59</v>
      </c>
      <c r="I167" s="726">
        <v>1</v>
      </c>
      <c r="J167" s="706">
        <v>15</v>
      </c>
      <c r="K167" s="472">
        <f>12720+8590+3852+1816+2282+1614+524+412+1172.5+4158+520+872+424+2970+1188</f>
        <v>43114.5</v>
      </c>
      <c r="L167" s="473">
        <f>1193+803+364+174+219+156+40+49+79+832+46+80+38+594+238</f>
        <v>4905</v>
      </c>
      <c r="M167" s="711">
        <f t="shared" si="5"/>
        <v>8.789908256880734</v>
      </c>
      <c r="N167" s="712">
        <v>41453</v>
      </c>
    </row>
    <row r="168" spans="1:14" ht="12.75">
      <c r="A168" s="450">
        <v>167</v>
      </c>
      <c r="B168" s="705"/>
      <c r="C168" s="763" t="s">
        <v>1021</v>
      </c>
      <c r="D168" s="710" t="s">
        <v>1023</v>
      </c>
      <c r="E168" s="710" t="s">
        <v>403</v>
      </c>
      <c r="F168" s="710" t="s">
        <v>1022</v>
      </c>
      <c r="G168" s="725">
        <v>41439</v>
      </c>
      <c r="H168" s="710" t="s">
        <v>46</v>
      </c>
      <c r="I168" s="706">
        <v>15</v>
      </c>
      <c r="J168" s="706">
        <v>7</v>
      </c>
      <c r="K168" s="466">
        <v>42339.44</v>
      </c>
      <c r="L168" s="467">
        <v>5070</v>
      </c>
      <c r="M168" s="711">
        <f t="shared" si="5"/>
        <v>8.350974358974359</v>
      </c>
      <c r="N168" s="712">
        <v>41481</v>
      </c>
    </row>
    <row r="169" spans="1:14" ht="12.75">
      <c r="A169" s="450">
        <v>168</v>
      </c>
      <c r="B169" s="705"/>
      <c r="C169" s="761" t="s">
        <v>1016</v>
      </c>
      <c r="D169" s="716" t="s">
        <v>1020</v>
      </c>
      <c r="E169" s="715" t="s">
        <v>92</v>
      </c>
      <c r="F169" s="716" t="s">
        <v>1017</v>
      </c>
      <c r="G169" s="727">
        <v>41439</v>
      </c>
      <c r="H169" s="718" t="s">
        <v>12</v>
      </c>
      <c r="I169" s="719">
        <v>10</v>
      </c>
      <c r="J169" s="719">
        <v>12</v>
      </c>
      <c r="K169" s="540">
        <v>42177</v>
      </c>
      <c r="L169" s="546">
        <v>3475</v>
      </c>
      <c r="M169" s="721">
        <f t="shared" si="5"/>
        <v>12.13726618705036</v>
      </c>
      <c r="N169" s="722">
        <v>41516</v>
      </c>
    </row>
    <row r="170" spans="1:14" ht="12.75">
      <c r="A170" s="450">
        <v>169</v>
      </c>
      <c r="B170" s="723"/>
      <c r="C170" s="769" t="s">
        <v>1144</v>
      </c>
      <c r="D170" s="715" t="s">
        <v>1142</v>
      </c>
      <c r="E170" s="714" t="s">
        <v>1047</v>
      </c>
      <c r="F170" s="733" t="s">
        <v>1143</v>
      </c>
      <c r="G170" s="727">
        <v>41488</v>
      </c>
      <c r="H170" s="718" t="s">
        <v>327</v>
      </c>
      <c r="I170" s="734">
        <v>5</v>
      </c>
      <c r="J170" s="735">
        <v>5</v>
      </c>
      <c r="K170" s="470">
        <v>41239</v>
      </c>
      <c r="L170" s="471">
        <v>3362</v>
      </c>
      <c r="M170" s="721">
        <f t="shared" si="5"/>
        <v>12.266210588935158</v>
      </c>
      <c r="N170" s="722">
        <v>41516</v>
      </c>
    </row>
    <row r="171" spans="1:14" ht="12.75">
      <c r="A171" s="450">
        <v>170</v>
      </c>
      <c r="B171" s="705"/>
      <c r="C171" s="769" t="s">
        <v>731</v>
      </c>
      <c r="D171" s="718" t="s">
        <v>733</v>
      </c>
      <c r="E171" s="718" t="s">
        <v>75</v>
      </c>
      <c r="F171" s="718" t="s">
        <v>732</v>
      </c>
      <c r="G171" s="727">
        <v>41355</v>
      </c>
      <c r="H171" s="718" t="s">
        <v>46</v>
      </c>
      <c r="I171" s="719">
        <v>1</v>
      </c>
      <c r="J171" s="719">
        <v>14</v>
      </c>
      <c r="K171" s="540">
        <v>36685</v>
      </c>
      <c r="L171" s="546">
        <v>2929</v>
      </c>
      <c r="M171" s="721">
        <f t="shared" si="5"/>
        <v>12.524752475247524</v>
      </c>
      <c r="N171" s="722">
        <v>41516</v>
      </c>
    </row>
    <row r="172" spans="1:14" ht="12.75">
      <c r="A172" s="450">
        <v>171</v>
      </c>
      <c r="B172" s="705"/>
      <c r="C172" s="765" t="s">
        <v>700</v>
      </c>
      <c r="D172" s="706" t="s">
        <v>333</v>
      </c>
      <c r="E172" s="710" t="s">
        <v>256</v>
      </c>
      <c r="F172" s="710" t="s">
        <v>701</v>
      </c>
      <c r="G172" s="725">
        <v>41341</v>
      </c>
      <c r="H172" s="710" t="s">
        <v>139</v>
      </c>
      <c r="I172" s="706">
        <v>4</v>
      </c>
      <c r="J172" s="706">
        <v>12</v>
      </c>
      <c r="K172" s="466">
        <v>35276</v>
      </c>
      <c r="L172" s="467">
        <v>3134</v>
      </c>
      <c r="M172" s="711">
        <f t="shared" si="5"/>
        <v>11.255902999361838</v>
      </c>
      <c r="N172" s="712">
        <v>41481</v>
      </c>
    </row>
    <row r="173" spans="1:14" ht="12.75">
      <c r="A173" s="450">
        <v>172</v>
      </c>
      <c r="B173" s="705"/>
      <c r="C173" s="765" t="s">
        <v>899</v>
      </c>
      <c r="D173" s="706" t="s">
        <v>900</v>
      </c>
      <c r="E173" s="710" t="s">
        <v>728</v>
      </c>
      <c r="F173" s="710" t="s">
        <v>901</v>
      </c>
      <c r="G173" s="725">
        <v>41411</v>
      </c>
      <c r="H173" s="710" t="s">
        <v>139</v>
      </c>
      <c r="I173" s="706">
        <v>12</v>
      </c>
      <c r="J173" s="706">
        <v>14</v>
      </c>
      <c r="K173" s="466">
        <v>35261.65</v>
      </c>
      <c r="L173" s="467">
        <v>4211</v>
      </c>
      <c r="M173" s="711">
        <f t="shared" si="5"/>
        <v>8.3736998337687</v>
      </c>
      <c r="N173" s="712">
        <v>41509</v>
      </c>
    </row>
    <row r="174" spans="1:14" ht="12.75">
      <c r="A174" s="450">
        <v>173</v>
      </c>
      <c r="B174" s="705"/>
      <c r="C174" s="761" t="s">
        <v>1111</v>
      </c>
      <c r="D174" s="714" t="s">
        <v>336</v>
      </c>
      <c r="E174" s="715" t="s">
        <v>313</v>
      </c>
      <c r="F174" s="728" t="s">
        <v>1112</v>
      </c>
      <c r="G174" s="717">
        <v>41474</v>
      </c>
      <c r="H174" s="718" t="s">
        <v>59</v>
      </c>
      <c r="I174" s="719">
        <v>7</v>
      </c>
      <c r="J174" s="719">
        <v>7</v>
      </c>
      <c r="K174" s="470">
        <f>12123.86+5062.5+1445+205+3881+5415+5246.23</f>
        <v>33378.59</v>
      </c>
      <c r="L174" s="471">
        <f>923+401+99+20+447+554+618</f>
        <v>3062</v>
      </c>
      <c r="M174" s="721">
        <f t="shared" si="5"/>
        <v>10.900911169170476</v>
      </c>
      <c r="N174" s="722">
        <v>41516</v>
      </c>
    </row>
    <row r="175" spans="1:14" ht="12.75">
      <c r="A175" s="450">
        <v>174</v>
      </c>
      <c r="B175" s="705"/>
      <c r="C175" s="769" t="s">
        <v>1079</v>
      </c>
      <c r="D175" s="718" t="s">
        <v>1067</v>
      </c>
      <c r="E175" s="718" t="s">
        <v>886</v>
      </c>
      <c r="F175" s="718" t="s">
        <v>1068</v>
      </c>
      <c r="G175" s="727">
        <v>41460</v>
      </c>
      <c r="H175" s="718" t="s">
        <v>46</v>
      </c>
      <c r="I175" s="719">
        <v>10</v>
      </c>
      <c r="J175" s="719">
        <v>9</v>
      </c>
      <c r="K175" s="540">
        <v>30823.06</v>
      </c>
      <c r="L175" s="546">
        <v>3790</v>
      </c>
      <c r="M175" s="721">
        <f t="shared" si="5"/>
        <v>8.132733509234829</v>
      </c>
      <c r="N175" s="722">
        <v>41516</v>
      </c>
    </row>
    <row r="176" spans="1:14" ht="12.75">
      <c r="A176" s="450">
        <v>175</v>
      </c>
      <c r="B176" s="705" t="s">
        <v>48</v>
      </c>
      <c r="C176" s="763" t="s">
        <v>809</v>
      </c>
      <c r="D176" s="710" t="s">
        <v>810</v>
      </c>
      <c r="E176" s="710"/>
      <c r="F176" s="710" t="s">
        <v>809</v>
      </c>
      <c r="G176" s="725">
        <v>41390</v>
      </c>
      <c r="H176" s="710" t="s">
        <v>46</v>
      </c>
      <c r="I176" s="706">
        <v>29</v>
      </c>
      <c r="J176" s="706">
        <v>5</v>
      </c>
      <c r="K176" s="466">
        <v>29949.37</v>
      </c>
      <c r="L176" s="467">
        <v>2832</v>
      </c>
      <c r="M176" s="711">
        <f t="shared" si="5"/>
        <v>10.575342514124294</v>
      </c>
      <c r="N176" s="712">
        <v>41432</v>
      </c>
    </row>
    <row r="177" spans="1:14" ht="12.75">
      <c r="A177" s="450">
        <v>176</v>
      </c>
      <c r="B177" s="723"/>
      <c r="C177" s="763" t="s">
        <v>893</v>
      </c>
      <c r="D177" s="707" t="s">
        <v>894</v>
      </c>
      <c r="E177" s="706" t="s">
        <v>895</v>
      </c>
      <c r="F177" s="724" t="s">
        <v>896</v>
      </c>
      <c r="G177" s="725">
        <v>41411</v>
      </c>
      <c r="H177" s="710" t="s">
        <v>327</v>
      </c>
      <c r="I177" s="726">
        <v>7</v>
      </c>
      <c r="J177" s="724">
        <v>6</v>
      </c>
      <c r="K177" s="468">
        <v>29824</v>
      </c>
      <c r="L177" s="469">
        <v>2566</v>
      </c>
      <c r="M177" s="711">
        <f t="shared" si="5"/>
        <v>11.622759158222914</v>
      </c>
      <c r="N177" s="712">
        <v>41502</v>
      </c>
    </row>
    <row r="178" spans="1:14" ht="12.75">
      <c r="A178" s="450">
        <v>177</v>
      </c>
      <c r="B178" s="705"/>
      <c r="C178" s="765" t="s">
        <v>711</v>
      </c>
      <c r="D178" s="706" t="s">
        <v>724</v>
      </c>
      <c r="E178" s="710" t="s">
        <v>65</v>
      </c>
      <c r="F178" s="710" t="s">
        <v>712</v>
      </c>
      <c r="G178" s="725">
        <v>41348</v>
      </c>
      <c r="H178" s="710" t="s">
        <v>139</v>
      </c>
      <c r="I178" s="706">
        <v>2</v>
      </c>
      <c r="J178" s="706">
        <v>10</v>
      </c>
      <c r="K178" s="466">
        <v>29241.6</v>
      </c>
      <c r="L178" s="467">
        <v>3526</v>
      </c>
      <c r="M178" s="711">
        <f t="shared" si="5"/>
        <v>8.293136698808848</v>
      </c>
      <c r="N178" s="712">
        <v>41418</v>
      </c>
    </row>
    <row r="179" spans="1:14" ht="12.75">
      <c r="A179" s="450">
        <v>178</v>
      </c>
      <c r="B179" s="705"/>
      <c r="C179" s="764" t="s">
        <v>1063</v>
      </c>
      <c r="D179" s="714" t="s">
        <v>1062</v>
      </c>
      <c r="E179" s="718" t="s">
        <v>256</v>
      </c>
      <c r="F179" s="718" t="s">
        <v>1060</v>
      </c>
      <c r="G179" s="727">
        <v>41453</v>
      </c>
      <c r="H179" s="718" t="s">
        <v>139</v>
      </c>
      <c r="I179" s="719">
        <v>5</v>
      </c>
      <c r="J179" s="719">
        <v>10</v>
      </c>
      <c r="K179" s="540">
        <v>28394.489999999998</v>
      </c>
      <c r="L179" s="546">
        <v>3249</v>
      </c>
      <c r="M179" s="721">
        <f t="shared" si="5"/>
        <v>8.739455216989843</v>
      </c>
      <c r="N179" s="722">
        <v>41516</v>
      </c>
    </row>
    <row r="180" spans="1:14" ht="12.75">
      <c r="A180" s="450">
        <v>179</v>
      </c>
      <c r="B180" s="705"/>
      <c r="C180" s="765" t="s">
        <v>919</v>
      </c>
      <c r="D180" s="706" t="s">
        <v>920</v>
      </c>
      <c r="E180" s="706" t="s">
        <v>284</v>
      </c>
      <c r="F180" s="710" t="s">
        <v>921</v>
      </c>
      <c r="G180" s="725">
        <v>41418</v>
      </c>
      <c r="H180" s="710" t="s">
        <v>244</v>
      </c>
      <c r="I180" s="706">
        <v>25</v>
      </c>
      <c r="J180" s="706">
        <v>4</v>
      </c>
      <c r="K180" s="468">
        <v>28247</v>
      </c>
      <c r="L180" s="469">
        <v>2524</v>
      </c>
      <c r="M180" s="711">
        <f t="shared" si="5"/>
        <v>11.191362916006339</v>
      </c>
      <c r="N180" s="712">
        <v>41439</v>
      </c>
    </row>
    <row r="181" spans="1:14" ht="12.75">
      <c r="A181" s="450">
        <v>180</v>
      </c>
      <c r="B181" s="723"/>
      <c r="C181" s="763" t="s">
        <v>1121</v>
      </c>
      <c r="D181" s="707" t="s">
        <v>1123</v>
      </c>
      <c r="E181" s="706" t="s">
        <v>92</v>
      </c>
      <c r="F181" s="724" t="s">
        <v>1122</v>
      </c>
      <c r="G181" s="725">
        <v>41481</v>
      </c>
      <c r="H181" s="710" t="s">
        <v>327</v>
      </c>
      <c r="I181" s="726">
        <v>5</v>
      </c>
      <c r="J181" s="724">
        <v>3</v>
      </c>
      <c r="K181" s="468">
        <v>27737</v>
      </c>
      <c r="L181" s="469">
        <v>2066</v>
      </c>
      <c r="M181" s="711">
        <f t="shared" si="5"/>
        <v>13.425459825750242</v>
      </c>
      <c r="N181" s="712">
        <v>41495</v>
      </c>
    </row>
    <row r="182" spans="1:14" ht="12.75">
      <c r="A182" s="450">
        <v>181</v>
      </c>
      <c r="B182" s="705"/>
      <c r="C182" s="765" t="s">
        <v>924</v>
      </c>
      <c r="D182" s="706" t="s">
        <v>279</v>
      </c>
      <c r="E182" s="710" t="s">
        <v>728</v>
      </c>
      <c r="F182" s="710" t="s">
        <v>925</v>
      </c>
      <c r="G182" s="725">
        <v>41418</v>
      </c>
      <c r="H182" s="710" t="s">
        <v>139</v>
      </c>
      <c r="I182" s="706">
        <v>5</v>
      </c>
      <c r="J182" s="706">
        <v>10</v>
      </c>
      <c r="K182" s="466">
        <v>27582.260000000002</v>
      </c>
      <c r="L182" s="467">
        <v>3070</v>
      </c>
      <c r="M182" s="711">
        <f t="shared" si="5"/>
        <v>8.984449511400651</v>
      </c>
      <c r="N182" s="712">
        <v>41481</v>
      </c>
    </row>
    <row r="183" spans="1:14" ht="12.75">
      <c r="A183" s="450">
        <v>182</v>
      </c>
      <c r="B183" s="705"/>
      <c r="C183" s="769" t="s">
        <v>1000</v>
      </c>
      <c r="D183" s="718" t="s">
        <v>1081</v>
      </c>
      <c r="E183" s="718" t="s">
        <v>403</v>
      </c>
      <c r="F183" s="718" t="s">
        <v>1002</v>
      </c>
      <c r="G183" s="727">
        <v>41432</v>
      </c>
      <c r="H183" s="718" t="s">
        <v>46</v>
      </c>
      <c r="I183" s="719">
        <v>20</v>
      </c>
      <c r="J183" s="719">
        <v>10</v>
      </c>
      <c r="K183" s="540">
        <v>27364.62</v>
      </c>
      <c r="L183" s="546">
        <v>3349</v>
      </c>
      <c r="M183" s="721">
        <f t="shared" si="5"/>
        <v>8.170982382800835</v>
      </c>
      <c r="N183" s="722">
        <v>41516</v>
      </c>
    </row>
    <row r="184" spans="1:14" ht="12.75">
      <c r="A184" s="450">
        <v>183</v>
      </c>
      <c r="B184" s="723"/>
      <c r="C184" s="763" t="s">
        <v>669</v>
      </c>
      <c r="D184" s="707" t="s">
        <v>678</v>
      </c>
      <c r="E184" s="706" t="s">
        <v>81</v>
      </c>
      <c r="F184" s="724" t="s">
        <v>83</v>
      </c>
      <c r="G184" s="709">
        <v>41348</v>
      </c>
      <c r="H184" s="710" t="s">
        <v>59</v>
      </c>
      <c r="I184" s="726">
        <v>1</v>
      </c>
      <c r="J184" s="706">
        <v>13</v>
      </c>
      <c r="K184" s="472">
        <f>7662+6270+2280+1866+1782+2552+834+484+713+475.2+32+666.5+1425.6</f>
        <v>27042.3</v>
      </c>
      <c r="L184" s="473">
        <f>731+599+219+178+356+215+70+47+133+169+16+175+285</f>
        <v>3193</v>
      </c>
      <c r="M184" s="711">
        <f t="shared" si="5"/>
        <v>8.469245223927341</v>
      </c>
      <c r="N184" s="712">
        <v>41495</v>
      </c>
    </row>
    <row r="185" spans="1:14" ht="12.75">
      <c r="A185" s="450">
        <v>184</v>
      </c>
      <c r="B185" s="705"/>
      <c r="C185" s="764" t="s">
        <v>1210</v>
      </c>
      <c r="D185" s="718" t="s">
        <v>1212</v>
      </c>
      <c r="E185" s="718" t="s">
        <v>82</v>
      </c>
      <c r="F185" s="718" t="s">
        <v>1211</v>
      </c>
      <c r="G185" s="717">
        <v>41516</v>
      </c>
      <c r="H185" s="718" t="s">
        <v>47</v>
      </c>
      <c r="I185" s="719">
        <v>54</v>
      </c>
      <c r="J185" s="734">
        <v>1</v>
      </c>
      <c r="K185" s="540">
        <f>24171.94</f>
        <v>24171.94</v>
      </c>
      <c r="L185" s="546">
        <f>2854</f>
        <v>2854</v>
      </c>
      <c r="M185" s="721">
        <f t="shared" si="5"/>
        <v>8.469495444989487</v>
      </c>
      <c r="N185" s="722">
        <v>41516</v>
      </c>
    </row>
    <row r="186" spans="1:14" ht="12.75">
      <c r="A186" s="450">
        <v>185</v>
      </c>
      <c r="B186" s="705"/>
      <c r="C186" s="764" t="s">
        <v>1135</v>
      </c>
      <c r="D186" s="714" t="s">
        <v>1132</v>
      </c>
      <c r="E186" s="718" t="s">
        <v>81</v>
      </c>
      <c r="F186" s="718" t="s">
        <v>1131</v>
      </c>
      <c r="G186" s="727">
        <v>41481</v>
      </c>
      <c r="H186" s="718" t="s">
        <v>139</v>
      </c>
      <c r="I186" s="719">
        <v>9</v>
      </c>
      <c r="J186" s="719">
        <v>6</v>
      </c>
      <c r="K186" s="540">
        <v>23076.1</v>
      </c>
      <c r="L186" s="546">
        <v>2045</v>
      </c>
      <c r="M186" s="721">
        <f aca="true" t="shared" si="6" ref="M186:M217">K186/L186</f>
        <v>11.284156479217604</v>
      </c>
      <c r="N186" s="722">
        <v>41516</v>
      </c>
    </row>
    <row r="187" spans="1:14" ht="12.75">
      <c r="A187" s="450">
        <v>186</v>
      </c>
      <c r="B187" s="705" t="s">
        <v>48</v>
      </c>
      <c r="C187" s="765" t="s">
        <v>803</v>
      </c>
      <c r="D187" s="710" t="s">
        <v>804</v>
      </c>
      <c r="E187" s="710"/>
      <c r="F187" s="710" t="s">
        <v>803</v>
      </c>
      <c r="G187" s="709">
        <v>41383</v>
      </c>
      <c r="H187" s="710" t="s">
        <v>805</v>
      </c>
      <c r="I187" s="706">
        <v>1</v>
      </c>
      <c r="J187" s="730">
        <v>2</v>
      </c>
      <c r="K187" s="466">
        <v>20306</v>
      </c>
      <c r="L187" s="467">
        <v>1846</v>
      </c>
      <c r="M187" s="711">
        <f t="shared" si="6"/>
        <v>11</v>
      </c>
      <c r="N187" s="712">
        <v>41404</v>
      </c>
    </row>
    <row r="188" spans="1:14" ht="12.75">
      <c r="A188" s="450">
        <v>187</v>
      </c>
      <c r="B188" s="705"/>
      <c r="C188" s="764" t="s">
        <v>1152</v>
      </c>
      <c r="D188" s="714" t="s">
        <v>1154</v>
      </c>
      <c r="E188" s="718" t="s">
        <v>313</v>
      </c>
      <c r="F188" s="718" t="s">
        <v>1153</v>
      </c>
      <c r="G188" s="727">
        <v>41495</v>
      </c>
      <c r="H188" s="718" t="s">
        <v>139</v>
      </c>
      <c r="I188" s="719">
        <v>2</v>
      </c>
      <c r="J188" s="719">
        <v>4</v>
      </c>
      <c r="K188" s="540">
        <v>20099.41</v>
      </c>
      <c r="L188" s="546">
        <v>1807</v>
      </c>
      <c r="M188" s="721">
        <f t="shared" si="6"/>
        <v>11.123082457111234</v>
      </c>
      <c r="N188" s="722">
        <v>41516</v>
      </c>
    </row>
    <row r="189" spans="1:14" ht="12.75">
      <c r="A189" s="450">
        <v>188</v>
      </c>
      <c r="B189" s="705" t="s">
        <v>48</v>
      </c>
      <c r="C189" s="765" t="s">
        <v>1003</v>
      </c>
      <c r="D189" s="706" t="s">
        <v>1004</v>
      </c>
      <c r="E189" s="710"/>
      <c r="F189" s="710" t="s">
        <v>1003</v>
      </c>
      <c r="G189" s="725">
        <v>41432</v>
      </c>
      <c r="H189" s="710" t="s">
        <v>139</v>
      </c>
      <c r="I189" s="706">
        <v>2</v>
      </c>
      <c r="J189" s="706">
        <v>5</v>
      </c>
      <c r="K189" s="466">
        <v>18869.6</v>
      </c>
      <c r="L189" s="467">
        <v>2619</v>
      </c>
      <c r="M189" s="711">
        <f t="shared" si="6"/>
        <v>7.204887361588392</v>
      </c>
      <c r="N189" s="712">
        <v>41467</v>
      </c>
    </row>
    <row r="190" spans="1:14" ht="12.75">
      <c r="A190" s="450">
        <v>189</v>
      </c>
      <c r="B190" s="705"/>
      <c r="C190" s="765" t="s">
        <v>655</v>
      </c>
      <c r="D190" s="706" t="s">
        <v>657</v>
      </c>
      <c r="E190" s="710" t="s">
        <v>256</v>
      </c>
      <c r="F190" s="710" t="s">
        <v>656</v>
      </c>
      <c r="G190" s="725">
        <v>41313</v>
      </c>
      <c r="H190" s="710" t="s">
        <v>139</v>
      </c>
      <c r="I190" s="706">
        <v>1</v>
      </c>
      <c r="J190" s="706">
        <v>10</v>
      </c>
      <c r="K190" s="466">
        <v>18635.6</v>
      </c>
      <c r="L190" s="467">
        <v>2793</v>
      </c>
      <c r="M190" s="711">
        <f t="shared" si="6"/>
        <v>6.6722520587182235</v>
      </c>
      <c r="N190" s="712">
        <v>41411</v>
      </c>
    </row>
    <row r="191" spans="1:14" ht="12.75">
      <c r="A191" s="450">
        <v>190</v>
      </c>
      <c r="B191" s="705"/>
      <c r="C191" s="764" t="s">
        <v>1149</v>
      </c>
      <c r="D191" s="714" t="s">
        <v>1151</v>
      </c>
      <c r="E191" s="718" t="s">
        <v>313</v>
      </c>
      <c r="F191" s="718" t="s">
        <v>1150</v>
      </c>
      <c r="G191" s="727">
        <v>41488</v>
      </c>
      <c r="H191" s="718" t="s">
        <v>139</v>
      </c>
      <c r="I191" s="719">
        <v>3</v>
      </c>
      <c r="J191" s="719">
        <v>5</v>
      </c>
      <c r="K191" s="540">
        <v>17818.46</v>
      </c>
      <c r="L191" s="546">
        <v>1563</v>
      </c>
      <c r="M191" s="721">
        <f t="shared" si="6"/>
        <v>11.400166346769034</v>
      </c>
      <c r="N191" s="722">
        <v>41516</v>
      </c>
    </row>
    <row r="192" spans="1:14" ht="12.75">
      <c r="A192" s="450">
        <v>191</v>
      </c>
      <c r="B192" s="705" t="s">
        <v>48</v>
      </c>
      <c r="C192" s="763" t="s">
        <v>914</v>
      </c>
      <c r="D192" s="710" t="s">
        <v>916</v>
      </c>
      <c r="E192" s="710"/>
      <c r="F192" s="710" t="s">
        <v>914</v>
      </c>
      <c r="G192" s="725">
        <v>41418</v>
      </c>
      <c r="H192" s="710" t="s">
        <v>46</v>
      </c>
      <c r="I192" s="706">
        <v>15</v>
      </c>
      <c r="J192" s="706">
        <v>7</v>
      </c>
      <c r="K192" s="466">
        <v>16286.5</v>
      </c>
      <c r="L192" s="467">
        <v>2168</v>
      </c>
      <c r="M192" s="711">
        <f t="shared" si="6"/>
        <v>7.512223247232472</v>
      </c>
      <c r="N192" s="712">
        <v>41495</v>
      </c>
    </row>
    <row r="193" spans="1:14" ht="12.75">
      <c r="A193" s="450">
        <v>192</v>
      </c>
      <c r="B193" s="705"/>
      <c r="C193" s="764" t="s">
        <v>1103</v>
      </c>
      <c r="D193" s="714" t="s">
        <v>155</v>
      </c>
      <c r="E193" s="718" t="s">
        <v>728</v>
      </c>
      <c r="F193" s="718" t="s">
        <v>1102</v>
      </c>
      <c r="G193" s="727">
        <v>41467</v>
      </c>
      <c r="H193" s="718" t="s">
        <v>139</v>
      </c>
      <c r="I193" s="719">
        <v>3</v>
      </c>
      <c r="J193" s="719">
        <v>7</v>
      </c>
      <c r="K193" s="540">
        <v>16078.920000000002</v>
      </c>
      <c r="L193" s="546">
        <v>1742</v>
      </c>
      <c r="M193" s="721">
        <f t="shared" si="6"/>
        <v>9.230149253731344</v>
      </c>
      <c r="N193" s="722">
        <v>41516</v>
      </c>
    </row>
    <row r="194" spans="1:14" ht="12.75">
      <c r="A194" s="450">
        <v>193</v>
      </c>
      <c r="B194" s="705" t="s">
        <v>48</v>
      </c>
      <c r="C194" s="765" t="s">
        <v>819</v>
      </c>
      <c r="D194" s="706" t="s">
        <v>820</v>
      </c>
      <c r="E194" s="710"/>
      <c r="F194" s="710" t="s">
        <v>819</v>
      </c>
      <c r="G194" s="725">
        <v>41390</v>
      </c>
      <c r="H194" s="710" t="s">
        <v>139</v>
      </c>
      <c r="I194" s="706">
        <v>15</v>
      </c>
      <c r="J194" s="706">
        <v>7</v>
      </c>
      <c r="K194" s="466">
        <v>15737.5</v>
      </c>
      <c r="L194" s="467">
        <v>1602</v>
      </c>
      <c r="M194" s="711">
        <f t="shared" si="6"/>
        <v>9.823657927590512</v>
      </c>
      <c r="N194" s="712">
        <v>41460</v>
      </c>
    </row>
    <row r="195" spans="1:14" ht="12.75">
      <c r="A195" s="450">
        <v>194</v>
      </c>
      <c r="B195" s="705" t="s">
        <v>48</v>
      </c>
      <c r="C195" s="765" t="s">
        <v>997</v>
      </c>
      <c r="D195" s="710" t="s">
        <v>998</v>
      </c>
      <c r="E195" s="710"/>
      <c r="F195" s="710" t="s">
        <v>997</v>
      </c>
      <c r="G195" s="709">
        <v>41432</v>
      </c>
      <c r="H195" s="710" t="s">
        <v>47</v>
      </c>
      <c r="I195" s="706">
        <v>23</v>
      </c>
      <c r="J195" s="726">
        <v>4</v>
      </c>
      <c r="K195" s="466">
        <f>8353.16+6345+370</f>
        <v>15068.16</v>
      </c>
      <c r="L195" s="467">
        <f>1036+821+53</f>
        <v>1910</v>
      </c>
      <c r="M195" s="711">
        <f t="shared" si="6"/>
        <v>7.889089005235602</v>
      </c>
      <c r="N195" s="712">
        <v>41453</v>
      </c>
    </row>
    <row r="196" spans="1:14" ht="12.75">
      <c r="A196" s="450">
        <v>195</v>
      </c>
      <c r="B196" s="723"/>
      <c r="C196" s="769" t="s">
        <v>1168</v>
      </c>
      <c r="D196" s="715" t="s">
        <v>1170</v>
      </c>
      <c r="E196" s="714" t="s">
        <v>92</v>
      </c>
      <c r="F196" s="733" t="s">
        <v>1169</v>
      </c>
      <c r="G196" s="727">
        <v>41502</v>
      </c>
      <c r="H196" s="718" t="s">
        <v>327</v>
      </c>
      <c r="I196" s="734">
        <v>5</v>
      </c>
      <c r="J196" s="735">
        <v>3</v>
      </c>
      <c r="K196" s="470">
        <v>14810</v>
      </c>
      <c r="L196" s="471">
        <v>1344</v>
      </c>
      <c r="M196" s="721">
        <f t="shared" si="6"/>
        <v>11.019345238095237</v>
      </c>
      <c r="N196" s="722">
        <v>41516</v>
      </c>
    </row>
    <row r="197" spans="1:14" ht="12.75">
      <c r="A197" s="450">
        <v>196</v>
      </c>
      <c r="B197" s="705"/>
      <c r="C197" s="761" t="s">
        <v>1205</v>
      </c>
      <c r="D197" s="714" t="s">
        <v>1207</v>
      </c>
      <c r="E197" s="715" t="s">
        <v>313</v>
      </c>
      <c r="F197" s="728" t="s">
        <v>1206</v>
      </c>
      <c r="G197" s="717">
        <v>41516</v>
      </c>
      <c r="H197" s="718" t="s">
        <v>59</v>
      </c>
      <c r="I197" s="719">
        <v>7</v>
      </c>
      <c r="J197" s="719">
        <v>1</v>
      </c>
      <c r="K197" s="470">
        <f>14291</f>
        <v>14291</v>
      </c>
      <c r="L197" s="471">
        <f>1227</f>
        <v>1227</v>
      </c>
      <c r="M197" s="721">
        <f t="shared" si="6"/>
        <v>11.647106764466178</v>
      </c>
      <c r="N197" s="722">
        <v>41516</v>
      </c>
    </row>
    <row r="198" spans="1:14" ht="12.75">
      <c r="A198" s="450">
        <v>197</v>
      </c>
      <c r="B198" s="705"/>
      <c r="C198" s="764" t="s">
        <v>1108</v>
      </c>
      <c r="D198" s="718" t="s">
        <v>1110</v>
      </c>
      <c r="E198" s="718" t="s">
        <v>859</v>
      </c>
      <c r="F198" s="718" t="s">
        <v>1109</v>
      </c>
      <c r="G198" s="717">
        <v>41474</v>
      </c>
      <c r="H198" s="718" t="s">
        <v>47</v>
      </c>
      <c r="I198" s="719">
        <v>15</v>
      </c>
      <c r="J198" s="734">
        <v>6</v>
      </c>
      <c r="K198" s="540">
        <f>7597+1706+1361+1055+2400</f>
        <v>14119</v>
      </c>
      <c r="L198" s="546">
        <f>873+193+134+117+449</f>
        <v>1766</v>
      </c>
      <c r="M198" s="721">
        <f t="shared" si="6"/>
        <v>7.994903737259343</v>
      </c>
      <c r="N198" s="722">
        <v>41516</v>
      </c>
    </row>
    <row r="199" spans="1:14" ht="12.75">
      <c r="A199" s="450">
        <v>198</v>
      </c>
      <c r="B199" s="705"/>
      <c r="C199" s="764" t="s">
        <v>1133</v>
      </c>
      <c r="D199" s="714" t="s">
        <v>1134</v>
      </c>
      <c r="E199" s="718" t="s">
        <v>81</v>
      </c>
      <c r="F199" s="718" t="s">
        <v>1133</v>
      </c>
      <c r="G199" s="727">
        <v>41481</v>
      </c>
      <c r="H199" s="718" t="s">
        <v>139</v>
      </c>
      <c r="I199" s="719">
        <v>1</v>
      </c>
      <c r="J199" s="719">
        <v>6</v>
      </c>
      <c r="K199" s="540">
        <v>12643</v>
      </c>
      <c r="L199" s="546">
        <v>1188</v>
      </c>
      <c r="M199" s="721">
        <f t="shared" si="6"/>
        <v>10.642255892255893</v>
      </c>
      <c r="N199" s="722">
        <v>41516</v>
      </c>
    </row>
    <row r="200" spans="1:14" ht="12.75">
      <c r="A200" s="450">
        <v>199</v>
      </c>
      <c r="B200" s="705"/>
      <c r="C200" s="760" t="s">
        <v>762</v>
      </c>
      <c r="D200" s="706" t="s">
        <v>332</v>
      </c>
      <c r="E200" s="707" t="s">
        <v>81</v>
      </c>
      <c r="F200" s="708" t="s">
        <v>763</v>
      </c>
      <c r="G200" s="725">
        <v>41369</v>
      </c>
      <c r="H200" s="710" t="s">
        <v>59</v>
      </c>
      <c r="I200" s="706">
        <v>1</v>
      </c>
      <c r="J200" s="706">
        <v>10</v>
      </c>
      <c r="K200" s="472">
        <f>4176.5+1818+1608+442+864+293+953.5+419+295+272.72+98+655</f>
        <v>11894.72</v>
      </c>
      <c r="L200" s="473">
        <f>256+143+110+33+90+46+65+39+28+36+10+64</f>
        <v>920</v>
      </c>
      <c r="M200" s="711">
        <f t="shared" si="6"/>
        <v>12.92904347826087</v>
      </c>
      <c r="N200" s="712">
        <v>41460</v>
      </c>
    </row>
    <row r="201" spans="1:14" ht="12.75">
      <c r="A201" s="450">
        <v>200</v>
      </c>
      <c r="B201" s="705"/>
      <c r="C201" s="763" t="s">
        <v>932</v>
      </c>
      <c r="D201" s="710" t="s">
        <v>935</v>
      </c>
      <c r="E201" s="710" t="s">
        <v>933</v>
      </c>
      <c r="F201" s="710" t="s">
        <v>934</v>
      </c>
      <c r="G201" s="725">
        <v>41425</v>
      </c>
      <c r="H201" s="710" t="s">
        <v>46</v>
      </c>
      <c r="I201" s="706">
        <v>1</v>
      </c>
      <c r="J201" s="706">
        <v>3</v>
      </c>
      <c r="K201" s="466">
        <v>11754</v>
      </c>
      <c r="L201" s="467">
        <v>1169</v>
      </c>
      <c r="M201" s="711">
        <f t="shared" si="6"/>
        <v>10.054747647562019</v>
      </c>
      <c r="N201" s="712">
        <v>41481</v>
      </c>
    </row>
    <row r="202" spans="1:14" ht="12.75">
      <c r="A202" s="450">
        <v>201</v>
      </c>
      <c r="B202" s="705"/>
      <c r="C202" s="763" t="s">
        <v>915</v>
      </c>
      <c r="D202" s="710" t="s">
        <v>917</v>
      </c>
      <c r="E202" s="710" t="s">
        <v>75</v>
      </c>
      <c r="F202" s="710" t="s">
        <v>1069</v>
      </c>
      <c r="G202" s="725">
        <v>41418</v>
      </c>
      <c r="H202" s="710" t="s">
        <v>46</v>
      </c>
      <c r="I202" s="706">
        <v>1</v>
      </c>
      <c r="J202" s="706">
        <v>7</v>
      </c>
      <c r="K202" s="466">
        <v>11248</v>
      </c>
      <c r="L202" s="467">
        <v>1131</v>
      </c>
      <c r="M202" s="711">
        <f t="shared" si="6"/>
        <v>9.945181255526084</v>
      </c>
      <c r="N202" s="712">
        <v>41502</v>
      </c>
    </row>
    <row r="203" spans="1:14" ht="12.75">
      <c r="A203" s="450">
        <v>202</v>
      </c>
      <c r="B203" s="705"/>
      <c r="C203" s="760" t="s">
        <v>1008</v>
      </c>
      <c r="D203" s="706" t="s">
        <v>334</v>
      </c>
      <c r="E203" s="707" t="s">
        <v>67</v>
      </c>
      <c r="F203" s="708" t="s">
        <v>1009</v>
      </c>
      <c r="G203" s="709">
        <v>41432</v>
      </c>
      <c r="H203" s="710" t="s">
        <v>59</v>
      </c>
      <c r="I203" s="706">
        <v>1</v>
      </c>
      <c r="J203" s="706">
        <v>7</v>
      </c>
      <c r="K203" s="472">
        <f>4138+2319+1030+387+318+2376+494</f>
        <v>11062</v>
      </c>
      <c r="L203" s="473">
        <f>294+157+98+45+51+475+44</f>
        <v>1164</v>
      </c>
      <c r="M203" s="711">
        <f t="shared" si="6"/>
        <v>9.503436426116838</v>
      </c>
      <c r="N203" s="712">
        <v>41488</v>
      </c>
    </row>
    <row r="204" spans="1:14" ht="12.75">
      <c r="A204" s="450">
        <v>203</v>
      </c>
      <c r="B204" s="705" t="s">
        <v>48</v>
      </c>
      <c r="C204" s="760" t="s">
        <v>1026</v>
      </c>
      <c r="D204" s="706" t="s">
        <v>1027</v>
      </c>
      <c r="E204" s="707"/>
      <c r="F204" s="708" t="s">
        <v>1026</v>
      </c>
      <c r="G204" s="709">
        <v>41446</v>
      </c>
      <c r="H204" s="710" t="s">
        <v>59</v>
      </c>
      <c r="I204" s="706">
        <v>9</v>
      </c>
      <c r="J204" s="706">
        <v>6</v>
      </c>
      <c r="K204" s="472">
        <f>6345.5+3105+573.72+566+134+172.5</f>
        <v>10896.72</v>
      </c>
      <c r="L204" s="473">
        <f>562+294+79+55+19+37</f>
        <v>1046</v>
      </c>
      <c r="M204" s="711">
        <f t="shared" si="6"/>
        <v>10.417514340344168</v>
      </c>
      <c r="N204" s="712">
        <v>41481</v>
      </c>
    </row>
    <row r="205" spans="1:14" ht="12.75">
      <c r="A205" s="450">
        <v>204</v>
      </c>
      <c r="B205" s="705"/>
      <c r="C205" s="764" t="s">
        <v>1171</v>
      </c>
      <c r="D205" s="714" t="s">
        <v>1172</v>
      </c>
      <c r="E205" s="718" t="s">
        <v>313</v>
      </c>
      <c r="F205" s="718" t="s">
        <v>1173</v>
      </c>
      <c r="G205" s="727">
        <v>41502</v>
      </c>
      <c r="H205" s="718" t="s">
        <v>139</v>
      </c>
      <c r="I205" s="719">
        <v>2</v>
      </c>
      <c r="J205" s="719">
        <v>3</v>
      </c>
      <c r="K205" s="540">
        <v>8901</v>
      </c>
      <c r="L205" s="546">
        <v>877</v>
      </c>
      <c r="M205" s="721">
        <f t="shared" si="6"/>
        <v>10.149372862029647</v>
      </c>
      <c r="N205" s="722">
        <v>41516</v>
      </c>
    </row>
    <row r="206" spans="1:14" ht="12.75">
      <c r="A206" s="450">
        <v>205</v>
      </c>
      <c r="B206" s="705"/>
      <c r="C206" s="760" t="s">
        <v>844</v>
      </c>
      <c r="D206" s="706" t="s">
        <v>846</v>
      </c>
      <c r="E206" s="707" t="s">
        <v>81</v>
      </c>
      <c r="F206" s="708" t="s">
        <v>845</v>
      </c>
      <c r="G206" s="709">
        <v>41397</v>
      </c>
      <c r="H206" s="710" t="s">
        <v>59</v>
      </c>
      <c r="I206" s="706">
        <v>2</v>
      </c>
      <c r="J206" s="706">
        <v>3</v>
      </c>
      <c r="K206" s="472">
        <f>5339.95+1008.93+1782</f>
        <v>8130.88</v>
      </c>
      <c r="L206" s="473">
        <f>504+105+356</f>
        <v>965</v>
      </c>
      <c r="M206" s="711">
        <f t="shared" si="6"/>
        <v>8.425782383419689</v>
      </c>
      <c r="N206" s="712">
        <v>41432</v>
      </c>
    </row>
    <row r="207" spans="1:14" ht="12.75">
      <c r="A207" s="450">
        <v>206</v>
      </c>
      <c r="B207" s="705"/>
      <c r="C207" s="760" t="s">
        <v>907</v>
      </c>
      <c r="D207" s="706" t="s">
        <v>909</v>
      </c>
      <c r="E207" s="707" t="s">
        <v>81</v>
      </c>
      <c r="F207" s="708" t="s">
        <v>908</v>
      </c>
      <c r="G207" s="725">
        <v>41418</v>
      </c>
      <c r="H207" s="710" t="s">
        <v>59</v>
      </c>
      <c r="I207" s="706">
        <v>1</v>
      </c>
      <c r="J207" s="706">
        <v>9</v>
      </c>
      <c r="K207" s="472">
        <f>3656+294+187+164+235+811+762+562+1425.6</f>
        <v>8096.6</v>
      </c>
      <c r="L207" s="473">
        <f>345+42+30+26+36+74+67+49+285</f>
        <v>954</v>
      </c>
      <c r="M207" s="711">
        <f t="shared" si="6"/>
        <v>8.48700209643606</v>
      </c>
      <c r="N207" s="712">
        <v>41509</v>
      </c>
    </row>
    <row r="208" spans="1:14" ht="12.75">
      <c r="A208" s="450">
        <v>207</v>
      </c>
      <c r="B208" s="723"/>
      <c r="C208" s="763" t="s">
        <v>858</v>
      </c>
      <c r="D208" s="707" t="s">
        <v>860</v>
      </c>
      <c r="E208" s="724" t="s">
        <v>400</v>
      </c>
      <c r="F208" s="724" t="s">
        <v>861</v>
      </c>
      <c r="G208" s="725">
        <v>41404</v>
      </c>
      <c r="H208" s="710" t="s">
        <v>327</v>
      </c>
      <c r="I208" s="726">
        <v>5</v>
      </c>
      <c r="J208" s="757">
        <v>6</v>
      </c>
      <c r="K208" s="468">
        <v>7885</v>
      </c>
      <c r="L208" s="469">
        <v>623</v>
      </c>
      <c r="M208" s="711">
        <f t="shared" si="6"/>
        <v>12.656500802568218</v>
      </c>
      <c r="N208" s="712">
        <v>41488</v>
      </c>
    </row>
    <row r="209" spans="1:14" ht="12.75">
      <c r="A209" s="450">
        <v>208</v>
      </c>
      <c r="B209" s="705"/>
      <c r="C209" s="765" t="s">
        <v>752</v>
      </c>
      <c r="D209" s="706" t="s">
        <v>263</v>
      </c>
      <c r="E209" s="710" t="s">
        <v>784</v>
      </c>
      <c r="F209" s="710" t="s">
        <v>753</v>
      </c>
      <c r="G209" s="725">
        <v>41362</v>
      </c>
      <c r="H209" s="710" t="s">
        <v>139</v>
      </c>
      <c r="I209" s="706">
        <v>4</v>
      </c>
      <c r="J209" s="706">
        <v>8</v>
      </c>
      <c r="K209" s="466">
        <v>6890.8</v>
      </c>
      <c r="L209" s="467">
        <v>824</v>
      </c>
      <c r="M209" s="711">
        <f t="shared" si="6"/>
        <v>8.3626213592233</v>
      </c>
      <c r="N209" s="712">
        <v>41439</v>
      </c>
    </row>
    <row r="210" spans="1:14" ht="12.75">
      <c r="A210" s="450">
        <v>209</v>
      </c>
      <c r="B210" s="705"/>
      <c r="C210" s="764" t="s">
        <v>1092</v>
      </c>
      <c r="D210" s="718" t="s">
        <v>1094</v>
      </c>
      <c r="E210" s="718" t="s">
        <v>784</v>
      </c>
      <c r="F210" s="718" t="s">
        <v>1093</v>
      </c>
      <c r="G210" s="717">
        <v>41467</v>
      </c>
      <c r="H210" s="718" t="s">
        <v>47</v>
      </c>
      <c r="I210" s="719">
        <v>3</v>
      </c>
      <c r="J210" s="734">
        <v>8</v>
      </c>
      <c r="K210" s="540">
        <f>1668.36+775+757+647.5+488+649+339.58+428</f>
        <v>5752.44</v>
      </c>
      <c r="L210" s="546">
        <f>164+69+68+48+37+90+46+52</f>
        <v>574</v>
      </c>
      <c r="M210" s="721">
        <f t="shared" si="6"/>
        <v>10.021672473867595</v>
      </c>
      <c r="N210" s="722">
        <v>41516</v>
      </c>
    </row>
    <row r="211" spans="1:14" ht="12.75">
      <c r="A211" s="450">
        <v>210</v>
      </c>
      <c r="B211" s="705"/>
      <c r="C211" s="760" t="s">
        <v>1065</v>
      </c>
      <c r="D211" s="706" t="s">
        <v>964</v>
      </c>
      <c r="E211" s="707" t="s">
        <v>65</v>
      </c>
      <c r="F211" s="708" t="s">
        <v>1066</v>
      </c>
      <c r="G211" s="709">
        <v>41460</v>
      </c>
      <c r="H211" s="710" t="s">
        <v>59</v>
      </c>
      <c r="I211" s="706">
        <v>4</v>
      </c>
      <c r="J211" s="706">
        <v>3</v>
      </c>
      <c r="K211" s="472">
        <f>3120.48+921.5+1086</f>
        <v>5127.98</v>
      </c>
      <c r="L211" s="473">
        <f>272+78+103</f>
        <v>453</v>
      </c>
      <c r="M211" s="711">
        <f t="shared" si="6"/>
        <v>11.320044150110375</v>
      </c>
      <c r="N211" s="712">
        <v>41481</v>
      </c>
    </row>
    <row r="212" spans="1:14" ht="12.75">
      <c r="A212" s="450">
        <v>211</v>
      </c>
      <c r="B212" s="705" t="s">
        <v>48</v>
      </c>
      <c r="C212" s="764" t="s">
        <v>1155</v>
      </c>
      <c r="D212" s="718" t="s">
        <v>1156</v>
      </c>
      <c r="E212" s="718"/>
      <c r="F212" s="718" t="s">
        <v>1155</v>
      </c>
      <c r="G212" s="717">
        <v>41495</v>
      </c>
      <c r="H212" s="718" t="s">
        <v>47</v>
      </c>
      <c r="I212" s="719">
        <v>12</v>
      </c>
      <c r="J212" s="734">
        <v>4</v>
      </c>
      <c r="K212" s="540">
        <f>4113+388+63+293</f>
        <v>4857</v>
      </c>
      <c r="L212" s="546">
        <f>510+45+9+40</f>
        <v>604</v>
      </c>
      <c r="M212" s="721">
        <f t="shared" si="6"/>
        <v>8.041390728476822</v>
      </c>
      <c r="N212" s="722">
        <v>41516</v>
      </c>
    </row>
    <row r="213" spans="1:14" ht="12.75">
      <c r="A213" s="450">
        <v>212</v>
      </c>
      <c r="B213" s="705"/>
      <c r="C213" s="760" t="s">
        <v>1029</v>
      </c>
      <c r="D213" s="706" t="s">
        <v>1028</v>
      </c>
      <c r="E213" s="707" t="s">
        <v>81</v>
      </c>
      <c r="F213" s="708" t="s">
        <v>1030</v>
      </c>
      <c r="G213" s="709">
        <v>41446</v>
      </c>
      <c r="H213" s="710" t="s">
        <v>59</v>
      </c>
      <c r="I213" s="706">
        <v>1</v>
      </c>
      <c r="J213" s="706">
        <v>4</v>
      </c>
      <c r="K213" s="472">
        <f>1025+715+2434.74+288+67.5+281</f>
        <v>4811.24</v>
      </c>
      <c r="L213" s="473">
        <f>101+66+224+36+18+49</f>
        <v>494</v>
      </c>
      <c r="M213" s="711">
        <f t="shared" si="6"/>
        <v>9.739352226720648</v>
      </c>
      <c r="N213" s="712">
        <v>41495</v>
      </c>
    </row>
    <row r="214" spans="1:14" ht="12.75">
      <c r="A214" s="450">
        <v>213</v>
      </c>
      <c r="B214" s="705" t="s">
        <v>48</v>
      </c>
      <c r="C214" s="765" t="s">
        <v>942</v>
      </c>
      <c r="D214" s="706" t="s">
        <v>876</v>
      </c>
      <c r="E214" s="710"/>
      <c r="F214" s="710" t="s">
        <v>942</v>
      </c>
      <c r="G214" s="725">
        <v>41425</v>
      </c>
      <c r="H214" s="710" t="s">
        <v>139</v>
      </c>
      <c r="I214" s="706">
        <v>3</v>
      </c>
      <c r="J214" s="706">
        <v>7</v>
      </c>
      <c r="K214" s="466">
        <v>4553</v>
      </c>
      <c r="L214" s="467">
        <v>461</v>
      </c>
      <c r="M214" s="711">
        <f t="shared" si="6"/>
        <v>9.876355748373102</v>
      </c>
      <c r="N214" s="712">
        <v>41481</v>
      </c>
    </row>
    <row r="215" spans="1:14" ht="12.75">
      <c r="A215" s="450">
        <v>214</v>
      </c>
      <c r="B215" s="758"/>
      <c r="C215" s="765" t="s">
        <v>1035</v>
      </c>
      <c r="D215" s="706" t="s">
        <v>1037</v>
      </c>
      <c r="E215" s="710" t="s">
        <v>1038</v>
      </c>
      <c r="F215" s="710" t="s">
        <v>1036</v>
      </c>
      <c r="G215" s="725">
        <v>41081</v>
      </c>
      <c r="H215" s="710" t="s">
        <v>139</v>
      </c>
      <c r="I215" s="706">
        <v>3</v>
      </c>
      <c r="J215" s="706">
        <v>5</v>
      </c>
      <c r="K215" s="466">
        <v>3793</v>
      </c>
      <c r="L215" s="467">
        <v>405</v>
      </c>
      <c r="M215" s="711">
        <f t="shared" si="6"/>
        <v>9.365432098765432</v>
      </c>
      <c r="N215" s="712">
        <v>41474</v>
      </c>
    </row>
    <row r="216" spans="1:14" ht="12.75">
      <c r="A216" s="450">
        <v>215</v>
      </c>
      <c r="B216" s="705"/>
      <c r="C216" s="765" t="s">
        <v>1058</v>
      </c>
      <c r="D216" s="706" t="s">
        <v>1061</v>
      </c>
      <c r="E216" s="710" t="s">
        <v>81</v>
      </c>
      <c r="F216" s="710" t="s">
        <v>1059</v>
      </c>
      <c r="G216" s="725">
        <v>41453</v>
      </c>
      <c r="H216" s="710" t="s">
        <v>139</v>
      </c>
      <c r="I216" s="706">
        <v>1</v>
      </c>
      <c r="J216" s="706">
        <v>3</v>
      </c>
      <c r="K216" s="466">
        <v>2164</v>
      </c>
      <c r="L216" s="467">
        <v>221</v>
      </c>
      <c r="M216" s="711">
        <f t="shared" si="6"/>
        <v>9.79185520361991</v>
      </c>
      <c r="N216" s="712">
        <v>41467</v>
      </c>
    </row>
    <row r="217" spans="1:14" ht="12.75">
      <c r="A217" s="450">
        <v>216</v>
      </c>
      <c r="B217" s="705"/>
      <c r="C217" s="765" t="s">
        <v>821</v>
      </c>
      <c r="D217" s="706" t="s">
        <v>823</v>
      </c>
      <c r="E217" s="710" t="s">
        <v>282</v>
      </c>
      <c r="F217" s="710" t="s">
        <v>822</v>
      </c>
      <c r="G217" s="725">
        <v>41390</v>
      </c>
      <c r="H217" s="710" t="s">
        <v>139</v>
      </c>
      <c r="I217" s="706">
        <v>1</v>
      </c>
      <c r="J217" s="706">
        <v>3</v>
      </c>
      <c r="K217" s="466">
        <v>1462</v>
      </c>
      <c r="L217" s="467">
        <v>111</v>
      </c>
      <c r="M217" s="711">
        <f t="shared" si="6"/>
        <v>13.17117117117117</v>
      </c>
      <c r="N217" s="712">
        <v>41411</v>
      </c>
    </row>
    <row r="218" spans="1:14" ht="12.75">
      <c r="A218" s="450">
        <v>217</v>
      </c>
      <c r="B218" s="723"/>
      <c r="C218" s="763" t="s">
        <v>691</v>
      </c>
      <c r="D218" s="707" t="s">
        <v>692</v>
      </c>
      <c r="E218" s="706" t="s">
        <v>347</v>
      </c>
      <c r="F218" s="724" t="s">
        <v>693</v>
      </c>
      <c r="G218" s="725">
        <v>41334</v>
      </c>
      <c r="H218" s="710" t="s">
        <v>327</v>
      </c>
      <c r="I218" s="726">
        <v>4</v>
      </c>
      <c r="J218" s="724">
        <v>6</v>
      </c>
      <c r="K218" s="468">
        <v>1423</v>
      </c>
      <c r="L218" s="469">
        <v>143</v>
      </c>
      <c r="M218" s="711">
        <f>K218/L218</f>
        <v>9.951048951048952</v>
      </c>
      <c r="N218" s="712">
        <v>41383</v>
      </c>
    </row>
  </sheetData>
  <sheetProtection/>
  <mergeCells count="1">
    <mergeCell ref="B1:N1"/>
  </mergeCells>
  <printOptions/>
  <pageMargins left="0.7" right="0.7" top="0.75" bottom="0.75" header="0.3" footer="0.3"/>
  <pageSetup horizontalDpi="600" verticalDpi="600" orientation="portrait" paperSize="9" r:id="rId1"/>
  <ignoredErrors>
    <ignoredError sqref="K2:L50 K52:L218" unlockedFormula="1"/>
  </ignoredErrors>
</worksheet>
</file>

<file path=xl/worksheets/sheet6.xml><?xml version="1.0" encoding="utf-8"?>
<worksheet xmlns="http://schemas.openxmlformats.org/spreadsheetml/2006/main" xmlns:r="http://schemas.openxmlformats.org/officeDocument/2006/relationships">
  <sheetPr>
    <tabColor rgb="FFFFFF00"/>
  </sheetPr>
  <dimension ref="A1:M45"/>
  <sheetViews>
    <sheetView zoomScalePageLayoutView="0" workbookViewId="0" topLeftCell="A1">
      <selection activeCell="A1" sqref="A1"/>
    </sheetView>
  </sheetViews>
  <sheetFormatPr defaultColWidth="2.8515625" defaultRowHeight="12.75"/>
  <cols>
    <col min="1" max="1" width="2.7109375" style="12" bestFit="1" customWidth="1"/>
    <col min="2" max="2" width="1.57421875" style="7" bestFit="1" customWidth="1"/>
    <col min="3" max="3" width="43.57421875" style="373" bestFit="1" customWidth="1"/>
    <col min="4" max="4" width="16.7109375" style="15" bestFit="1" customWidth="1"/>
    <col min="5" max="5" width="6.8515625" style="7" bestFit="1" customWidth="1"/>
    <col min="6" max="6" width="42.140625" style="7" bestFit="1" customWidth="1"/>
    <col min="7" max="7" width="7.00390625" style="7" bestFit="1" customWidth="1"/>
    <col min="8" max="8" width="16.57421875" style="7" bestFit="1" customWidth="1"/>
    <col min="9" max="9" width="3.57421875" style="7" bestFit="1" customWidth="1"/>
    <col min="10" max="10" width="2.7109375" style="14" bestFit="1" customWidth="1"/>
    <col min="11" max="11" width="10.8515625" style="373" bestFit="1" customWidth="1"/>
    <col min="12" max="12" width="7.8515625" style="373" bestFit="1" customWidth="1"/>
    <col min="13" max="13" width="4.8515625" style="7" bestFit="1" customWidth="1"/>
    <col min="14" max="16384" width="2.8515625" style="7" customWidth="1"/>
  </cols>
  <sheetData>
    <row r="1" spans="1:13" ht="13.5" thickBot="1">
      <c r="A1" s="345"/>
      <c r="B1" s="853" t="s">
        <v>1219</v>
      </c>
      <c r="C1" s="853"/>
      <c r="D1" s="853"/>
      <c r="E1" s="853"/>
      <c r="F1" s="853"/>
      <c r="G1" s="853"/>
      <c r="H1" s="853"/>
      <c r="I1" s="853"/>
      <c r="J1" s="853"/>
      <c r="K1" s="854"/>
      <c r="L1" s="854"/>
      <c r="M1" s="854"/>
    </row>
    <row r="2" spans="1:13" ht="11.25">
      <c r="A2" s="352">
        <v>1</v>
      </c>
      <c r="B2" s="799"/>
      <c r="C2" s="435" t="s">
        <v>606</v>
      </c>
      <c r="D2" s="801" t="s">
        <v>608</v>
      </c>
      <c r="E2" s="802"/>
      <c r="F2" s="803" t="s">
        <v>607</v>
      </c>
      <c r="G2" s="804">
        <v>41277</v>
      </c>
      <c r="H2" s="771" t="s">
        <v>59</v>
      </c>
      <c r="I2" s="800">
        <v>294</v>
      </c>
      <c r="J2" s="772">
        <v>26</v>
      </c>
      <c r="K2" s="436">
        <f>843674.18+9313470.79+9317941.53+6623278.96+5270966.93+3121502.64+1729219.91+665992.09+284515.94+68861.5+14990.99+5660.5+2579.5+579.5+2386+376+462+728+258+1325.4+215+1388+3000+4220+7490+7429.4+4276.8</f>
        <v>37296789.559999995</v>
      </c>
      <c r="L2" s="437">
        <f>98231+966163+959955+686774+525182+316057+176746+67241+29201+8936+1729+449+176+36+394+73+43+135+42+242+29+183+600+723+555+1462+855</f>
        <v>3842212</v>
      </c>
      <c r="M2" s="773">
        <f aca="true" t="shared" si="0" ref="M2:M45">K2/L2</f>
        <v>9.707113912506648</v>
      </c>
    </row>
    <row r="3" spans="1:13" ht="11.25">
      <c r="A3" s="562">
        <v>2</v>
      </c>
      <c r="B3" s="789"/>
      <c r="C3" s="501" t="s">
        <v>624</v>
      </c>
      <c r="D3" s="774" t="s">
        <v>625</v>
      </c>
      <c r="E3" s="775"/>
      <c r="F3" s="790" t="s">
        <v>624</v>
      </c>
      <c r="G3" s="777">
        <v>41292</v>
      </c>
      <c r="H3" s="778" t="s">
        <v>59</v>
      </c>
      <c r="I3" s="779">
        <v>380</v>
      </c>
      <c r="J3" s="780">
        <v>22</v>
      </c>
      <c r="K3" s="538">
        <f>10735318.31+7634390.99+4045075.76+2305000.83+1151597.13+508200.94+148187.91+30225.32+14352.32+4443+1129+544+1904+225+1092+519+279+3551.2+1415+3272.6+10+10180.53</f>
        <v>26600913.840000004</v>
      </c>
      <c r="L3" s="544">
        <f>1143043+803226+432532+252365+130641+60316+20624+3886+1764+624+170+109+402+45+191+90+39+649+220+654+2+2036</f>
        <v>2853628</v>
      </c>
      <c r="M3" s="785">
        <f t="shared" si="0"/>
        <v>9.321787506991102</v>
      </c>
    </row>
    <row r="4" spans="1:13" ht="11.25">
      <c r="A4" s="562">
        <v>3</v>
      </c>
      <c r="B4" s="563"/>
      <c r="C4" s="501" t="s">
        <v>675</v>
      </c>
      <c r="D4" s="774" t="s">
        <v>646</v>
      </c>
      <c r="E4" s="775"/>
      <c r="F4" s="776" t="s">
        <v>675</v>
      </c>
      <c r="G4" s="777">
        <v>41327</v>
      </c>
      <c r="H4" s="778" t="s">
        <v>12</v>
      </c>
      <c r="I4" s="779">
        <v>345</v>
      </c>
      <c r="J4" s="779">
        <v>24</v>
      </c>
      <c r="K4" s="438">
        <v>19535450</v>
      </c>
      <c r="L4" s="439">
        <v>2045797</v>
      </c>
      <c r="M4" s="781">
        <f t="shared" si="0"/>
        <v>9.549065718641684</v>
      </c>
    </row>
    <row r="5" spans="1:13" ht="11.25">
      <c r="A5" s="562">
        <v>4</v>
      </c>
      <c r="B5" s="563"/>
      <c r="C5" s="501" t="s">
        <v>741</v>
      </c>
      <c r="D5" s="774" t="s">
        <v>742</v>
      </c>
      <c r="E5" s="775"/>
      <c r="F5" s="776" t="s">
        <v>741</v>
      </c>
      <c r="G5" s="777">
        <v>41362</v>
      </c>
      <c r="H5" s="778" t="s">
        <v>10</v>
      </c>
      <c r="I5" s="780">
        <v>268</v>
      </c>
      <c r="J5" s="791">
        <v>22</v>
      </c>
      <c r="K5" s="538">
        <v>14892855</v>
      </c>
      <c r="L5" s="544">
        <v>2141417</v>
      </c>
      <c r="M5" s="785">
        <f t="shared" si="0"/>
        <v>6.95467300390349</v>
      </c>
    </row>
    <row r="6" spans="1:13" ht="11.25">
      <c r="A6" s="562">
        <v>5</v>
      </c>
      <c r="B6" s="563"/>
      <c r="C6" s="549" t="s">
        <v>665</v>
      </c>
      <c r="D6" s="794" t="s">
        <v>666</v>
      </c>
      <c r="E6" s="779"/>
      <c r="F6" s="794" t="s">
        <v>665</v>
      </c>
      <c r="G6" s="787">
        <v>41347</v>
      </c>
      <c r="H6" s="782" t="s">
        <v>8</v>
      </c>
      <c r="I6" s="784">
        <v>284</v>
      </c>
      <c r="J6" s="794">
        <v>18</v>
      </c>
      <c r="K6" s="538">
        <v>14623156</v>
      </c>
      <c r="L6" s="544">
        <v>1507603</v>
      </c>
      <c r="M6" s="785">
        <f t="shared" si="0"/>
        <v>9.699606594043658</v>
      </c>
    </row>
    <row r="7" spans="1:13" ht="11.25">
      <c r="A7" s="562">
        <v>6</v>
      </c>
      <c r="B7" s="563"/>
      <c r="C7" s="501" t="s">
        <v>644</v>
      </c>
      <c r="D7" s="774" t="s">
        <v>646</v>
      </c>
      <c r="E7" s="775"/>
      <c r="F7" s="776" t="s">
        <v>644</v>
      </c>
      <c r="G7" s="777">
        <v>41306</v>
      </c>
      <c r="H7" s="778" t="s">
        <v>12</v>
      </c>
      <c r="I7" s="780">
        <v>248</v>
      </c>
      <c r="J7" s="780">
        <v>31</v>
      </c>
      <c r="K7" s="550">
        <v>12972053</v>
      </c>
      <c r="L7" s="552">
        <v>1397115</v>
      </c>
      <c r="M7" s="785">
        <f t="shared" si="0"/>
        <v>9.284885639335345</v>
      </c>
    </row>
    <row r="8" spans="1:13" ht="11.25">
      <c r="A8" s="562">
        <v>7</v>
      </c>
      <c r="B8" s="563"/>
      <c r="C8" s="501" t="s">
        <v>722</v>
      </c>
      <c r="D8" s="774" t="s">
        <v>723</v>
      </c>
      <c r="E8" s="775"/>
      <c r="F8" s="776" t="s">
        <v>722</v>
      </c>
      <c r="G8" s="777">
        <v>41348</v>
      </c>
      <c r="H8" s="778" t="s">
        <v>10</v>
      </c>
      <c r="I8" s="780">
        <v>258</v>
      </c>
      <c r="J8" s="791">
        <v>20</v>
      </c>
      <c r="K8" s="538">
        <v>5362154</v>
      </c>
      <c r="L8" s="544">
        <v>668535</v>
      </c>
      <c r="M8" s="785">
        <f t="shared" si="0"/>
        <v>8.020752840165436</v>
      </c>
    </row>
    <row r="9" spans="1:13" ht="11.25">
      <c r="A9" s="562">
        <v>8</v>
      </c>
      <c r="B9" s="782"/>
      <c r="C9" s="549" t="s">
        <v>629</v>
      </c>
      <c r="D9" s="794" t="s">
        <v>630</v>
      </c>
      <c r="E9" s="779"/>
      <c r="F9" s="794" t="s">
        <v>629</v>
      </c>
      <c r="G9" s="787">
        <v>41299</v>
      </c>
      <c r="H9" s="782" t="s">
        <v>8</v>
      </c>
      <c r="I9" s="784">
        <v>227</v>
      </c>
      <c r="J9" s="795">
        <v>13</v>
      </c>
      <c r="K9" s="535">
        <v>3874224</v>
      </c>
      <c r="L9" s="542">
        <v>403000</v>
      </c>
      <c r="M9" s="785">
        <f t="shared" si="0"/>
        <v>9.61345905707196</v>
      </c>
    </row>
    <row r="10" spans="1:13" ht="11.25">
      <c r="A10" s="562">
        <v>9</v>
      </c>
      <c r="B10" s="563"/>
      <c r="C10" s="501" t="s">
        <v>767</v>
      </c>
      <c r="D10" s="774" t="s">
        <v>770</v>
      </c>
      <c r="E10" s="775"/>
      <c r="F10" s="776" t="s">
        <v>767</v>
      </c>
      <c r="G10" s="777">
        <v>41369</v>
      </c>
      <c r="H10" s="778" t="s">
        <v>12</v>
      </c>
      <c r="I10" s="779">
        <v>167</v>
      </c>
      <c r="J10" s="779">
        <v>18</v>
      </c>
      <c r="K10" s="438">
        <v>3646064</v>
      </c>
      <c r="L10" s="439">
        <v>421052</v>
      </c>
      <c r="M10" s="781">
        <f t="shared" si="0"/>
        <v>8.659414989122483</v>
      </c>
    </row>
    <row r="11" spans="1:13" ht="11.25">
      <c r="A11" s="562">
        <v>10</v>
      </c>
      <c r="B11" s="563"/>
      <c r="C11" s="501" t="s">
        <v>653</v>
      </c>
      <c r="D11" s="774" t="s">
        <v>654</v>
      </c>
      <c r="E11" s="775"/>
      <c r="F11" s="776" t="s">
        <v>653</v>
      </c>
      <c r="G11" s="777">
        <v>41313</v>
      </c>
      <c r="H11" s="778" t="s">
        <v>12</v>
      </c>
      <c r="I11" s="780">
        <v>182</v>
      </c>
      <c r="J11" s="780">
        <v>30</v>
      </c>
      <c r="K11" s="550">
        <v>3326335</v>
      </c>
      <c r="L11" s="552">
        <v>347663</v>
      </c>
      <c r="M11" s="785">
        <f t="shared" si="0"/>
        <v>9.567699179953001</v>
      </c>
    </row>
    <row r="12" spans="1:13" ht="11.25">
      <c r="A12" s="562">
        <v>11</v>
      </c>
      <c r="B12" s="563"/>
      <c r="C12" s="501" t="s">
        <v>1145</v>
      </c>
      <c r="D12" s="776" t="s">
        <v>770</v>
      </c>
      <c r="E12" s="775"/>
      <c r="F12" s="776" t="s">
        <v>1146</v>
      </c>
      <c r="G12" s="788">
        <v>41488</v>
      </c>
      <c r="H12" s="778" t="s">
        <v>12</v>
      </c>
      <c r="I12" s="780">
        <v>193</v>
      </c>
      <c r="J12" s="780">
        <v>5</v>
      </c>
      <c r="K12" s="550">
        <v>3264267</v>
      </c>
      <c r="L12" s="552">
        <v>360501</v>
      </c>
      <c r="M12" s="785">
        <f t="shared" si="0"/>
        <v>9.054807060174591</v>
      </c>
    </row>
    <row r="13" spans="1:13" ht="11.25">
      <c r="A13" s="562">
        <v>12</v>
      </c>
      <c r="B13" s="563"/>
      <c r="C13" s="501" t="s">
        <v>721</v>
      </c>
      <c r="D13" s="774" t="s">
        <v>472</v>
      </c>
      <c r="E13" s="775"/>
      <c r="F13" s="776" t="s">
        <v>721</v>
      </c>
      <c r="G13" s="777">
        <v>41348</v>
      </c>
      <c r="H13" s="778" t="s">
        <v>12</v>
      </c>
      <c r="I13" s="779">
        <v>99</v>
      </c>
      <c r="J13" s="780">
        <v>23</v>
      </c>
      <c r="K13" s="438">
        <v>2979909</v>
      </c>
      <c r="L13" s="439">
        <v>304490</v>
      </c>
      <c r="M13" s="781">
        <f t="shared" si="0"/>
        <v>9.786557850832539</v>
      </c>
    </row>
    <row r="14" spans="1:13" ht="11.25">
      <c r="A14" s="562">
        <v>13</v>
      </c>
      <c r="B14" s="563"/>
      <c r="C14" s="518" t="s">
        <v>734</v>
      </c>
      <c r="D14" s="779" t="s">
        <v>735</v>
      </c>
      <c r="E14" s="792"/>
      <c r="F14" s="793" t="s">
        <v>734</v>
      </c>
      <c r="G14" s="783">
        <v>41355</v>
      </c>
      <c r="H14" s="782" t="s">
        <v>12</v>
      </c>
      <c r="I14" s="780">
        <v>236</v>
      </c>
      <c r="J14" s="779">
        <v>10</v>
      </c>
      <c r="K14" s="438">
        <v>2653184</v>
      </c>
      <c r="L14" s="439">
        <v>294264</v>
      </c>
      <c r="M14" s="781">
        <f t="shared" si="0"/>
        <v>9.016339069678928</v>
      </c>
    </row>
    <row r="15" spans="1:13" ht="11.25">
      <c r="A15" s="562">
        <v>14</v>
      </c>
      <c r="B15" s="782"/>
      <c r="C15" s="520" t="s">
        <v>663</v>
      </c>
      <c r="D15" s="782" t="s">
        <v>664</v>
      </c>
      <c r="E15" s="782"/>
      <c r="F15" s="782" t="s">
        <v>663</v>
      </c>
      <c r="G15" s="788">
        <v>41320</v>
      </c>
      <c r="H15" s="782" t="s">
        <v>46</v>
      </c>
      <c r="I15" s="780">
        <v>156</v>
      </c>
      <c r="J15" s="780">
        <v>21</v>
      </c>
      <c r="K15" s="550">
        <v>1267361.49</v>
      </c>
      <c r="L15" s="552">
        <v>193069</v>
      </c>
      <c r="M15" s="785">
        <f t="shared" si="0"/>
        <v>6.5642930247735265</v>
      </c>
    </row>
    <row r="16" spans="1:13" ht="11.25">
      <c r="A16" s="562">
        <v>15</v>
      </c>
      <c r="B16" s="563"/>
      <c r="C16" s="501" t="s">
        <v>618</v>
      </c>
      <c r="D16" s="774" t="s">
        <v>619</v>
      </c>
      <c r="E16" s="775"/>
      <c r="F16" s="776" t="s">
        <v>618</v>
      </c>
      <c r="G16" s="777">
        <v>41285</v>
      </c>
      <c r="H16" s="778" t="s">
        <v>12</v>
      </c>
      <c r="I16" s="779">
        <v>239</v>
      </c>
      <c r="J16" s="780">
        <v>32</v>
      </c>
      <c r="K16" s="438">
        <v>1238519</v>
      </c>
      <c r="L16" s="439">
        <v>134306</v>
      </c>
      <c r="M16" s="781">
        <f t="shared" si="0"/>
        <v>9.2216207764359</v>
      </c>
    </row>
    <row r="17" spans="1:13" ht="11.25">
      <c r="A17" s="562">
        <v>16</v>
      </c>
      <c r="B17" s="563"/>
      <c r="C17" s="502" t="s">
        <v>999</v>
      </c>
      <c r="D17" s="778" t="s">
        <v>1001</v>
      </c>
      <c r="E17" s="778"/>
      <c r="F17" s="778" t="s">
        <v>999</v>
      </c>
      <c r="G17" s="788">
        <v>41432</v>
      </c>
      <c r="H17" s="778" t="s">
        <v>46</v>
      </c>
      <c r="I17" s="780">
        <v>158</v>
      </c>
      <c r="J17" s="780">
        <v>12</v>
      </c>
      <c r="K17" s="551">
        <v>887190.59</v>
      </c>
      <c r="L17" s="553">
        <v>99160</v>
      </c>
      <c r="M17" s="785">
        <f t="shared" si="0"/>
        <v>8.947061214199273</v>
      </c>
    </row>
    <row r="18" spans="1:13" ht="11.25">
      <c r="A18" s="562">
        <v>17</v>
      </c>
      <c r="B18" s="782"/>
      <c r="C18" s="518" t="s">
        <v>680</v>
      </c>
      <c r="D18" s="779" t="s">
        <v>681</v>
      </c>
      <c r="E18" s="792"/>
      <c r="F18" s="793" t="s">
        <v>680</v>
      </c>
      <c r="G18" s="783">
        <v>41334</v>
      </c>
      <c r="H18" s="782" t="s">
        <v>10</v>
      </c>
      <c r="I18" s="780">
        <v>134</v>
      </c>
      <c r="J18" s="791">
        <v>16</v>
      </c>
      <c r="K18" s="440">
        <v>652390</v>
      </c>
      <c r="L18" s="441">
        <v>74593</v>
      </c>
      <c r="M18" s="781">
        <f t="shared" si="0"/>
        <v>8.745994932500368</v>
      </c>
    </row>
    <row r="19" spans="1:13" ht="11.25">
      <c r="A19" s="562">
        <v>18</v>
      </c>
      <c r="B19" s="563"/>
      <c r="C19" s="442" t="s">
        <v>891</v>
      </c>
      <c r="D19" s="797" t="s">
        <v>892</v>
      </c>
      <c r="E19" s="774"/>
      <c r="F19" s="797" t="s">
        <v>891</v>
      </c>
      <c r="G19" s="788">
        <v>41411</v>
      </c>
      <c r="H19" s="778" t="s">
        <v>8</v>
      </c>
      <c r="I19" s="784">
        <v>142</v>
      </c>
      <c r="J19" s="795">
        <v>11</v>
      </c>
      <c r="K19" s="538">
        <v>640921</v>
      </c>
      <c r="L19" s="544">
        <v>75195</v>
      </c>
      <c r="M19" s="785">
        <f t="shared" si="0"/>
        <v>8.5234523572046</v>
      </c>
    </row>
    <row r="20" spans="1:13" ht="11.25">
      <c r="A20" s="562">
        <v>19</v>
      </c>
      <c r="B20" s="563"/>
      <c r="C20" s="501" t="s">
        <v>730</v>
      </c>
      <c r="D20" s="774" t="s">
        <v>566</v>
      </c>
      <c r="E20" s="775"/>
      <c r="F20" s="790" t="s">
        <v>730</v>
      </c>
      <c r="G20" s="777">
        <v>41355</v>
      </c>
      <c r="H20" s="778" t="s">
        <v>59</v>
      </c>
      <c r="I20" s="780">
        <v>141</v>
      </c>
      <c r="J20" s="780">
        <v>18</v>
      </c>
      <c r="K20" s="538">
        <f>309737.79+106144.11+40397.55+20332.5+11277.5+6741+3986+3559+516+3263+432+794+1425.6+1188+1663.2+2851.2+1663.2+2019.6</f>
        <v>517991.24999999994</v>
      </c>
      <c r="L20" s="544">
        <f>35020+12576+5163+3117+1814+1194+652+642+78+655+60+123+285+238+333+571+333+404</f>
        <v>63258</v>
      </c>
      <c r="M20" s="785">
        <f t="shared" si="0"/>
        <v>8.188549274400074</v>
      </c>
    </row>
    <row r="21" spans="1:13" ht="11.25">
      <c r="A21" s="562">
        <v>20</v>
      </c>
      <c r="B21" s="782"/>
      <c r="C21" s="518" t="s">
        <v>708</v>
      </c>
      <c r="D21" s="779" t="s">
        <v>709</v>
      </c>
      <c r="E21" s="792"/>
      <c r="F21" s="793" t="s">
        <v>708</v>
      </c>
      <c r="G21" s="783">
        <v>41341</v>
      </c>
      <c r="H21" s="782" t="s">
        <v>12</v>
      </c>
      <c r="I21" s="780">
        <v>76</v>
      </c>
      <c r="J21" s="780">
        <v>19</v>
      </c>
      <c r="K21" s="550">
        <v>432401</v>
      </c>
      <c r="L21" s="552">
        <v>44135</v>
      </c>
      <c r="M21" s="785">
        <f t="shared" si="0"/>
        <v>9.797235753936786</v>
      </c>
    </row>
    <row r="22" spans="1:13" ht="11.25">
      <c r="A22" s="562">
        <v>21</v>
      </c>
      <c r="B22" s="563"/>
      <c r="C22" s="502" t="s">
        <v>847</v>
      </c>
      <c r="D22" s="778" t="s">
        <v>848</v>
      </c>
      <c r="E22" s="778"/>
      <c r="F22" s="778" t="s">
        <v>847</v>
      </c>
      <c r="G22" s="788">
        <v>41397</v>
      </c>
      <c r="H22" s="778" t="s">
        <v>46</v>
      </c>
      <c r="I22" s="779">
        <v>85</v>
      </c>
      <c r="J22" s="780">
        <v>12</v>
      </c>
      <c r="K22" s="438">
        <v>363941.49</v>
      </c>
      <c r="L22" s="439">
        <v>42462</v>
      </c>
      <c r="M22" s="781">
        <f t="shared" si="0"/>
        <v>8.57099265225378</v>
      </c>
    </row>
    <row r="23" spans="1:13" ht="11.25">
      <c r="A23" s="562">
        <v>22</v>
      </c>
      <c r="B23" s="563"/>
      <c r="C23" s="521" t="s">
        <v>1179</v>
      </c>
      <c r="D23" s="778" t="s">
        <v>1180</v>
      </c>
      <c r="E23" s="778"/>
      <c r="F23" s="778" t="s">
        <v>1179</v>
      </c>
      <c r="G23" s="777">
        <v>41502</v>
      </c>
      <c r="H23" s="778" t="s">
        <v>47</v>
      </c>
      <c r="I23" s="780">
        <v>56</v>
      </c>
      <c r="J23" s="784">
        <v>3</v>
      </c>
      <c r="K23" s="550">
        <f>114504.36+84148+54773.58</f>
        <v>253425.94</v>
      </c>
      <c r="L23" s="552">
        <f>13567+10129+6963</f>
        <v>30659</v>
      </c>
      <c r="M23" s="785">
        <f t="shared" si="0"/>
        <v>8.265955836785283</v>
      </c>
    </row>
    <row r="24" spans="1:13" ht="11.25">
      <c r="A24" s="562">
        <v>23</v>
      </c>
      <c r="B24" s="563"/>
      <c r="C24" s="521" t="s">
        <v>1124</v>
      </c>
      <c r="D24" s="778" t="s">
        <v>1125</v>
      </c>
      <c r="E24" s="778"/>
      <c r="F24" s="778" t="s">
        <v>1124</v>
      </c>
      <c r="G24" s="777">
        <v>41481</v>
      </c>
      <c r="H24" s="778" t="s">
        <v>47</v>
      </c>
      <c r="I24" s="780">
        <v>36</v>
      </c>
      <c r="J24" s="784">
        <v>6</v>
      </c>
      <c r="K24" s="550">
        <f>75791.5+45396.5+46241.25+26225.58+16734.29+9874</f>
        <v>220263.12000000002</v>
      </c>
      <c r="L24" s="552">
        <f>7928+4962+5981+3263+2099+1161</f>
        <v>25394</v>
      </c>
      <c r="M24" s="785">
        <f t="shared" si="0"/>
        <v>8.673825313066079</v>
      </c>
    </row>
    <row r="25" spans="1:13" ht="11.25">
      <c r="A25" s="562">
        <v>24</v>
      </c>
      <c r="B25" s="563"/>
      <c r="C25" s="502" t="s">
        <v>704</v>
      </c>
      <c r="D25" s="778" t="s">
        <v>705</v>
      </c>
      <c r="E25" s="778"/>
      <c r="F25" s="778" t="s">
        <v>704</v>
      </c>
      <c r="G25" s="788">
        <v>41341</v>
      </c>
      <c r="H25" s="778" t="s">
        <v>46</v>
      </c>
      <c r="I25" s="779">
        <v>141</v>
      </c>
      <c r="J25" s="780">
        <v>12</v>
      </c>
      <c r="K25" s="551">
        <v>184329.11</v>
      </c>
      <c r="L25" s="553">
        <v>21450</v>
      </c>
      <c r="M25" s="785">
        <f t="shared" si="0"/>
        <v>8.593431701631701</v>
      </c>
    </row>
    <row r="26" spans="1:13" ht="11.25">
      <c r="A26" s="562">
        <v>25</v>
      </c>
      <c r="B26" s="563"/>
      <c r="C26" s="502" t="s">
        <v>883</v>
      </c>
      <c r="D26" s="778" t="s">
        <v>885</v>
      </c>
      <c r="E26" s="778"/>
      <c r="F26" s="778" t="s">
        <v>883</v>
      </c>
      <c r="G26" s="788">
        <v>41411</v>
      </c>
      <c r="H26" s="778" t="s">
        <v>46</v>
      </c>
      <c r="I26" s="780">
        <v>100</v>
      </c>
      <c r="J26" s="780">
        <v>13</v>
      </c>
      <c r="K26" s="550">
        <v>151331.47</v>
      </c>
      <c r="L26" s="552">
        <v>17873</v>
      </c>
      <c r="M26" s="785">
        <f t="shared" si="0"/>
        <v>8.467043585296256</v>
      </c>
    </row>
    <row r="27" spans="1:13" ht="11.25">
      <c r="A27" s="562">
        <v>26</v>
      </c>
      <c r="B27" s="782"/>
      <c r="C27" s="518" t="s">
        <v>842</v>
      </c>
      <c r="D27" s="779" t="s">
        <v>843</v>
      </c>
      <c r="E27" s="792"/>
      <c r="F27" s="798" t="s">
        <v>842</v>
      </c>
      <c r="G27" s="783">
        <v>41397</v>
      </c>
      <c r="H27" s="782" t="s">
        <v>59</v>
      </c>
      <c r="I27" s="780">
        <v>57</v>
      </c>
      <c r="J27" s="780">
        <v>2</v>
      </c>
      <c r="K27" s="535">
        <f>92151.61+51942.85</f>
        <v>144094.46</v>
      </c>
      <c r="L27" s="542">
        <f>9717+5660</f>
        <v>15377</v>
      </c>
      <c r="M27" s="785">
        <f t="shared" si="0"/>
        <v>9.370778435325485</v>
      </c>
    </row>
    <row r="28" spans="1:13" ht="11.25">
      <c r="A28" s="562">
        <v>27</v>
      </c>
      <c r="B28" s="782"/>
      <c r="C28" s="548" t="s">
        <v>776</v>
      </c>
      <c r="D28" s="782" t="s">
        <v>783</v>
      </c>
      <c r="E28" s="782"/>
      <c r="F28" s="782" t="s">
        <v>776</v>
      </c>
      <c r="G28" s="783">
        <v>41376</v>
      </c>
      <c r="H28" s="782" t="s">
        <v>47</v>
      </c>
      <c r="I28" s="780">
        <v>68</v>
      </c>
      <c r="J28" s="784">
        <v>9</v>
      </c>
      <c r="K28" s="550">
        <f>72269.52+36259.56+10710.97+4843+941+781+279+269+3667</f>
        <v>130020.05</v>
      </c>
      <c r="L28" s="552">
        <f>7708+4426+1369+603+111+140+33+33+497</f>
        <v>14920</v>
      </c>
      <c r="M28" s="785">
        <f t="shared" si="0"/>
        <v>8.714480563002681</v>
      </c>
    </row>
    <row r="29" spans="1:13" ht="11.25">
      <c r="A29" s="562">
        <v>28</v>
      </c>
      <c r="B29" s="778"/>
      <c r="C29" s="520" t="s">
        <v>713</v>
      </c>
      <c r="D29" s="792" t="s">
        <v>714</v>
      </c>
      <c r="E29" s="779"/>
      <c r="F29" s="794" t="s">
        <v>713</v>
      </c>
      <c r="G29" s="787">
        <v>41348</v>
      </c>
      <c r="H29" s="782" t="s">
        <v>327</v>
      </c>
      <c r="I29" s="784">
        <v>10</v>
      </c>
      <c r="J29" s="794">
        <v>14</v>
      </c>
      <c r="K29" s="538">
        <v>95403</v>
      </c>
      <c r="L29" s="544">
        <v>8281</v>
      </c>
      <c r="M29" s="785">
        <f t="shared" si="0"/>
        <v>11.520710059171599</v>
      </c>
    </row>
    <row r="30" spans="1:13" ht="11.25">
      <c r="A30" s="562">
        <v>29</v>
      </c>
      <c r="B30" s="782"/>
      <c r="C30" s="520" t="s">
        <v>866</v>
      </c>
      <c r="D30" s="782" t="s">
        <v>867</v>
      </c>
      <c r="E30" s="782"/>
      <c r="F30" s="782" t="s">
        <v>868</v>
      </c>
      <c r="G30" s="787">
        <v>41404</v>
      </c>
      <c r="H30" s="782" t="s">
        <v>46</v>
      </c>
      <c r="I30" s="780">
        <v>80</v>
      </c>
      <c r="J30" s="780">
        <v>5</v>
      </c>
      <c r="K30" s="550">
        <v>85148.39</v>
      </c>
      <c r="L30" s="552">
        <v>10239</v>
      </c>
      <c r="M30" s="785">
        <f t="shared" si="0"/>
        <v>8.316084578572125</v>
      </c>
    </row>
    <row r="31" spans="1:13" ht="11.25">
      <c r="A31" s="562">
        <v>30</v>
      </c>
      <c r="B31" s="782"/>
      <c r="C31" s="548" t="s">
        <v>815</v>
      </c>
      <c r="D31" s="782" t="s">
        <v>816</v>
      </c>
      <c r="E31" s="782"/>
      <c r="F31" s="782" t="s">
        <v>815</v>
      </c>
      <c r="G31" s="783">
        <v>41390</v>
      </c>
      <c r="H31" s="782" t="s">
        <v>47</v>
      </c>
      <c r="I31" s="780">
        <v>51</v>
      </c>
      <c r="J31" s="796">
        <v>9</v>
      </c>
      <c r="K31" s="550">
        <f>42870.52+20213.21+5455+165+540+551+1304+224+219</f>
        <v>71541.73</v>
      </c>
      <c r="L31" s="552">
        <f>5387+2505+645+18+76+75+176+28+27</f>
        <v>8937</v>
      </c>
      <c r="M31" s="785">
        <f t="shared" si="0"/>
        <v>8.00511692961844</v>
      </c>
    </row>
    <row r="32" spans="1:13" ht="11.25">
      <c r="A32" s="562">
        <v>31</v>
      </c>
      <c r="B32" s="782"/>
      <c r="C32" s="518" t="s">
        <v>788</v>
      </c>
      <c r="D32" s="779" t="s">
        <v>789</v>
      </c>
      <c r="E32" s="792"/>
      <c r="F32" s="798" t="s">
        <v>788</v>
      </c>
      <c r="G32" s="783">
        <v>41383</v>
      </c>
      <c r="H32" s="782" t="s">
        <v>59</v>
      </c>
      <c r="I32" s="780">
        <v>16</v>
      </c>
      <c r="J32" s="780">
        <v>12</v>
      </c>
      <c r="K32" s="537">
        <f>31428.3+11387.5+1945.5+4368.5+2824+1445.19+997.56+1066+889.5+1106+559+561.86</f>
        <v>58578.91</v>
      </c>
      <c r="L32" s="543">
        <f>2428+1032+205+565+357+157+108+205+142+117+75+79</f>
        <v>5470</v>
      </c>
      <c r="M32" s="781">
        <f t="shared" si="0"/>
        <v>10.709124314442414</v>
      </c>
    </row>
    <row r="33" spans="1:13" ht="11.25">
      <c r="A33" s="562">
        <v>32</v>
      </c>
      <c r="B33" s="563"/>
      <c r="C33" s="521" t="s">
        <v>869</v>
      </c>
      <c r="D33" s="778" t="s">
        <v>874</v>
      </c>
      <c r="E33" s="778"/>
      <c r="F33" s="778" t="s">
        <v>869</v>
      </c>
      <c r="G33" s="777">
        <v>41404</v>
      </c>
      <c r="H33" s="778" t="s">
        <v>47</v>
      </c>
      <c r="I33" s="779">
        <v>20</v>
      </c>
      <c r="J33" s="796">
        <v>10</v>
      </c>
      <c r="K33" s="438">
        <f>9371.87+3352.93+2461+1247+204+666+338+1800+1801+33614</f>
        <v>54855.8</v>
      </c>
      <c r="L33" s="439">
        <f>1066+391+326+163+24+128+39+342+350+6480</f>
        <v>9309</v>
      </c>
      <c r="M33" s="781">
        <f t="shared" si="0"/>
        <v>5.8927704372113014</v>
      </c>
    </row>
    <row r="34" spans="1:13" ht="11.25">
      <c r="A34" s="562">
        <v>33</v>
      </c>
      <c r="B34" s="563"/>
      <c r="C34" s="549" t="s">
        <v>778</v>
      </c>
      <c r="D34" s="794" t="s">
        <v>779</v>
      </c>
      <c r="E34" s="779"/>
      <c r="F34" s="794" t="s">
        <v>778</v>
      </c>
      <c r="G34" s="787">
        <v>41376</v>
      </c>
      <c r="H34" s="782" t="s">
        <v>8</v>
      </c>
      <c r="I34" s="784">
        <v>16</v>
      </c>
      <c r="J34" s="794">
        <v>7</v>
      </c>
      <c r="K34" s="538">
        <v>53310</v>
      </c>
      <c r="L34" s="544">
        <v>5069</v>
      </c>
      <c r="M34" s="785">
        <f t="shared" si="0"/>
        <v>10.516867232195699</v>
      </c>
    </row>
    <row r="35" spans="1:13" ht="11.25">
      <c r="A35" s="562">
        <v>34</v>
      </c>
      <c r="B35" s="782"/>
      <c r="C35" s="521" t="s">
        <v>897</v>
      </c>
      <c r="D35" s="782" t="s">
        <v>898</v>
      </c>
      <c r="E35" s="782"/>
      <c r="F35" s="782" t="s">
        <v>897</v>
      </c>
      <c r="G35" s="783">
        <v>41411</v>
      </c>
      <c r="H35" s="782" t="s">
        <v>47</v>
      </c>
      <c r="I35" s="780">
        <v>22</v>
      </c>
      <c r="J35" s="784">
        <v>7</v>
      </c>
      <c r="K35" s="550">
        <f>30722+11098+1371.5+3179+2399+857+124</f>
        <v>49750.5</v>
      </c>
      <c r="L35" s="552">
        <f>3741+1293+192+409+380+143+24</f>
        <v>6182</v>
      </c>
      <c r="M35" s="785">
        <f t="shared" si="0"/>
        <v>8.047638304755742</v>
      </c>
    </row>
    <row r="36" spans="1:13" ht="11.25">
      <c r="A36" s="562">
        <v>35</v>
      </c>
      <c r="B36" s="563"/>
      <c r="C36" s="521" t="s">
        <v>836</v>
      </c>
      <c r="D36" s="778" t="s">
        <v>837</v>
      </c>
      <c r="E36" s="778"/>
      <c r="F36" s="778" t="s">
        <v>836</v>
      </c>
      <c r="G36" s="777">
        <v>41397</v>
      </c>
      <c r="H36" s="778" t="s">
        <v>47</v>
      </c>
      <c r="I36" s="780">
        <v>21</v>
      </c>
      <c r="J36" s="784">
        <v>13</v>
      </c>
      <c r="K36" s="550">
        <f>17811.5+10803.5+3816.5+1022+234+326+278+456+266+534+453+469+12006</f>
        <v>48475.5</v>
      </c>
      <c r="L36" s="552">
        <f>1808+1143+381+119+22+29+24+59+31+65+56+60+2332</f>
        <v>6129</v>
      </c>
      <c r="M36" s="785">
        <f t="shared" si="0"/>
        <v>7.909202153695546</v>
      </c>
    </row>
    <row r="37" spans="1:13" ht="11.25">
      <c r="A37" s="562">
        <v>36</v>
      </c>
      <c r="B37" s="792"/>
      <c r="C37" s="520" t="s">
        <v>809</v>
      </c>
      <c r="D37" s="782" t="s">
        <v>810</v>
      </c>
      <c r="E37" s="782"/>
      <c r="F37" s="782" t="s">
        <v>809</v>
      </c>
      <c r="G37" s="787">
        <v>41390</v>
      </c>
      <c r="H37" s="782" t="s">
        <v>46</v>
      </c>
      <c r="I37" s="780">
        <v>29</v>
      </c>
      <c r="J37" s="780">
        <v>5</v>
      </c>
      <c r="K37" s="550">
        <v>29949.37</v>
      </c>
      <c r="L37" s="552">
        <v>2832</v>
      </c>
      <c r="M37" s="785">
        <f t="shared" si="0"/>
        <v>10.575342514124294</v>
      </c>
    </row>
    <row r="38" spans="1:13" ht="11.25">
      <c r="A38" s="562">
        <v>37</v>
      </c>
      <c r="B38" s="775"/>
      <c r="C38" s="548" t="s">
        <v>803</v>
      </c>
      <c r="D38" s="782" t="s">
        <v>804</v>
      </c>
      <c r="E38" s="782"/>
      <c r="F38" s="782" t="s">
        <v>803</v>
      </c>
      <c r="G38" s="783">
        <v>41383</v>
      </c>
      <c r="H38" s="782" t="s">
        <v>805</v>
      </c>
      <c r="I38" s="780">
        <v>1</v>
      </c>
      <c r="J38" s="786">
        <v>2</v>
      </c>
      <c r="K38" s="550">
        <v>20306</v>
      </c>
      <c r="L38" s="552">
        <v>1846</v>
      </c>
      <c r="M38" s="785">
        <f t="shared" si="0"/>
        <v>11</v>
      </c>
    </row>
    <row r="39" spans="1:13" ht="11.25">
      <c r="A39" s="562">
        <v>38</v>
      </c>
      <c r="B39" s="782"/>
      <c r="C39" s="548" t="s">
        <v>1003</v>
      </c>
      <c r="D39" s="779" t="s">
        <v>1004</v>
      </c>
      <c r="E39" s="782"/>
      <c r="F39" s="782" t="s">
        <v>1003</v>
      </c>
      <c r="G39" s="787">
        <v>41432</v>
      </c>
      <c r="H39" s="782" t="s">
        <v>139</v>
      </c>
      <c r="I39" s="780">
        <v>2</v>
      </c>
      <c r="J39" s="780">
        <v>5</v>
      </c>
      <c r="K39" s="550">
        <v>18869.6</v>
      </c>
      <c r="L39" s="552">
        <v>2619</v>
      </c>
      <c r="M39" s="785">
        <f t="shared" si="0"/>
        <v>7.204887361588392</v>
      </c>
    </row>
    <row r="40" spans="1:13" ht="11.25">
      <c r="A40" s="562">
        <v>39</v>
      </c>
      <c r="B40" s="789"/>
      <c r="C40" s="502" t="s">
        <v>914</v>
      </c>
      <c r="D40" s="778" t="s">
        <v>916</v>
      </c>
      <c r="E40" s="778"/>
      <c r="F40" s="778" t="s">
        <v>914</v>
      </c>
      <c r="G40" s="788">
        <v>41418</v>
      </c>
      <c r="H40" s="778" t="s">
        <v>46</v>
      </c>
      <c r="I40" s="779">
        <v>15</v>
      </c>
      <c r="J40" s="780">
        <v>7</v>
      </c>
      <c r="K40" s="550">
        <v>16286.5</v>
      </c>
      <c r="L40" s="552">
        <v>2168</v>
      </c>
      <c r="M40" s="785">
        <f t="shared" si="0"/>
        <v>7.512223247232472</v>
      </c>
    </row>
    <row r="41" spans="1:13" ht="11.25">
      <c r="A41" s="562">
        <v>40</v>
      </c>
      <c r="B41" s="563"/>
      <c r="C41" s="548" t="s">
        <v>819</v>
      </c>
      <c r="D41" s="779" t="s">
        <v>820</v>
      </c>
      <c r="E41" s="782"/>
      <c r="F41" s="782" t="s">
        <v>819</v>
      </c>
      <c r="G41" s="787">
        <v>41390</v>
      </c>
      <c r="H41" s="782" t="s">
        <v>139</v>
      </c>
      <c r="I41" s="780">
        <v>15</v>
      </c>
      <c r="J41" s="780">
        <v>7</v>
      </c>
      <c r="K41" s="550">
        <v>15737.5</v>
      </c>
      <c r="L41" s="552">
        <v>1602</v>
      </c>
      <c r="M41" s="785">
        <f t="shared" si="0"/>
        <v>9.823657927590512</v>
      </c>
    </row>
    <row r="42" spans="1:13" ht="11.25">
      <c r="A42" s="562">
        <v>41</v>
      </c>
      <c r="B42" s="563"/>
      <c r="C42" s="548" t="s">
        <v>997</v>
      </c>
      <c r="D42" s="782" t="s">
        <v>998</v>
      </c>
      <c r="E42" s="782"/>
      <c r="F42" s="782" t="s">
        <v>997</v>
      </c>
      <c r="G42" s="783">
        <v>41432</v>
      </c>
      <c r="H42" s="782" t="s">
        <v>47</v>
      </c>
      <c r="I42" s="780">
        <v>23</v>
      </c>
      <c r="J42" s="784">
        <v>4</v>
      </c>
      <c r="K42" s="550">
        <f>8353.16+6345+370</f>
        <v>15068.16</v>
      </c>
      <c r="L42" s="552">
        <f>1036+821+53</f>
        <v>1910</v>
      </c>
      <c r="M42" s="785">
        <f t="shared" si="0"/>
        <v>7.889089005235602</v>
      </c>
    </row>
    <row r="43" spans="1:13" ht="11.25">
      <c r="A43" s="562">
        <v>42</v>
      </c>
      <c r="B43" s="782"/>
      <c r="C43" s="518" t="s">
        <v>1026</v>
      </c>
      <c r="D43" s="779" t="s">
        <v>1027</v>
      </c>
      <c r="E43" s="792"/>
      <c r="F43" s="798" t="s">
        <v>1026</v>
      </c>
      <c r="G43" s="777">
        <v>41446</v>
      </c>
      <c r="H43" s="782" t="s">
        <v>59</v>
      </c>
      <c r="I43" s="780">
        <v>9</v>
      </c>
      <c r="J43" s="780">
        <v>6</v>
      </c>
      <c r="K43" s="538">
        <f>6345.5+3105+573.72+566+134+172.5</f>
        <v>10896.72</v>
      </c>
      <c r="L43" s="544">
        <f>562+294+79+55+19+37</f>
        <v>1046</v>
      </c>
      <c r="M43" s="785">
        <f t="shared" si="0"/>
        <v>10.417514340344168</v>
      </c>
    </row>
    <row r="44" spans="1:13" ht="11.25">
      <c r="A44" s="562">
        <v>43</v>
      </c>
      <c r="B44" s="563"/>
      <c r="C44" s="521" t="s">
        <v>1155</v>
      </c>
      <c r="D44" s="778" t="s">
        <v>1156</v>
      </c>
      <c r="E44" s="778"/>
      <c r="F44" s="778" t="s">
        <v>1155</v>
      </c>
      <c r="G44" s="777">
        <v>41495</v>
      </c>
      <c r="H44" s="778" t="s">
        <v>47</v>
      </c>
      <c r="I44" s="780">
        <v>12</v>
      </c>
      <c r="J44" s="784">
        <v>4</v>
      </c>
      <c r="K44" s="550">
        <f>4113+388+63+293</f>
        <v>4857</v>
      </c>
      <c r="L44" s="552">
        <f>510+45+9+40</f>
        <v>604</v>
      </c>
      <c r="M44" s="785">
        <f t="shared" si="0"/>
        <v>8.041390728476822</v>
      </c>
    </row>
    <row r="45" spans="1:13" ht="11.25">
      <c r="A45" s="562">
        <v>44</v>
      </c>
      <c r="B45" s="782"/>
      <c r="C45" s="548" t="s">
        <v>942</v>
      </c>
      <c r="D45" s="779" t="s">
        <v>876</v>
      </c>
      <c r="E45" s="782"/>
      <c r="F45" s="782" t="s">
        <v>942</v>
      </c>
      <c r="G45" s="788">
        <v>41425</v>
      </c>
      <c r="H45" s="782" t="s">
        <v>139</v>
      </c>
      <c r="I45" s="780">
        <v>3</v>
      </c>
      <c r="J45" s="780">
        <v>7</v>
      </c>
      <c r="K45" s="550">
        <v>4553</v>
      </c>
      <c r="L45" s="552">
        <v>461</v>
      </c>
      <c r="M45" s="785">
        <f t="shared" si="0"/>
        <v>9.876355748373102</v>
      </c>
    </row>
  </sheetData>
  <sheetProtection/>
  <mergeCells count="1">
    <mergeCell ref="B1:M1"/>
  </mergeCells>
  <printOptions/>
  <pageMargins left="0.7" right="0.7" top="0.75" bottom="0.75" header="0.3" footer="0.3"/>
  <pageSetup horizontalDpi="600" verticalDpi="600" orientation="portrait" paperSize="9" r:id="rId1"/>
  <ignoredErrors>
    <ignoredError sqref="K2:M45" unlockedFormula="1"/>
  </ignoredErrors>
</worksheet>
</file>

<file path=xl/worksheets/sheet7.xml><?xml version="1.0" encoding="utf-8"?>
<worksheet xmlns="http://schemas.openxmlformats.org/spreadsheetml/2006/main" xmlns:r="http://schemas.openxmlformats.org/officeDocument/2006/relationships">
  <sheetPr>
    <tabColor rgb="FF00B0F0"/>
  </sheetPr>
  <dimension ref="A1:S325"/>
  <sheetViews>
    <sheetView zoomScalePageLayoutView="0" workbookViewId="0" topLeftCell="A230">
      <selection activeCell="A253" sqref="A253:K253"/>
    </sheetView>
  </sheetViews>
  <sheetFormatPr defaultColWidth="6.140625" defaultRowHeight="12.75"/>
  <cols>
    <col min="1" max="1" width="5.00390625" style="147" bestFit="1" customWidth="1"/>
    <col min="2" max="2" width="8.140625" style="176" bestFit="1" customWidth="1"/>
    <col min="3" max="3" width="10.421875" style="177" bestFit="1" customWidth="1"/>
    <col min="4" max="4" width="13.421875" style="178" bestFit="1" customWidth="1"/>
    <col min="5" max="5" width="9.8515625" style="179" bestFit="1" customWidth="1"/>
    <col min="6" max="6" width="11.421875" style="179" bestFit="1" customWidth="1"/>
    <col min="7" max="7" width="13.421875" style="178" bestFit="1" customWidth="1"/>
    <col min="8" max="8" width="12.28125" style="179" bestFit="1" customWidth="1"/>
    <col min="9" max="9" width="10.57421875" style="147" bestFit="1" customWidth="1"/>
    <col min="10" max="10" width="40.57421875" style="153" bestFit="1" customWidth="1"/>
    <col min="11" max="11" width="8.8515625" style="179" bestFit="1" customWidth="1"/>
    <col min="12" max="16384" width="6.140625" style="147" customWidth="1"/>
  </cols>
  <sheetData>
    <row r="1" spans="1:11" ht="12.75">
      <c r="A1" s="855" t="s">
        <v>136</v>
      </c>
      <c r="B1" s="856"/>
      <c r="C1" s="856"/>
      <c r="D1" s="856"/>
      <c r="E1" s="856"/>
      <c r="F1" s="856"/>
      <c r="G1" s="856"/>
      <c r="H1" s="856"/>
      <c r="I1" s="856"/>
      <c r="J1" s="856"/>
      <c r="K1" s="856"/>
    </row>
    <row r="2" spans="1:11" s="153" customFormat="1" ht="12.75">
      <c r="A2" s="148"/>
      <c r="B2" s="149"/>
      <c r="C2" s="150" t="s">
        <v>121</v>
      </c>
      <c r="D2" s="151"/>
      <c r="E2" s="152" t="s">
        <v>124</v>
      </c>
      <c r="F2" s="148" t="s">
        <v>124</v>
      </c>
      <c r="G2" s="151" t="s">
        <v>128</v>
      </c>
      <c r="H2" s="151" t="s">
        <v>128</v>
      </c>
      <c r="I2" s="148" t="s">
        <v>129</v>
      </c>
      <c r="J2" s="148" t="s">
        <v>132</v>
      </c>
      <c r="K2" s="152" t="s">
        <v>126</v>
      </c>
    </row>
    <row r="3" spans="1:11" s="153" customFormat="1" ht="12.75">
      <c r="A3" s="148"/>
      <c r="B3" s="149"/>
      <c r="C3" s="150" t="s">
        <v>122</v>
      </c>
      <c r="D3" s="151" t="s">
        <v>124</v>
      </c>
      <c r="E3" s="152" t="s">
        <v>126</v>
      </c>
      <c r="F3" s="148" t="s">
        <v>138</v>
      </c>
      <c r="G3" s="151" t="s">
        <v>124</v>
      </c>
      <c r="H3" s="151" t="s">
        <v>124</v>
      </c>
      <c r="I3" s="148" t="s">
        <v>130</v>
      </c>
      <c r="J3" s="148" t="s">
        <v>133</v>
      </c>
      <c r="K3" s="152" t="s">
        <v>135</v>
      </c>
    </row>
    <row r="4" spans="1:11" s="153" customFormat="1" ht="13.5" thickBot="1">
      <c r="A4" s="154" t="s">
        <v>119</v>
      </c>
      <c r="B4" s="155" t="s">
        <v>120</v>
      </c>
      <c r="C4" s="156" t="s">
        <v>123</v>
      </c>
      <c r="D4" s="157" t="s">
        <v>125</v>
      </c>
      <c r="E4" s="158" t="s">
        <v>127</v>
      </c>
      <c r="F4" s="154" t="s">
        <v>137</v>
      </c>
      <c r="G4" s="157" t="s">
        <v>125</v>
      </c>
      <c r="H4" s="157" t="s">
        <v>126</v>
      </c>
      <c r="I4" s="154" t="s">
        <v>131</v>
      </c>
      <c r="J4" s="154" t="s">
        <v>134</v>
      </c>
      <c r="K4" s="158" t="s">
        <v>123</v>
      </c>
    </row>
    <row r="5" spans="1:11" s="153" customFormat="1" ht="12.75">
      <c r="A5" s="237">
        <v>2013</v>
      </c>
      <c r="B5" s="256">
        <v>41278</v>
      </c>
      <c r="C5" s="253" t="s">
        <v>571</v>
      </c>
      <c r="D5" s="252">
        <v>14516618.11</v>
      </c>
      <c r="E5" s="259">
        <v>1449120</v>
      </c>
      <c r="F5" s="289">
        <f>IF(E6&lt;&gt;0,-(E6-E5)/E6,"")</f>
        <v>0.5950003246971236</v>
      </c>
      <c r="G5" s="260">
        <v>10557435.89</v>
      </c>
      <c r="H5" s="251">
        <v>1113027</v>
      </c>
      <c r="I5" s="254">
        <v>0.77</v>
      </c>
      <c r="J5" s="255" t="s">
        <v>607</v>
      </c>
      <c r="K5" s="251">
        <v>966163</v>
      </c>
    </row>
    <row r="6" spans="1:11" ht="12.75">
      <c r="A6" s="159">
        <v>2012</v>
      </c>
      <c r="B6" s="160">
        <v>40907</v>
      </c>
      <c r="C6" s="161">
        <v>74</v>
      </c>
      <c r="D6" s="162">
        <v>8200954.5</v>
      </c>
      <c r="E6" s="184">
        <v>908539</v>
      </c>
      <c r="F6" s="290"/>
      <c r="G6" s="183">
        <v>4378379</v>
      </c>
      <c r="H6" s="165">
        <v>513723</v>
      </c>
      <c r="I6" s="248">
        <v>0.57</v>
      </c>
      <c r="J6" s="186" t="s">
        <v>84</v>
      </c>
      <c r="K6" s="184">
        <v>273690</v>
      </c>
    </row>
    <row r="7" spans="1:11" ht="12.75">
      <c r="A7" s="167">
        <v>2011</v>
      </c>
      <c r="B7" s="168">
        <v>40543</v>
      </c>
      <c r="C7" s="169" t="s">
        <v>117</v>
      </c>
      <c r="D7" s="170">
        <v>6313693</v>
      </c>
      <c r="E7" s="173">
        <v>634043</v>
      </c>
      <c r="F7" s="291"/>
      <c r="G7" s="170">
        <v>2910042.5</v>
      </c>
      <c r="H7" s="173">
        <v>321979</v>
      </c>
      <c r="I7" s="249">
        <v>0.51</v>
      </c>
      <c r="J7" s="175" t="s">
        <v>118</v>
      </c>
      <c r="K7" s="173">
        <v>182375</v>
      </c>
    </row>
    <row r="8" spans="1:11" ht="12.75">
      <c r="A8" s="180"/>
      <c r="B8" s="181"/>
      <c r="C8" s="182"/>
      <c r="D8" s="183"/>
      <c r="E8" s="184"/>
      <c r="F8" s="292"/>
      <c r="G8" s="183"/>
      <c r="H8" s="184"/>
      <c r="I8" s="180"/>
      <c r="J8" s="11"/>
      <c r="K8" s="184"/>
    </row>
    <row r="9" spans="1:11" ht="12.75">
      <c r="A9" s="262">
        <v>2013</v>
      </c>
      <c r="B9" s="263">
        <v>41285</v>
      </c>
      <c r="C9" s="264" t="s">
        <v>221</v>
      </c>
      <c r="D9" s="265">
        <v>14832169.18</v>
      </c>
      <c r="E9" s="266">
        <v>1470870</v>
      </c>
      <c r="F9" s="267">
        <f>IF(E10&lt;&gt;0,-(E10-E9)/E10,"")</f>
        <v>0.6622216295506067</v>
      </c>
      <c r="G9" s="265">
        <v>10945490.17</v>
      </c>
      <c r="H9" s="266">
        <v>1127361</v>
      </c>
      <c r="I9" s="254">
        <v>0.77</v>
      </c>
      <c r="J9" s="258" t="s">
        <v>607</v>
      </c>
      <c r="K9" s="266">
        <v>959955</v>
      </c>
    </row>
    <row r="10" spans="1:11" ht="12.75">
      <c r="A10" s="159">
        <v>2012</v>
      </c>
      <c r="B10" s="160">
        <v>40914</v>
      </c>
      <c r="C10" s="161" t="s">
        <v>152</v>
      </c>
      <c r="D10" s="162">
        <v>8481996</v>
      </c>
      <c r="E10" s="184">
        <v>884882</v>
      </c>
      <c r="F10" s="293"/>
      <c r="G10" s="183">
        <v>4475888.5</v>
      </c>
      <c r="H10" s="165">
        <v>500419</v>
      </c>
      <c r="I10" s="248">
        <v>0.57</v>
      </c>
      <c r="J10" s="257" t="s">
        <v>84</v>
      </c>
      <c r="K10" s="165">
        <v>198737</v>
      </c>
    </row>
    <row r="11" spans="1:11" ht="12.75">
      <c r="A11" s="167">
        <v>2011</v>
      </c>
      <c r="B11" s="168">
        <v>40550</v>
      </c>
      <c r="C11" s="169" t="s">
        <v>153</v>
      </c>
      <c r="D11" s="170">
        <v>17210409</v>
      </c>
      <c r="E11" s="173">
        <v>1850404</v>
      </c>
      <c r="F11" s="291"/>
      <c r="G11" s="170">
        <v>15725804</v>
      </c>
      <c r="H11" s="173">
        <v>1715171</v>
      </c>
      <c r="I11" s="249">
        <v>0.93</v>
      </c>
      <c r="J11" s="175" t="s">
        <v>154</v>
      </c>
      <c r="K11" s="173">
        <v>1226038</v>
      </c>
    </row>
    <row r="12" spans="6:11" ht="12.75">
      <c r="F12" s="294"/>
      <c r="J12" s="268"/>
      <c r="K12" s="269"/>
    </row>
    <row r="13" spans="1:11" ht="12.75">
      <c r="A13" s="262">
        <v>2013</v>
      </c>
      <c r="B13" s="263">
        <v>41292</v>
      </c>
      <c r="C13" s="264" t="s">
        <v>165</v>
      </c>
      <c r="D13" s="265">
        <v>21052458.87</v>
      </c>
      <c r="E13" s="272">
        <v>2169100</v>
      </c>
      <c r="F13" s="267">
        <f>IF(E14&lt;&gt;0,-(E14-E13)/E14,"")</f>
        <v>1.0891442704801824</v>
      </c>
      <c r="G13" s="273">
        <v>17873996.67</v>
      </c>
      <c r="H13" s="266">
        <v>1892815</v>
      </c>
      <c r="I13" s="271">
        <v>0.87</v>
      </c>
      <c r="J13" s="258" t="s">
        <v>624</v>
      </c>
      <c r="K13" s="266">
        <v>1142796</v>
      </c>
    </row>
    <row r="14" spans="1:11" ht="12.75">
      <c r="A14" s="159">
        <v>2012</v>
      </c>
      <c r="B14" s="160">
        <v>40921</v>
      </c>
      <c r="C14" s="161" t="s">
        <v>164</v>
      </c>
      <c r="D14" s="162">
        <v>9952732.5</v>
      </c>
      <c r="E14" s="163">
        <v>1038272</v>
      </c>
      <c r="F14" s="295"/>
      <c r="G14" s="164">
        <v>4132151</v>
      </c>
      <c r="H14" s="165">
        <v>469150</v>
      </c>
      <c r="I14" s="248">
        <v>0.45</v>
      </c>
      <c r="J14" s="270" t="s">
        <v>158</v>
      </c>
      <c r="K14" s="165">
        <v>209171</v>
      </c>
    </row>
    <row r="15" spans="1:11" ht="12.75">
      <c r="A15" s="167">
        <v>2011</v>
      </c>
      <c r="B15" s="168">
        <v>40557</v>
      </c>
      <c r="C15" s="169" t="s">
        <v>165</v>
      </c>
      <c r="D15" s="170">
        <v>13786400.25</v>
      </c>
      <c r="E15" s="171">
        <v>1473699</v>
      </c>
      <c r="F15" s="291"/>
      <c r="G15" s="172">
        <v>11172188</v>
      </c>
      <c r="H15" s="173">
        <v>1237966</v>
      </c>
      <c r="I15" s="249">
        <v>0.84</v>
      </c>
      <c r="J15" s="175" t="s">
        <v>154</v>
      </c>
      <c r="K15" s="173">
        <v>894074</v>
      </c>
    </row>
    <row r="16" spans="6:11" ht="12.75">
      <c r="F16" s="294"/>
      <c r="J16" s="268"/>
      <c r="K16" s="277"/>
    </row>
    <row r="17" spans="1:11" ht="12.75">
      <c r="A17" s="262">
        <v>2013</v>
      </c>
      <c r="B17" s="263">
        <v>41299</v>
      </c>
      <c r="C17" s="264" t="s">
        <v>547</v>
      </c>
      <c r="D17" s="265">
        <v>19434205</v>
      </c>
      <c r="E17" s="266">
        <v>1953351</v>
      </c>
      <c r="F17" s="267">
        <f>IF(E18&lt;&gt;0,-(E18-E17)/E18,"")</f>
        <v>0.5732631975721493</v>
      </c>
      <c r="G17" s="265">
        <v>14844540.92</v>
      </c>
      <c r="H17" s="266">
        <v>1532291</v>
      </c>
      <c r="I17" s="278">
        <v>0.78</v>
      </c>
      <c r="J17" s="258" t="s">
        <v>624</v>
      </c>
      <c r="K17" s="266">
        <v>803228</v>
      </c>
    </row>
    <row r="18" spans="1:11" ht="12.75">
      <c r="A18" s="180">
        <v>2012</v>
      </c>
      <c r="B18" s="181">
        <v>40928</v>
      </c>
      <c r="C18" s="182" t="s">
        <v>152</v>
      </c>
      <c r="D18" s="183">
        <v>12103565.9</v>
      </c>
      <c r="E18" s="275">
        <v>1241592</v>
      </c>
      <c r="F18" s="274"/>
      <c r="G18" s="276">
        <v>3616319.9</v>
      </c>
      <c r="H18" s="184">
        <v>404883</v>
      </c>
      <c r="I18" s="250">
        <v>0.33</v>
      </c>
      <c r="J18" s="11" t="s">
        <v>158</v>
      </c>
      <c r="K18" s="184">
        <v>237346</v>
      </c>
    </row>
    <row r="19" spans="1:11" ht="12.75">
      <c r="A19" s="167">
        <v>2011</v>
      </c>
      <c r="B19" s="168">
        <v>40564</v>
      </c>
      <c r="C19" s="169" t="s">
        <v>164</v>
      </c>
      <c r="D19" s="170">
        <v>11370167.75</v>
      </c>
      <c r="E19" s="171">
        <v>1247550</v>
      </c>
      <c r="F19" s="261"/>
      <c r="G19" s="172">
        <v>8403050.5</v>
      </c>
      <c r="H19" s="173">
        <v>969380</v>
      </c>
      <c r="I19" s="249">
        <v>0.78</v>
      </c>
      <c r="J19" s="175" t="s">
        <v>154</v>
      </c>
      <c r="K19" s="173">
        <v>605415</v>
      </c>
    </row>
    <row r="20" spans="10:11" ht="12.75">
      <c r="J20" s="11"/>
      <c r="K20" s="180"/>
    </row>
    <row r="21" spans="1:11" ht="12.75">
      <c r="A21" s="180">
        <v>2012</v>
      </c>
      <c r="B21" s="181">
        <v>40935</v>
      </c>
      <c r="C21" s="182" t="s">
        <v>181</v>
      </c>
      <c r="D21" s="183">
        <v>14925131.45</v>
      </c>
      <c r="E21" s="275">
        <v>1547490</v>
      </c>
      <c r="F21" s="857">
        <f>IF(E22&lt;&gt;0,-(E22-E21)/E22,"")</f>
        <v>-0.22639463576824384</v>
      </c>
      <c r="G21" s="276">
        <v>10003235.8</v>
      </c>
      <c r="H21" s="184">
        <v>1068642</v>
      </c>
      <c r="I21" s="185">
        <v>0.69</v>
      </c>
      <c r="J21" s="186" t="s">
        <v>193</v>
      </c>
      <c r="K21" s="184">
        <v>889193</v>
      </c>
    </row>
    <row r="22" spans="1:11" ht="12.75">
      <c r="A22" s="167">
        <v>2011</v>
      </c>
      <c r="B22" s="168">
        <v>40571</v>
      </c>
      <c r="C22" s="169" t="s">
        <v>180</v>
      </c>
      <c r="D22" s="170">
        <v>18269978.5</v>
      </c>
      <c r="E22" s="171">
        <v>2000361</v>
      </c>
      <c r="F22" s="858"/>
      <c r="G22" s="172">
        <v>14251249.5</v>
      </c>
      <c r="H22" s="173">
        <v>1637665</v>
      </c>
      <c r="I22" s="174">
        <v>0.82</v>
      </c>
      <c r="J22" s="175" t="s">
        <v>196</v>
      </c>
      <c r="K22" s="173">
        <v>1060415</v>
      </c>
    </row>
    <row r="23" spans="1:11" ht="12.75">
      <c r="A23" s="187"/>
      <c r="B23" s="188"/>
      <c r="C23" s="189"/>
      <c r="D23" s="190"/>
      <c r="E23" s="191"/>
      <c r="F23" s="191"/>
      <c r="G23" s="190"/>
      <c r="H23" s="191"/>
      <c r="I23" s="187"/>
      <c r="J23" s="192"/>
      <c r="K23" s="191"/>
    </row>
    <row r="24" spans="1:11" ht="12.75">
      <c r="A24" s="187"/>
      <c r="B24" s="188"/>
      <c r="C24" s="189"/>
      <c r="D24" s="190"/>
      <c r="E24" s="191"/>
      <c r="F24" s="191"/>
      <c r="G24" s="190"/>
      <c r="H24" s="191"/>
      <c r="I24" s="187"/>
      <c r="J24" s="192"/>
      <c r="K24" s="191"/>
    </row>
    <row r="25" spans="1:11" ht="12.75">
      <c r="A25" s="238">
        <v>2013</v>
      </c>
      <c r="B25" s="239" t="s">
        <v>195</v>
      </c>
      <c r="C25" s="240"/>
      <c r="D25" s="241">
        <f>D5+D9+D13+D17</f>
        <v>69835451.16</v>
      </c>
      <c r="E25" s="244">
        <f>E5+E9+E13+E17</f>
        <v>7042441</v>
      </c>
      <c r="F25" s="861">
        <f>IF(E26&lt;&gt;0,-(E26-E25)/E26,"")</f>
        <v>0.2529306012071289</v>
      </c>
      <c r="G25" s="246">
        <f>G5+G9+G13+G17</f>
        <v>54221463.650000006</v>
      </c>
      <c r="H25" s="242">
        <f>H5+H9+H13+H17</f>
        <v>5665494</v>
      </c>
      <c r="I25" s="238"/>
      <c r="J25" s="243"/>
      <c r="K25" s="242"/>
    </row>
    <row r="26" spans="1:11" ht="12.75">
      <c r="A26" s="193">
        <v>2012</v>
      </c>
      <c r="B26" s="194" t="s">
        <v>195</v>
      </c>
      <c r="C26" s="195"/>
      <c r="D26" s="196">
        <f>D6+D10+D14+D18+D21</f>
        <v>53664380.349999994</v>
      </c>
      <c r="E26" s="245">
        <f>E6+E10+E14+E18+E21</f>
        <v>5620775</v>
      </c>
      <c r="F26" s="862"/>
      <c r="G26" s="247">
        <f>G6+G10+G14+G18+G21</f>
        <v>26605974.200000003</v>
      </c>
      <c r="H26" s="197">
        <f>H6+H10+H14+H18+H21</f>
        <v>2956817</v>
      </c>
      <c r="I26" s="193"/>
      <c r="J26" s="198"/>
      <c r="K26" s="197"/>
    </row>
    <row r="27" spans="1:11" ht="12.75">
      <c r="A27" s="199">
        <v>2011</v>
      </c>
      <c r="B27" s="200" t="s">
        <v>195</v>
      </c>
      <c r="C27" s="201"/>
      <c r="D27" s="202">
        <f>D7+D11+D15+D19+D22</f>
        <v>66950648.5</v>
      </c>
      <c r="E27" s="296">
        <f>E7+E11+E15+E19+E22</f>
        <v>7206057</v>
      </c>
      <c r="F27" s="261"/>
      <c r="G27" s="297">
        <f>G7+G11+G15+G19+G22</f>
        <v>52462334.5</v>
      </c>
      <c r="H27" s="203">
        <f>H7+H11+H15+H19+H22</f>
        <v>5882161</v>
      </c>
      <c r="I27" s="199"/>
      <c r="J27" s="204"/>
      <c r="K27" s="203"/>
    </row>
    <row r="28" spans="1:11" ht="12.75">
      <c r="A28" s="187"/>
      <c r="B28" s="188"/>
      <c r="C28" s="205"/>
      <c r="D28" s="190"/>
      <c r="E28" s="191"/>
      <c r="F28" s="191"/>
      <c r="G28" s="190"/>
      <c r="H28" s="191"/>
      <c r="I28" s="187"/>
      <c r="J28" s="192"/>
      <c r="K28" s="191"/>
    </row>
    <row r="29" spans="1:11" ht="12.75">
      <c r="A29" s="855" t="s">
        <v>136</v>
      </c>
      <c r="B29" s="856"/>
      <c r="C29" s="856"/>
      <c r="D29" s="856"/>
      <c r="E29" s="856"/>
      <c r="F29" s="856"/>
      <c r="G29" s="856"/>
      <c r="H29" s="856"/>
      <c r="I29" s="856"/>
      <c r="J29" s="856"/>
      <c r="K29" s="856"/>
    </row>
    <row r="30" spans="1:11" s="153" customFormat="1" ht="12.75">
      <c r="A30" s="148"/>
      <c r="B30" s="149"/>
      <c r="C30" s="150" t="s">
        <v>121</v>
      </c>
      <c r="D30" s="151"/>
      <c r="E30" s="152" t="s">
        <v>124</v>
      </c>
      <c r="F30" s="148" t="s">
        <v>124</v>
      </c>
      <c r="G30" s="151" t="s">
        <v>128</v>
      </c>
      <c r="H30" s="151" t="s">
        <v>128</v>
      </c>
      <c r="I30" s="148" t="s">
        <v>129</v>
      </c>
      <c r="J30" s="148" t="s">
        <v>132</v>
      </c>
      <c r="K30" s="152" t="s">
        <v>126</v>
      </c>
    </row>
    <row r="31" spans="1:11" s="153" customFormat="1" ht="12.75">
      <c r="A31" s="148"/>
      <c r="B31" s="149"/>
      <c r="C31" s="150" t="s">
        <v>122</v>
      </c>
      <c r="D31" s="151" t="s">
        <v>124</v>
      </c>
      <c r="E31" s="152" t="s">
        <v>126</v>
      </c>
      <c r="F31" s="148" t="s">
        <v>138</v>
      </c>
      <c r="G31" s="151" t="s">
        <v>124</v>
      </c>
      <c r="H31" s="151" t="s">
        <v>124</v>
      </c>
      <c r="I31" s="148" t="s">
        <v>130</v>
      </c>
      <c r="J31" s="148" t="s">
        <v>133</v>
      </c>
      <c r="K31" s="152" t="s">
        <v>135</v>
      </c>
    </row>
    <row r="32" spans="1:11" s="153" customFormat="1" ht="13.5" thickBot="1">
      <c r="A32" s="154" t="s">
        <v>119</v>
      </c>
      <c r="B32" s="155" t="s">
        <v>120</v>
      </c>
      <c r="C32" s="156" t="s">
        <v>123</v>
      </c>
      <c r="D32" s="157" t="s">
        <v>125</v>
      </c>
      <c r="E32" s="158" t="s">
        <v>127</v>
      </c>
      <c r="F32" s="154" t="s">
        <v>137</v>
      </c>
      <c r="G32" s="157" t="s">
        <v>125</v>
      </c>
      <c r="H32" s="157" t="s">
        <v>126</v>
      </c>
      <c r="I32" s="154" t="s">
        <v>131</v>
      </c>
      <c r="J32" s="154" t="s">
        <v>134</v>
      </c>
      <c r="K32" s="158" t="s">
        <v>123</v>
      </c>
    </row>
    <row r="33" spans="1:11" s="153" customFormat="1" ht="12.75">
      <c r="A33" s="287">
        <v>2013</v>
      </c>
      <c r="B33" s="284">
        <v>41306</v>
      </c>
      <c r="C33" s="285" t="s">
        <v>547</v>
      </c>
      <c r="D33" s="283">
        <v>18397734.92</v>
      </c>
      <c r="E33" s="282">
        <v>1836980</v>
      </c>
      <c r="F33" s="288">
        <f>IF(E34&lt;&gt;0,-(E34-E33)/E34,"")</f>
        <v>0.7480330845269316</v>
      </c>
      <c r="G33" s="283">
        <v>13173676.6</v>
      </c>
      <c r="H33" s="282">
        <v>1375269</v>
      </c>
      <c r="I33" s="279">
        <v>0.75</v>
      </c>
      <c r="J33" s="286" t="s">
        <v>644</v>
      </c>
      <c r="K33" s="282">
        <v>495335</v>
      </c>
    </row>
    <row r="34" spans="1:11" ht="12.75">
      <c r="A34" s="180">
        <v>2012</v>
      </c>
      <c r="B34" s="181">
        <v>40942</v>
      </c>
      <c r="C34" s="182" t="s">
        <v>165</v>
      </c>
      <c r="D34" s="183">
        <v>10223755.13</v>
      </c>
      <c r="E34" s="184">
        <v>1050884</v>
      </c>
      <c r="F34" s="280"/>
      <c r="G34" s="183">
        <v>6067403.45</v>
      </c>
      <c r="H34" s="184">
        <v>661957</v>
      </c>
      <c r="I34" s="185">
        <v>0.63</v>
      </c>
      <c r="J34" s="206" t="s">
        <v>193</v>
      </c>
      <c r="K34" s="184">
        <v>519684</v>
      </c>
    </row>
    <row r="35" spans="1:11" ht="12.75">
      <c r="A35" s="167">
        <v>2011</v>
      </c>
      <c r="B35" s="168">
        <v>40578</v>
      </c>
      <c r="C35" s="169" t="s">
        <v>179</v>
      </c>
      <c r="D35" s="170">
        <v>17381185.25</v>
      </c>
      <c r="E35" s="173">
        <v>1741731</v>
      </c>
      <c r="F35" s="281"/>
      <c r="G35" s="170">
        <v>13342928.25</v>
      </c>
      <c r="H35" s="173">
        <v>1486911</v>
      </c>
      <c r="I35" s="174">
        <v>0.81</v>
      </c>
      <c r="J35" s="207" t="s">
        <v>198</v>
      </c>
      <c r="K35" s="173">
        <v>621467</v>
      </c>
    </row>
    <row r="37" spans="1:11" ht="12.75">
      <c r="A37" s="262">
        <v>2013</v>
      </c>
      <c r="B37" s="263">
        <v>41313</v>
      </c>
      <c r="C37" s="264" t="s">
        <v>184</v>
      </c>
      <c r="D37" s="265">
        <v>13394394.81</v>
      </c>
      <c r="E37" s="272">
        <v>1335628</v>
      </c>
      <c r="F37" s="267">
        <f>IF(E38&lt;&gt;0,-(E38-E37)/E38,"")</f>
        <v>0.7099824985244733</v>
      </c>
      <c r="G37" s="273">
        <v>9812838.58</v>
      </c>
      <c r="H37" s="266">
        <v>1027389</v>
      </c>
      <c r="I37" s="271">
        <v>0.77</v>
      </c>
      <c r="J37" s="258" t="s">
        <v>644</v>
      </c>
      <c r="K37" s="266">
        <v>349591</v>
      </c>
    </row>
    <row r="38" spans="1:11" ht="12.75">
      <c r="A38" s="180">
        <v>2012</v>
      </c>
      <c r="B38" s="181">
        <v>40949</v>
      </c>
      <c r="C38" s="182" t="s">
        <v>194</v>
      </c>
      <c r="D38" s="183">
        <v>7622079.26</v>
      </c>
      <c r="E38" s="275">
        <v>781077</v>
      </c>
      <c r="F38" s="274"/>
      <c r="G38" s="276">
        <v>3333135.86</v>
      </c>
      <c r="H38" s="184">
        <v>377941</v>
      </c>
      <c r="I38" s="185">
        <v>0.48</v>
      </c>
      <c r="J38" s="206" t="s">
        <v>193</v>
      </c>
      <c r="K38" s="184">
        <v>281880</v>
      </c>
    </row>
    <row r="39" spans="1:11" ht="12.75">
      <c r="A39" s="167">
        <v>2011</v>
      </c>
      <c r="B39" s="168">
        <v>40585</v>
      </c>
      <c r="C39" s="169" t="s">
        <v>182</v>
      </c>
      <c r="D39" s="170">
        <v>12737426</v>
      </c>
      <c r="E39" s="171">
        <v>1353427</v>
      </c>
      <c r="F39" s="261"/>
      <c r="G39" s="172">
        <v>10783903</v>
      </c>
      <c r="H39" s="173">
        <v>1076520</v>
      </c>
      <c r="I39" s="174">
        <v>0.8</v>
      </c>
      <c r="J39" s="207" t="s">
        <v>198</v>
      </c>
      <c r="K39" s="173">
        <v>620439</v>
      </c>
    </row>
    <row r="41" spans="1:11" ht="13.5" customHeight="1">
      <c r="A41" s="262">
        <v>2013</v>
      </c>
      <c r="B41" s="263">
        <v>41320</v>
      </c>
      <c r="C41" s="264" t="s">
        <v>672</v>
      </c>
      <c r="D41" s="265">
        <v>13679879.46</v>
      </c>
      <c r="E41" s="266">
        <v>1372632</v>
      </c>
      <c r="F41" s="298">
        <f>IF(E42&lt;&gt;0,-(E42-E41)/E42,"")</f>
        <v>-0.4976769105105527</v>
      </c>
      <c r="G41" s="265">
        <v>10526005.01</v>
      </c>
      <c r="H41" s="266">
        <v>1093877</v>
      </c>
      <c r="I41" s="271">
        <v>0.8</v>
      </c>
      <c r="J41" s="258" t="s">
        <v>665</v>
      </c>
      <c r="K41" s="266">
        <v>556220</v>
      </c>
    </row>
    <row r="42" spans="1:11" ht="12.75">
      <c r="A42" s="180">
        <v>2012</v>
      </c>
      <c r="B42" s="181">
        <v>40956</v>
      </c>
      <c r="C42" s="182" t="s">
        <v>184</v>
      </c>
      <c r="D42" s="183">
        <v>24443123.92</v>
      </c>
      <c r="E42" s="184">
        <v>2732568</v>
      </c>
      <c r="F42" s="295"/>
      <c r="G42" s="183">
        <v>20786816.67</v>
      </c>
      <c r="H42" s="184">
        <v>2386844</v>
      </c>
      <c r="I42" s="185">
        <v>0.87</v>
      </c>
      <c r="J42" s="206" t="s">
        <v>202</v>
      </c>
      <c r="K42" s="184">
        <v>2233041</v>
      </c>
    </row>
    <row r="43" spans="1:11" ht="12.75">
      <c r="A43" s="167">
        <v>2011</v>
      </c>
      <c r="B43" s="168">
        <v>40592</v>
      </c>
      <c r="C43" s="169" t="s">
        <v>187</v>
      </c>
      <c r="D43" s="170">
        <v>9243878.25</v>
      </c>
      <c r="E43" s="173">
        <v>985580</v>
      </c>
      <c r="F43" s="291"/>
      <c r="G43" s="170">
        <v>6508163.25</v>
      </c>
      <c r="H43" s="173">
        <v>735944</v>
      </c>
      <c r="I43" s="174">
        <v>0.75</v>
      </c>
      <c r="J43" s="207" t="s">
        <v>198</v>
      </c>
      <c r="K43" s="173">
        <v>415293</v>
      </c>
    </row>
    <row r="45" spans="1:11" ht="13.5" customHeight="1">
      <c r="A45" s="262">
        <v>2013</v>
      </c>
      <c r="B45" s="263">
        <v>41327</v>
      </c>
      <c r="C45" s="264" t="s">
        <v>679</v>
      </c>
      <c r="D45" s="265">
        <v>15257839.77</v>
      </c>
      <c r="E45" s="266">
        <v>1569407</v>
      </c>
      <c r="F45" s="298">
        <f>IF(E46&lt;&gt;0,-(E46-E45)/E46,"")</f>
        <v>-0.21741573818100585</v>
      </c>
      <c r="G45" s="265">
        <v>13321693.48</v>
      </c>
      <c r="H45" s="266">
        <v>1395614</v>
      </c>
      <c r="I45" s="271">
        <v>0.8</v>
      </c>
      <c r="J45" s="258" t="s">
        <v>675</v>
      </c>
      <c r="K45" s="266">
        <v>807881</v>
      </c>
    </row>
    <row r="46" spans="1:11" ht="12.75">
      <c r="A46" s="180">
        <v>2012</v>
      </c>
      <c r="B46" s="181">
        <v>40963</v>
      </c>
      <c r="C46" s="182" t="s">
        <v>189</v>
      </c>
      <c r="D46" s="183">
        <v>17106726.08</v>
      </c>
      <c r="E46" s="275">
        <v>2005416</v>
      </c>
      <c r="F46" s="295"/>
      <c r="G46" s="276">
        <v>14898565.52</v>
      </c>
      <c r="H46" s="184">
        <v>1732781</v>
      </c>
      <c r="I46" s="185">
        <v>0.67</v>
      </c>
      <c r="J46" s="206" t="s">
        <v>202</v>
      </c>
      <c r="K46" s="184">
        <v>1630125</v>
      </c>
    </row>
    <row r="47" spans="1:11" ht="12.75">
      <c r="A47" s="167">
        <v>2011</v>
      </c>
      <c r="B47" s="168">
        <v>40599</v>
      </c>
      <c r="C47" s="169" t="s">
        <v>182</v>
      </c>
      <c r="D47" s="170">
        <v>9760322.25</v>
      </c>
      <c r="E47" s="171">
        <v>1029216</v>
      </c>
      <c r="F47" s="291"/>
      <c r="G47" s="172">
        <v>7071063.2</v>
      </c>
      <c r="H47" s="173">
        <v>791256</v>
      </c>
      <c r="I47" s="174">
        <v>0.77</v>
      </c>
      <c r="J47" s="207" t="s">
        <v>206</v>
      </c>
      <c r="K47" s="173">
        <v>334860</v>
      </c>
    </row>
    <row r="48" spans="1:11" ht="12.75">
      <c r="A48" s="187"/>
      <c r="B48" s="188"/>
      <c r="C48" s="189"/>
      <c r="D48" s="190"/>
      <c r="E48" s="191"/>
      <c r="F48" s="191"/>
      <c r="G48" s="190"/>
      <c r="H48" s="191"/>
      <c r="I48" s="187"/>
      <c r="J48" s="192"/>
      <c r="K48" s="191"/>
    </row>
    <row r="49" spans="1:11" ht="12.75">
      <c r="A49" s="238">
        <v>2013</v>
      </c>
      <c r="B49" s="239" t="s">
        <v>199</v>
      </c>
      <c r="C49" s="240"/>
      <c r="D49" s="241">
        <f aca="true" t="shared" si="0" ref="D49:E51">D33+D37+D41+D45</f>
        <v>60729848.96000001</v>
      </c>
      <c r="E49" s="244">
        <f t="shared" si="0"/>
        <v>6114647</v>
      </c>
      <c r="F49" s="859">
        <f>IF(E50&lt;&gt;0,-(E50-E49)/E50,"")</f>
        <v>-0.06930012351701574</v>
      </c>
      <c r="G49" s="246">
        <f aca="true" t="shared" si="1" ref="G49:H51">G33+G37+G41+G45</f>
        <v>46834213.67</v>
      </c>
      <c r="H49" s="242">
        <f t="shared" si="1"/>
        <v>4892149</v>
      </c>
      <c r="I49" s="238"/>
      <c r="J49" s="243"/>
      <c r="K49" s="242"/>
    </row>
    <row r="50" spans="1:11" ht="12.75">
      <c r="A50" s="193">
        <v>2012</v>
      </c>
      <c r="B50" s="194" t="s">
        <v>199</v>
      </c>
      <c r="C50" s="195"/>
      <c r="D50" s="196">
        <f t="shared" si="0"/>
        <v>59395684.39</v>
      </c>
      <c r="E50" s="245">
        <f t="shared" si="0"/>
        <v>6569945</v>
      </c>
      <c r="F50" s="860"/>
      <c r="G50" s="247">
        <f t="shared" si="1"/>
        <v>45085921.5</v>
      </c>
      <c r="H50" s="197">
        <f t="shared" si="1"/>
        <v>5159523</v>
      </c>
      <c r="I50" s="193"/>
      <c r="J50" s="198"/>
      <c r="K50" s="197"/>
    </row>
    <row r="51" spans="1:11" ht="12.75">
      <c r="A51" s="199">
        <v>2011</v>
      </c>
      <c r="B51" s="200" t="s">
        <v>199</v>
      </c>
      <c r="C51" s="201"/>
      <c r="D51" s="202">
        <f t="shared" si="0"/>
        <v>49122811.75</v>
      </c>
      <c r="E51" s="296">
        <f t="shared" si="0"/>
        <v>5109954</v>
      </c>
      <c r="F51" s="291"/>
      <c r="G51" s="297">
        <f t="shared" si="1"/>
        <v>37706057.7</v>
      </c>
      <c r="H51" s="203">
        <f t="shared" si="1"/>
        <v>4090631</v>
      </c>
      <c r="I51" s="199"/>
      <c r="J51" s="204"/>
      <c r="K51" s="203"/>
    </row>
    <row r="52" spans="1:11" ht="12.75">
      <c r="A52" s="187"/>
      <c r="B52" s="188"/>
      <c r="C52" s="205"/>
      <c r="D52" s="190"/>
      <c r="E52" s="191"/>
      <c r="F52" s="191"/>
      <c r="G52" s="190"/>
      <c r="H52" s="191"/>
      <c r="I52" s="187"/>
      <c r="J52" s="192"/>
      <c r="K52" s="191"/>
    </row>
    <row r="53" spans="1:11" ht="12.75">
      <c r="A53" s="855" t="s">
        <v>136</v>
      </c>
      <c r="B53" s="856"/>
      <c r="C53" s="856"/>
      <c r="D53" s="856"/>
      <c r="E53" s="856"/>
      <c r="F53" s="856"/>
      <c r="G53" s="856"/>
      <c r="H53" s="856"/>
      <c r="I53" s="856"/>
      <c r="J53" s="856"/>
      <c r="K53" s="856"/>
    </row>
    <row r="54" spans="1:11" s="153" customFormat="1" ht="12.75">
      <c r="A54" s="148"/>
      <c r="B54" s="149"/>
      <c r="C54" s="150" t="s">
        <v>121</v>
      </c>
      <c r="D54" s="151"/>
      <c r="E54" s="152" t="s">
        <v>124</v>
      </c>
      <c r="F54" s="148" t="s">
        <v>124</v>
      </c>
      <c r="G54" s="151" t="s">
        <v>128</v>
      </c>
      <c r="H54" s="151" t="s">
        <v>128</v>
      </c>
      <c r="I54" s="148" t="s">
        <v>129</v>
      </c>
      <c r="J54" s="148" t="s">
        <v>132</v>
      </c>
      <c r="K54" s="152" t="s">
        <v>126</v>
      </c>
    </row>
    <row r="55" spans="1:11" s="153" customFormat="1" ht="12.75">
      <c r="A55" s="148"/>
      <c r="B55" s="149"/>
      <c r="C55" s="150" t="s">
        <v>122</v>
      </c>
      <c r="D55" s="151" t="s">
        <v>124</v>
      </c>
      <c r="E55" s="152" t="s">
        <v>126</v>
      </c>
      <c r="F55" s="148" t="s">
        <v>138</v>
      </c>
      <c r="G55" s="151" t="s">
        <v>124</v>
      </c>
      <c r="H55" s="151" t="s">
        <v>124</v>
      </c>
      <c r="I55" s="148" t="s">
        <v>130</v>
      </c>
      <c r="J55" s="148" t="s">
        <v>133</v>
      </c>
      <c r="K55" s="152" t="s">
        <v>135</v>
      </c>
    </row>
    <row r="56" spans="1:11" s="153" customFormat="1" ht="13.5" thickBot="1">
      <c r="A56" s="154" t="s">
        <v>119</v>
      </c>
      <c r="B56" s="155" t="s">
        <v>120</v>
      </c>
      <c r="C56" s="156" t="s">
        <v>123</v>
      </c>
      <c r="D56" s="157" t="s">
        <v>125</v>
      </c>
      <c r="E56" s="158" t="s">
        <v>127</v>
      </c>
      <c r="F56" s="154" t="s">
        <v>137</v>
      </c>
      <c r="G56" s="157" t="s">
        <v>125</v>
      </c>
      <c r="H56" s="157" t="s">
        <v>126</v>
      </c>
      <c r="I56" s="154" t="s">
        <v>131</v>
      </c>
      <c r="J56" s="154" t="s">
        <v>134</v>
      </c>
      <c r="K56" s="158" t="s">
        <v>123</v>
      </c>
    </row>
    <row r="57" spans="1:11" ht="13.5" customHeight="1">
      <c r="A57" s="262">
        <v>2013</v>
      </c>
      <c r="B57" s="263">
        <v>41334</v>
      </c>
      <c r="C57" s="264" t="s">
        <v>183</v>
      </c>
      <c r="D57" s="265">
        <v>10754123.17</v>
      </c>
      <c r="E57" s="299">
        <v>1113204</v>
      </c>
      <c r="F57" s="300">
        <f>IF(E58&lt;&gt;0,-(E58-E57)/E58,"")</f>
        <v>-0.38131892194709327</v>
      </c>
      <c r="G57" s="301">
        <v>8186707.14</v>
      </c>
      <c r="H57" s="266">
        <v>881970</v>
      </c>
      <c r="I57" s="271">
        <v>0.79</v>
      </c>
      <c r="J57" s="258" t="s">
        <v>675</v>
      </c>
      <c r="K57" s="266">
        <v>477221</v>
      </c>
    </row>
    <row r="58" spans="1:11" ht="12.75">
      <c r="A58" s="159">
        <v>2012</v>
      </c>
      <c r="B58" s="160">
        <v>40970</v>
      </c>
      <c r="C58" s="161" t="s">
        <v>165</v>
      </c>
      <c r="D58" s="162">
        <v>16131169.8</v>
      </c>
      <c r="E58" s="163">
        <v>1799318</v>
      </c>
      <c r="F58" s="295"/>
      <c r="G58" s="164">
        <v>14172264.3</v>
      </c>
      <c r="H58" s="165">
        <v>1618102</v>
      </c>
      <c r="I58" s="166">
        <v>0.9</v>
      </c>
      <c r="J58" s="206" t="s">
        <v>202</v>
      </c>
      <c r="K58" s="165">
        <v>937424</v>
      </c>
    </row>
    <row r="59" spans="1:11" ht="12.75">
      <c r="A59" s="167">
        <v>2011</v>
      </c>
      <c r="B59" s="168">
        <v>40606</v>
      </c>
      <c r="C59" s="169" t="s">
        <v>188</v>
      </c>
      <c r="D59" s="170">
        <v>8705189.75</v>
      </c>
      <c r="E59" s="171">
        <v>1387108</v>
      </c>
      <c r="F59" s="291"/>
      <c r="G59" s="172">
        <v>5572745.25</v>
      </c>
      <c r="H59" s="173">
        <v>642480</v>
      </c>
      <c r="I59" s="174">
        <v>0.46</v>
      </c>
      <c r="J59" s="207" t="s">
        <v>206</v>
      </c>
      <c r="K59" s="173">
        <v>219284</v>
      </c>
    </row>
    <row r="61" spans="1:11" ht="13.5" customHeight="1">
      <c r="A61" s="262">
        <v>2013</v>
      </c>
      <c r="B61" s="263">
        <v>41341</v>
      </c>
      <c r="C61" s="264" t="s">
        <v>547</v>
      </c>
      <c r="D61" s="265">
        <v>7950182.84</v>
      </c>
      <c r="E61" s="272">
        <v>823078</v>
      </c>
      <c r="F61" s="298">
        <f>IF(E62&lt;&gt;0,-(E62-E61)/E62,"")</f>
        <v>-0.45650648003428373</v>
      </c>
      <c r="G61" s="273">
        <v>5475652.73</v>
      </c>
      <c r="H61" s="266">
        <v>601673</v>
      </c>
      <c r="I61" s="271">
        <v>0.73</v>
      </c>
      <c r="J61" s="258" t="s">
        <v>675</v>
      </c>
      <c r="K61" s="266">
        <v>271468</v>
      </c>
    </row>
    <row r="62" spans="1:11" ht="12.75">
      <c r="A62" s="180">
        <v>2012</v>
      </c>
      <c r="B62" s="181">
        <v>40977</v>
      </c>
      <c r="C62" s="182" t="s">
        <v>183</v>
      </c>
      <c r="D62" s="183">
        <v>13754343.86</v>
      </c>
      <c r="E62" s="275">
        <v>1514421</v>
      </c>
      <c r="F62" s="295"/>
      <c r="G62" s="276">
        <v>9453789.61</v>
      </c>
      <c r="H62" s="184">
        <v>1099077</v>
      </c>
      <c r="I62" s="185">
        <v>0.73</v>
      </c>
      <c r="J62" s="206" t="s">
        <v>202</v>
      </c>
      <c r="K62" s="184">
        <v>623396</v>
      </c>
    </row>
    <row r="63" spans="1:11" ht="12.75">
      <c r="A63" s="167">
        <v>2011</v>
      </c>
      <c r="B63" s="168">
        <v>40613</v>
      </c>
      <c r="C63" s="169" t="s">
        <v>182</v>
      </c>
      <c r="D63" s="170">
        <v>8165624.95</v>
      </c>
      <c r="E63" s="171">
        <v>864255</v>
      </c>
      <c r="F63" s="291"/>
      <c r="G63" s="172">
        <v>5835354.25</v>
      </c>
      <c r="H63" s="173">
        <v>651479</v>
      </c>
      <c r="I63" s="174">
        <v>0.75</v>
      </c>
      <c r="J63" s="207" t="s">
        <v>210</v>
      </c>
      <c r="K63" s="173">
        <v>264008</v>
      </c>
    </row>
    <row r="65" spans="1:11" ht="13.5" customHeight="1">
      <c r="A65" s="262">
        <v>2013</v>
      </c>
      <c r="B65" s="263">
        <v>41348</v>
      </c>
      <c r="C65" s="264" t="s">
        <v>490</v>
      </c>
      <c r="D65" s="265">
        <v>6417829.13</v>
      </c>
      <c r="E65" s="272">
        <v>666959</v>
      </c>
      <c r="F65" s="298">
        <f>IF(E66&lt;&gt;0,-(E66-E65)/E66,"")</f>
        <v>-0.28790104739432637</v>
      </c>
      <c r="G65" s="273">
        <v>4267846.84</v>
      </c>
      <c r="H65" s="266">
        <v>473154</v>
      </c>
      <c r="I65" s="271">
        <v>0.71</v>
      </c>
      <c r="J65" s="258" t="s">
        <v>722</v>
      </c>
      <c r="K65" s="266">
        <v>263217</v>
      </c>
    </row>
    <row r="66" spans="1:11" ht="12.75">
      <c r="A66" s="180">
        <v>2012</v>
      </c>
      <c r="B66" s="181">
        <v>40984</v>
      </c>
      <c r="C66" s="182" t="s">
        <v>185</v>
      </c>
      <c r="D66" s="183">
        <v>8382780.91</v>
      </c>
      <c r="E66" s="275">
        <v>936610</v>
      </c>
      <c r="F66" s="295"/>
      <c r="G66" s="276">
        <v>5576956.45</v>
      </c>
      <c r="H66" s="184">
        <v>656195</v>
      </c>
      <c r="I66" s="185">
        <v>0.7</v>
      </c>
      <c r="J66" s="206" t="s">
        <v>202</v>
      </c>
      <c r="K66" s="184">
        <v>343374</v>
      </c>
    </row>
    <row r="67" spans="1:11" ht="12.75">
      <c r="A67" s="167">
        <v>2011</v>
      </c>
      <c r="B67" s="168">
        <v>40620</v>
      </c>
      <c r="C67" s="169" t="s">
        <v>186</v>
      </c>
      <c r="D67" s="170">
        <v>6050157.75</v>
      </c>
      <c r="E67" s="171">
        <v>655185</v>
      </c>
      <c r="F67" s="291"/>
      <c r="G67" s="172">
        <v>3543383.75</v>
      </c>
      <c r="H67" s="173">
        <v>416334</v>
      </c>
      <c r="I67" s="174">
        <v>0.64</v>
      </c>
      <c r="J67" s="207" t="s">
        <v>210</v>
      </c>
      <c r="K67" s="173">
        <v>164978</v>
      </c>
    </row>
    <row r="69" spans="1:11" ht="13.5" customHeight="1">
      <c r="A69" s="262">
        <v>2013</v>
      </c>
      <c r="B69" s="263">
        <v>41355</v>
      </c>
      <c r="C69" s="264" t="s">
        <v>226</v>
      </c>
      <c r="D69" s="265">
        <v>8540507.91</v>
      </c>
      <c r="E69" s="272">
        <v>909260</v>
      </c>
      <c r="F69" s="267">
        <f>IF(E70&lt;&gt;0,-(E70-E69)/E70,"")</f>
        <v>0.22598617148651126</v>
      </c>
      <c r="G69" s="273">
        <v>6383221.95</v>
      </c>
      <c r="H69" s="266">
        <v>707841</v>
      </c>
      <c r="I69" s="271">
        <v>0.78</v>
      </c>
      <c r="J69" s="258" t="s">
        <v>722</v>
      </c>
      <c r="K69" s="266">
        <v>198124</v>
      </c>
    </row>
    <row r="70" spans="1:11" ht="12.75">
      <c r="A70" s="180">
        <v>2012</v>
      </c>
      <c r="B70" s="181">
        <v>40991</v>
      </c>
      <c r="C70" s="182" t="s">
        <v>217</v>
      </c>
      <c r="D70" s="183">
        <v>6720424.63</v>
      </c>
      <c r="E70" s="275">
        <v>741656</v>
      </c>
      <c r="F70" s="295"/>
      <c r="G70" s="276">
        <v>3052634.38</v>
      </c>
      <c r="H70" s="184">
        <v>365655</v>
      </c>
      <c r="I70" s="185">
        <v>0.49</v>
      </c>
      <c r="J70" s="208" t="s">
        <v>215</v>
      </c>
      <c r="K70" s="184">
        <v>199813</v>
      </c>
    </row>
    <row r="71" spans="1:11" ht="12.75">
      <c r="A71" s="167">
        <v>2011</v>
      </c>
      <c r="B71" s="168">
        <v>40627</v>
      </c>
      <c r="C71" s="169" t="s">
        <v>186</v>
      </c>
      <c r="D71" s="170">
        <v>6050157.75</v>
      </c>
      <c r="E71" s="171">
        <v>655185</v>
      </c>
      <c r="F71" s="291"/>
      <c r="G71" s="172">
        <v>3543383.75</v>
      </c>
      <c r="H71" s="173">
        <v>416334</v>
      </c>
      <c r="I71" s="174">
        <v>0.64</v>
      </c>
      <c r="J71" s="207" t="s">
        <v>162</v>
      </c>
      <c r="K71" s="173">
        <v>110278</v>
      </c>
    </row>
    <row r="72" spans="1:11" ht="12.75">
      <c r="A72" s="187"/>
      <c r="B72" s="188"/>
      <c r="C72" s="189"/>
      <c r="D72" s="190"/>
      <c r="E72" s="191"/>
      <c r="F72" s="191"/>
      <c r="G72" s="190"/>
      <c r="H72" s="191"/>
      <c r="I72" s="187"/>
      <c r="J72" s="192"/>
      <c r="K72" s="191"/>
    </row>
    <row r="73" spans="1:11" ht="12.75">
      <c r="A73" s="238">
        <v>2013</v>
      </c>
      <c r="B73" s="239" t="s">
        <v>207</v>
      </c>
      <c r="C73" s="240"/>
      <c r="D73" s="241">
        <f aca="true" t="shared" si="2" ref="D73:E75">D57+D61+D65+D69</f>
        <v>33662643.05</v>
      </c>
      <c r="E73" s="244">
        <f t="shared" si="2"/>
        <v>3512501</v>
      </c>
      <c r="F73" s="872">
        <f>IF(E74&lt;&gt;0,-(E74-E73)/E74,"")</f>
        <v>-0.29637470315033737</v>
      </c>
      <c r="G73" s="246">
        <f aca="true" t="shared" si="3" ref="G73:H75">G57+G61+G65+G69</f>
        <v>24313428.66</v>
      </c>
      <c r="H73" s="242">
        <f t="shared" si="3"/>
        <v>2664638</v>
      </c>
      <c r="I73" s="238"/>
      <c r="J73" s="243"/>
      <c r="K73" s="242"/>
    </row>
    <row r="74" spans="1:11" ht="12.75">
      <c r="A74" s="193">
        <v>2012</v>
      </c>
      <c r="B74" s="194" t="s">
        <v>207</v>
      </c>
      <c r="C74" s="195"/>
      <c r="D74" s="196">
        <f t="shared" si="2"/>
        <v>44988719.2</v>
      </c>
      <c r="E74" s="245">
        <f t="shared" si="2"/>
        <v>4992005</v>
      </c>
      <c r="F74" s="873"/>
      <c r="G74" s="247">
        <f t="shared" si="3"/>
        <v>32255644.74</v>
      </c>
      <c r="H74" s="197">
        <f t="shared" si="3"/>
        <v>3739029</v>
      </c>
      <c r="I74" s="193"/>
      <c r="J74" s="198"/>
      <c r="K74" s="197"/>
    </row>
    <row r="75" spans="1:11" ht="12.75">
      <c r="A75" s="199">
        <v>2011</v>
      </c>
      <c r="B75" s="200" t="s">
        <v>207</v>
      </c>
      <c r="C75" s="201"/>
      <c r="D75" s="202">
        <f t="shared" si="2"/>
        <v>28971130.2</v>
      </c>
      <c r="E75" s="296">
        <f t="shared" si="2"/>
        <v>3561733</v>
      </c>
      <c r="F75" s="291"/>
      <c r="G75" s="297">
        <f t="shared" si="3"/>
        <v>18494867</v>
      </c>
      <c r="H75" s="203">
        <f t="shared" si="3"/>
        <v>2126627</v>
      </c>
      <c r="I75" s="199"/>
      <c r="J75" s="204"/>
      <c r="K75" s="203"/>
    </row>
    <row r="76" spans="1:11" ht="12.75">
      <c r="A76" s="187"/>
      <c r="B76" s="188"/>
      <c r="C76" s="205"/>
      <c r="D76" s="190"/>
      <c r="E76" s="191"/>
      <c r="F76" s="191"/>
      <c r="G76" s="190"/>
      <c r="H76" s="191"/>
      <c r="I76" s="187"/>
      <c r="J76" s="192"/>
      <c r="K76" s="191"/>
    </row>
    <row r="77" spans="1:11" ht="12.75">
      <c r="A77" s="302">
        <v>2013</v>
      </c>
      <c r="B77" s="303" t="s">
        <v>211</v>
      </c>
      <c r="C77" s="304"/>
      <c r="D77" s="305">
        <f aca="true" t="shared" si="4" ref="D77:E79">D25+D49+D73</f>
        <v>164227943.17000002</v>
      </c>
      <c r="E77" s="306">
        <f t="shared" si="4"/>
        <v>16669589</v>
      </c>
      <c r="F77" s="859">
        <f>IF(E78&lt;&gt;0,-(E78-E77)/E78,"")</f>
        <v>-0.02986348207283769</v>
      </c>
      <c r="G77" s="305">
        <f aca="true" t="shared" si="5" ref="G77:H79">G25+G49+G73</f>
        <v>125369105.98</v>
      </c>
      <c r="H77" s="306">
        <f t="shared" si="5"/>
        <v>13222281</v>
      </c>
      <c r="I77" s="302"/>
      <c r="J77" s="307"/>
      <c r="K77" s="306"/>
    </row>
    <row r="78" spans="1:11" ht="12.75">
      <c r="A78" s="209">
        <v>2012</v>
      </c>
      <c r="B78" s="210" t="s">
        <v>211</v>
      </c>
      <c r="C78" s="211"/>
      <c r="D78" s="212">
        <f t="shared" si="4"/>
        <v>158048783.94</v>
      </c>
      <c r="E78" s="213">
        <f t="shared" si="4"/>
        <v>17182725</v>
      </c>
      <c r="F78" s="860"/>
      <c r="G78" s="212">
        <f t="shared" si="5"/>
        <v>103947540.44</v>
      </c>
      <c r="H78" s="213">
        <f t="shared" si="5"/>
        <v>11855369</v>
      </c>
      <c r="I78" s="209"/>
      <c r="J78" s="214"/>
      <c r="K78" s="213"/>
    </row>
    <row r="79" spans="1:11" ht="12.75">
      <c r="A79" s="215">
        <v>2011</v>
      </c>
      <c r="B79" s="216" t="s">
        <v>211</v>
      </c>
      <c r="C79" s="217"/>
      <c r="D79" s="218">
        <f t="shared" si="4"/>
        <v>145044590.45</v>
      </c>
      <c r="E79" s="219">
        <f t="shared" si="4"/>
        <v>15877744</v>
      </c>
      <c r="F79" s="219"/>
      <c r="G79" s="218">
        <f t="shared" si="5"/>
        <v>108663259.2</v>
      </c>
      <c r="H79" s="219">
        <f t="shared" si="5"/>
        <v>12099419</v>
      </c>
      <c r="I79" s="215"/>
      <c r="J79" s="220"/>
      <c r="K79" s="219"/>
    </row>
    <row r="80" spans="1:11" ht="12.75">
      <c r="A80" s="187"/>
      <c r="B80" s="188"/>
      <c r="C80" s="205"/>
      <c r="D80" s="190"/>
      <c r="E80" s="191"/>
      <c r="F80" s="191"/>
      <c r="G80" s="190"/>
      <c r="H80" s="191"/>
      <c r="I80" s="187"/>
      <c r="J80" s="192"/>
      <c r="K80" s="191"/>
    </row>
    <row r="81" spans="1:11" ht="12.75">
      <c r="A81" s="855" t="s">
        <v>136</v>
      </c>
      <c r="B81" s="856"/>
      <c r="C81" s="856"/>
      <c r="D81" s="856"/>
      <c r="E81" s="856"/>
      <c r="F81" s="856"/>
      <c r="G81" s="856"/>
      <c r="H81" s="856"/>
      <c r="I81" s="856"/>
      <c r="J81" s="856"/>
      <c r="K81" s="856"/>
    </row>
    <row r="82" spans="1:11" s="153" customFormat="1" ht="12.75">
      <c r="A82" s="148"/>
      <c r="B82" s="149"/>
      <c r="C82" s="150" t="s">
        <v>121</v>
      </c>
      <c r="D82" s="151"/>
      <c r="E82" s="152" t="s">
        <v>124</v>
      </c>
      <c r="F82" s="148" t="s">
        <v>124</v>
      </c>
      <c r="G82" s="151" t="s">
        <v>128</v>
      </c>
      <c r="H82" s="151" t="s">
        <v>128</v>
      </c>
      <c r="I82" s="148" t="s">
        <v>129</v>
      </c>
      <c r="J82" s="148" t="s">
        <v>132</v>
      </c>
      <c r="K82" s="152" t="s">
        <v>126</v>
      </c>
    </row>
    <row r="83" spans="1:11" s="153" customFormat="1" ht="12.75">
      <c r="A83" s="148"/>
      <c r="B83" s="149"/>
      <c r="C83" s="150" t="s">
        <v>122</v>
      </c>
      <c r="D83" s="151" t="s">
        <v>124</v>
      </c>
      <c r="E83" s="152" t="s">
        <v>126</v>
      </c>
      <c r="F83" s="148" t="s">
        <v>138</v>
      </c>
      <c r="G83" s="151" t="s">
        <v>124</v>
      </c>
      <c r="H83" s="151" t="s">
        <v>124</v>
      </c>
      <c r="I83" s="148" t="s">
        <v>130</v>
      </c>
      <c r="J83" s="148" t="s">
        <v>133</v>
      </c>
      <c r="K83" s="152" t="s">
        <v>135</v>
      </c>
    </row>
    <row r="84" spans="1:11" s="153" customFormat="1" ht="13.5" thickBot="1">
      <c r="A84" s="154" t="s">
        <v>119</v>
      </c>
      <c r="B84" s="155" t="s">
        <v>120</v>
      </c>
      <c r="C84" s="156" t="s">
        <v>123</v>
      </c>
      <c r="D84" s="157" t="s">
        <v>125</v>
      </c>
      <c r="E84" s="158" t="s">
        <v>127</v>
      </c>
      <c r="F84" s="154" t="s">
        <v>137</v>
      </c>
      <c r="G84" s="157" t="s">
        <v>125</v>
      </c>
      <c r="H84" s="157" t="s">
        <v>126</v>
      </c>
      <c r="I84" s="154" t="s">
        <v>131</v>
      </c>
      <c r="J84" s="154" t="s">
        <v>134</v>
      </c>
      <c r="K84" s="158" t="s">
        <v>123</v>
      </c>
    </row>
    <row r="85" spans="1:11" s="153" customFormat="1" ht="12.75">
      <c r="A85" s="321">
        <v>2013</v>
      </c>
      <c r="B85" s="322">
        <v>41362</v>
      </c>
      <c r="C85" s="323" t="s">
        <v>490</v>
      </c>
      <c r="D85" s="324">
        <v>8794232.4</v>
      </c>
      <c r="E85" s="325">
        <v>1048282</v>
      </c>
      <c r="F85" s="288">
        <f>IF(E86&lt;&gt;0,-(E86-E85)/E86,"")</f>
        <v>0.4359811016546326</v>
      </c>
      <c r="G85" s="326">
        <v>6377769.91</v>
      </c>
      <c r="H85" s="327">
        <v>830900</v>
      </c>
      <c r="I85" s="279">
        <v>0.79</v>
      </c>
      <c r="J85" s="328" t="s">
        <v>741</v>
      </c>
      <c r="K85" s="327">
        <v>521346</v>
      </c>
    </row>
    <row r="86" spans="1:11" ht="12.75">
      <c r="A86" s="159">
        <v>2012</v>
      </c>
      <c r="B86" s="160">
        <v>40998</v>
      </c>
      <c r="C86" s="161" t="s">
        <v>223</v>
      </c>
      <c r="D86" s="162">
        <v>7022412.24</v>
      </c>
      <c r="E86" s="163">
        <v>730011</v>
      </c>
      <c r="F86" s="319"/>
      <c r="G86" s="164">
        <v>2177450.24</v>
      </c>
      <c r="H86" s="165">
        <v>259491</v>
      </c>
      <c r="I86" s="166">
        <v>0.68</v>
      </c>
      <c r="J86" s="270" t="s">
        <v>218</v>
      </c>
      <c r="K86" s="165">
        <v>191313</v>
      </c>
    </row>
    <row r="87" spans="1:11" ht="12.75">
      <c r="A87" s="167">
        <v>2011</v>
      </c>
      <c r="B87" s="168">
        <v>40634</v>
      </c>
      <c r="C87" s="169" t="s">
        <v>216</v>
      </c>
      <c r="D87" s="170">
        <v>5687716.25</v>
      </c>
      <c r="E87" s="171">
        <v>603809</v>
      </c>
      <c r="F87" s="320"/>
      <c r="G87" s="172">
        <v>3162983.25</v>
      </c>
      <c r="H87" s="173">
        <v>367117</v>
      </c>
      <c r="I87" s="174">
        <v>0.61</v>
      </c>
      <c r="J87" s="207" t="s">
        <v>162</v>
      </c>
      <c r="K87" s="173">
        <v>106719</v>
      </c>
    </row>
    <row r="89" spans="1:11" s="153" customFormat="1" ht="12.75">
      <c r="A89" s="238">
        <v>2013</v>
      </c>
      <c r="B89" s="239">
        <v>41369</v>
      </c>
      <c r="C89" s="240" t="s">
        <v>490</v>
      </c>
      <c r="D89" s="241">
        <v>8994426.12</v>
      </c>
      <c r="E89" s="242">
        <v>1093735</v>
      </c>
      <c r="F89" s="267">
        <f>IF(E90&lt;&gt;0,-(E90-E89)/E90,"")</f>
        <v>0.7011859859237081</v>
      </c>
      <c r="G89" s="241">
        <v>6448881.45</v>
      </c>
      <c r="H89" s="242">
        <v>861785</v>
      </c>
      <c r="I89" s="329">
        <v>0.79</v>
      </c>
      <c r="J89" s="330" t="s">
        <v>741</v>
      </c>
      <c r="K89" s="242">
        <v>584620</v>
      </c>
    </row>
    <row r="90" spans="1:11" ht="12.75">
      <c r="A90" s="180">
        <v>2012</v>
      </c>
      <c r="B90" s="181">
        <v>41005</v>
      </c>
      <c r="C90" s="182" t="s">
        <v>226</v>
      </c>
      <c r="D90" s="183">
        <v>6103263.82</v>
      </c>
      <c r="E90" s="184">
        <v>642925</v>
      </c>
      <c r="F90" s="295"/>
      <c r="G90" s="183">
        <v>1386140.52</v>
      </c>
      <c r="H90" s="184">
        <v>171561</v>
      </c>
      <c r="I90" s="185">
        <v>0.66</v>
      </c>
      <c r="J90" s="11" t="s">
        <v>218</v>
      </c>
      <c r="K90" s="184">
        <v>99886</v>
      </c>
    </row>
    <row r="91" spans="1:11" ht="12.75">
      <c r="A91" s="167">
        <v>2011</v>
      </c>
      <c r="B91" s="168">
        <v>40641</v>
      </c>
      <c r="C91" s="169" t="s">
        <v>186</v>
      </c>
      <c r="D91" s="170">
        <v>5418508.5</v>
      </c>
      <c r="E91" s="171">
        <v>570103</v>
      </c>
      <c r="F91" s="291"/>
      <c r="G91" s="172">
        <v>2148385.25</v>
      </c>
      <c r="H91" s="173">
        <v>256021</v>
      </c>
      <c r="I91" s="174">
        <v>0.45</v>
      </c>
      <c r="J91" s="17" t="s">
        <v>224</v>
      </c>
      <c r="K91" s="173">
        <v>103644</v>
      </c>
    </row>
    <row r="93" spans="1:11" s="153" customFormat="1" ht="12.75">
      <c r="A93" s="238">
        <v>2013</v>
      </c>
      <c r="B93" s="239">
        <v>41376</v>
      </c>
      <c r="C93" s="240" t="s">
        <v>226</v>
      </c>
      <c r="D93" s="241">
        <v>8553181.98</v>
      </c>
      <c r="E93" s="244">
        <v>979450</v>
      </c>
      <c r="F93" s="267">
        <f>IF(E94&lt;&gt;0,-(E94-E93)/E94,"")</f>
        <v>0.792889215939315</v>
      </c>
      <c r="G93" s="246">
        <v>5440221.88</v>
      </c>
      <c r="H93" s="242">
        <v>688429</v>
      </c>
      <c r="I93" s="329">
        <v>0.7</v>
      </c>
      <c r="J93" s="330" t="s">
        <v>741</v>
      </c>
      <c r="K93" s="242">
        <v>393673</v>
      </c>
    </row>
    <row r="94" spans="1:11" ht="12.75">
      <c r="A94" s="180">
        <v>2012</v>
      </c>
      <c r="B94" s="181">
        <v>41012</v>
      </c>
      <c r="C94" s="182" t="s">
        <v>222</v>
      </c>
      <c r="D94" s="183">
        <v>4871259.63</v>
      </c>
      <c r="E94" s="275">
        <v>546297</v>
      </c>
      <c r="F94" s="274"/>
      <c r="G94" s="276">
        <v>6448881.45</v>
      </c>
      <c r="H94" s="184">
        <v>119141</v>
      </c>
      <c r="I94" s="185">
        <v>0.22</v>
      </c>
      <c r="J94" s="11" t="s">
        <v>218</v>
      </c>
      <c r="K94" s="184">
        <v>64191</v>
      </c>
    </row>
    <row r="95" spans="1:11" ht="12.75">
      <c r="A95" s="167">
        <v>2011</v>
      </c>
      <c r="B95" s="168">
        <v>40648</v>
      </c>
      <c r="C95" s="169" t="s">
        <v>220</v>
      </c>
      <c r="D95" s="170">
        <v>5202995.25</v>
      </c>
      <c r="E95" s="171">
        <v>554795</v>
      </c>
      <c r="F95" s="261"/>
      <c r="G95" s="172">
        <v>1504788</v>
      </c>
      <c r="H95" s="173">
        <v>183081</v>
      </c>
      <c r="I95" s="174">
        <v>0.33</v>
      </c>
      <c r="J95" s="17" t="s">
        <v>224</v>
      </c>
      <c r="K95" s="173">
        <v>88345</v>
      </c>
    </row>
    <row r="97" spans="1:11" s="153" customFormat="1" ht="12.75">
      <c r="A97" s="238">
        <v>2013</v>
      </c>
      <c r="B97" s="239">
        <v>41383</v>
      </c>
      <c r="C97" s="240" t="s">
        <v>194</v>
      </c>
      <c r="D97" s="241">
        <v>9103788.37</v>
      </c>
      <c r="E97" s="244">
        <v>975042</v>
      </c>
      <c r="F97" s="267">
        <f>IF(E98&lt;&gt;0,-(E98-E97)/E98,"")</f>
        <v>0.5465859198538182</v>
      </c>
      <c r="G97" s="246">
        <v>2994820.59</v>
      </c>
      <c r="H97" s="242">
        <v>386133</v>
      </c>
      <c r="I97" s="329">
        <v>0.4</v>
      </c>
      <c r="J97" s="330" t="s">
        <v>741</v>
      </c>
      <c r="K97" s="242">
        <v>225884</v>
      </c>
    </row>
    <row r="98" spans="1:11" ht="12.75">
      <c r="A98" s="180">
        <v>2012</v>
      </c>
      <c r="B98" s="181">
        <v>41019</v>
      </c>
      <c r="C98" s="182" t="s">
        <v>221</v>
      </c>
      <c r="D98" s="183">
        <v>6820910.27</v>
      </c>
      <c r="E98" s="275">
        <v>630448</v>
      </c>
      <c r="F98" s="295"/>
      <c r="G98" s="276">
        <v>532472.78</v>
      </c>
      <c r="H98" s="184">
        <v>67951</v>
      </c>
      <c r="I98" s="185">
        <v>0.11</v>
      </c>
      <c r="J98" s="11" t="s">
        <v>232</v>
      </c>
      <c r="K98" s="184">
        <v>118481</v>
      </c>
    </row>
    <row r="99" spans="1:11" ht="12.75">
      <c r="A99" s="167">
        <v>2011</v>
      </c>
      <c r="B99" s="168">
        <v>40655</v>
      </c>
      <c r="C99" s="169" t="s">
        <v>226</v>
      </c>
      <c r="D99" s="170">
        <v>5514107.49</v>
      </c>
      <c r="E99" s="171">
        <v>598913</v>
      </c>
      <c r="F99" s="291"/>
      <c r="G99" s="172">
        <v>1002473.5</v>
      </c>
      <c r="H99" s="173">
        <v>126563</v>
      </c>
      <c r="I99" s="174">
        <v>0.21</v>
      </c>
      <c r="J99" s="17" t="s">
        <v>224</v>
      </c>
      <c r="K99" s="173">
        <v>90215</v>
      </c>
    </row>
    <row r="100" spans="1:11" s="228" customFormat="1" ht="12.75">
      <c r="A100" s="221"/>
      <c r="B100" s="222"/>
      <c r="C100" s="223"/>
      <c r="D100" s="224"/>
      <c r="E100" s="225"/>
      <c r="F100" s="5"/>
      <c r="G100" s="224"/>
      <c r="H100" s="225"/>
      <c r="I100" s="226"/>
      <c r="J100" s="227"/>
      <c r="K100" s="225"/>
    </row>
    <row r="101" spans="1:11" s="153" customFormat="1" ht="12.75">
      <c r="A101" s="238">
        <v>2013</v>
      </c>
      <c r="B101" s="239">
        <v>41390</v>
      </c>
      <c r="C101" s="240" t="s">
        <v>262</v>
      </c>
      <c r="D101" s="241">
        <v>4495598.25</v>
      </c>
      <c r="E101" s="244">
        <v>490873</v>
      </c>
      <c r="F101" s="267">
        <f>IF(E102&lt;&gt;0,-(E102-E101)/E102,"")</f>
        <v>0.1553079068453817</v>
      </c>
      <c r="G101" s="246">
        <v>1470559.56</v>
      </c>
      <c r="H101" s="242">
        <v>200754</v>
      </c>
      <c r="I101" s="329">
        <v>0.41</v>
      </c>
      <c r="J101" s="330" t="s">
        <v>741</v>
      </c>
      <c r="K101" s="242">
        <v>122795</v>
      </c>
    </row>
    <row r="102" spans="1:11" ht="12.75">
      <c r="A102" s="180">
        <v>2012</v>
      </c>
      <c r="B102" s="181">
        <v>41026</v>
      </c>
      <c r="C102" s="182" t="s">
        <v>251</v>
      </c>
      <c r="D102" s="183">
        <v>4017409.12</v>
      </c>
      <c r="E102" s="275">
        <v>424885</v>
      </c>
      <c r="F102" s="350"/>
      <c r="G102" s="276">
        <v>348130.54</v>
      </c>
      <c r="H102" s="184">
        <v>45542</v>
      </c>
      <c r="I102" s="185">
        <v>0.11</v>
      </c>
      <c r="J102" s="11" t="s">
        <v>232</v>
      </c>
      <c r="K102" s="184">
        <v>68803</v>
      </c>
    </row>
    <row r="103" spans="1:11" ht="12.75">
      <c r="A103" s="167">
        <v>2011</v>
      </c>
      <c r="B103" s="168">
        <v>40662</v>
      </c>
      <c r="C103" s="169" t="s">
        <v>249</v>
      </c>
      <c r="D103" s="170">
        <v>6183810.35</v>
      </c>
      <c r="E103" s="171">
        <v>642866</v>
      </c>
      <c r="F103" s="351"/>
      <c r="G103" s="172">
        <v>503851.85</v>
      </c>
      <c r="H103" s="173">
        <v>69997</v>
      </c>
      <c r="I103" s="174">
        <v>0.11</v>
      </c>
      <c r="J103" s="17" t="s">
        <v>253</v>
      </c>
      <c r="K103" s="173">
        <v>250263</v>
      </c>
    </row>
    <row r="104" spans="1:11" ht="12.75">
      <c r="A104" s="187"/>
      <c r="B104" s="188"/>
      <c r="C104" s="189"/>
      <c r="D104" s="190"/>
      <c r="E104" s="191"/>
      <c r="F104" s="191"/>
      <c r="G104" s="190"/>
      <c r="H104" s="191"/>
      <c r="I104" s="187"/>
      <c r="J104" s="192"/>
      <c r="K104" s="191"/>
    </row>
    <row r="105" spans="1:11" ht="12.75">
      <c r="A105" s="238">
        <v>2013</v>
      </c>
      <c r="B105" s="239" t="s">
        <v>219</v>
      </c>
      <c r="C105" s="240"/>
      <c r="D105" s="241">
        <f aca="true" t="shared" si="6" ref="D105:E107">D85+D89+D93+D97+D101</f>
        <v>39941227.12</v>
      </c>
      <c r="E105" s="244">
        <f t="shared" si="6"/>
        <v>4587382</v>
      </c>
      <c r="F105" s="861">
        <f>IF(E106&lt;&gt;0,-(E106-E105)/E106,"")</f>
        <v>0.542202122931547</v>
      </c>
      <c r="G105" s="246">
        <f aca="true" t="shared" si="7" ref="G105:H107">G85+G89+G93+G97+G101</f>
        <v>22732253.389999997</v>
      </c>
      <c r="H105" s="242">
        <f t="shared" si="7"/>
        <v>2968001</v>
      </c>
      <c r="I105" s="238"/>
      <c r="J105" s="243"/>
      <c r="K105" s="242"/>
    </row>
    <row r="106" spans="1:11" ht="12.75">
      <c r="A106" s="193">
        <v>2012</v>
      </c>
      <c r="B106" s="194" t="s">
        <v>219</v>
      </c>
      <c r="C106" s="195"/>
      <c r="D106" s="196">
        <f t="shared" si="6"/>
        <v>28835255.080000002</v>
      </c>
      <c r="E106" s="245">
        <f t="shared" si="6"/>
        <v>2974566</v>
      </c>
      <c r="F106" s="862"/>
      <c r="G106" s="247">
        <f t="shared" si="7"/>
        <v>10893075.53</v>
      </c>
      <c r="H106" s="197">
        <f t="shared" si="7"/>
        <v>663686</v>
      </c>
      <c r="I106" s="193"/>
      <c r="J106" s="198"/>
      <c r="K106" s="197"/>
    </row>
    <row r="107" spans="1:11" ht="12.75">
      <c r="A107" s="199">
        <v>2011</v>
      </c>
      <c r="B107" s="200" t="s">
        <v>219</v>
      </c>
      <c r="C107" s="201"/>
      <c r="D107" s="202">
        <f t="shared" si="6"/>
        <v>28007137.840000004</v>
      </c>
      <c r="E107" s="296">
        <f t="shared" si="6"/>
        <v>2970486</v>
      </c>
      <c r="F107" s="338"/>
      <c r="G107" s="297">
        <f t="shared" si="7"/>
        <v>8322481.85</v>
      </c>
      <c r="H107" s="203">
        <f t="shared" si="7"/>
        <v>1002779</v>
      </c>
      <c r="I107" s="199"/>
      <c r="J107" s="204"/>
      <c r="K107" s="203"/>
    </row>
    <row r="108" spans="1:11" ht="12.75">
      <c r="A108" s="187"/>
      <c r="B108" s="188"/>
      <c r="C108" s="205"/>
      <c r="D108" s="190"/>
      <c r="E108" s="191"/>
      <c r="F108" s="191"/>
      <c r="G108" s="190"/>
      <c r="H108" s="191"/>
      <c r="I108" s="187"/>
      <c r="J108" s="192"/>
      <c r="K108" s="191"/>
    </row>
    <row r="109" spans="1:11" ht="12.75">
      <c r="A109" s="302">
        <v>2013</v>
      </c>
      <c r="B109" s="303" t="s">
        <v>231</v>
      </c>
      <c r="C109" s="304"/>
      <c r="D109" s="305">
        <f aca="true" t="shared" si="8" ref="D109:E111">D77+D105</f>
        <v>204169170.29000002</v>
      </c>
      <c r="E109" s="306">
        <f t="shared" si="8"/>
        <v>21256971</v>
      </c>
      <c r="F109" s="861">
        <f>IF(E110&lt;&gt;0,-(E110-E109)/E110,"")</f>
        <v>0.0545549498690077</v>
      </c>
      <c r="G109" s="305">
        <f aca="true" t="shared" si="9" ref="G109:H111">G77+G105</f>
        <v>148101359.37</v>
      </c>
      <c r="H109" s="306">
        <f t="shared" si="9"/>
        <v>16190282</v>
      </c>
      <c r="I109" s="302"/>
      <c r="J109" s="307"/>
      <c r="K109" s="306"/>
    </row>
    <row r="110" spans="1:11" ht="12.75">
      <c r="A110" s="209">
        <v>2012</v>
      </c>
      <c r="B110" s="210" t="s">
        <v>231</v>
      </c>
      <c r="C110" s="211"/>
      <c r="D110" s="212">
        <f t="shared" si="8"/>
        <v>186884039.02</v>
      </c>
      <c r="E110" s="213">
        <f t="shared" si="8"/>
        <v>20157291</v>
      </c>
      <c r="F110" s="862"/>
      <c r="G110" s="212">
        <f t="shared" si="9"/>
        <v>114840615.97</v>
      </c>
      <c r="H110" s="213">
        <f t="shared" si="9"/>
        <v>12519055</v>
      </c>
      <c r="I110" s="209"/>
      <c r="J110" s="214"/>
      <c r="K110" s="213"/>
    </row>
    <row r="111" spans="1:11" ht="12.75">
      <c r="A111" s="331">
        <v>2011</v>
      </c>
      <c r="B111" s="332" t="s">
        <v>231</v>
      </c>
      <c r="C111" s="333"/>
      <c r="D111" s="334">
        <f t="shared" si="8"/>
        <v>173051728.29</v>
      </c>
      <c r="E111" s="335">
        <f t="shared" si="8"/>
        <v>18848230</v>
      </c>
      <c r="F111" s="337"/>
      <c r="G111" s="334">
        <f t="shared" si="9"/>
        <v>116985741.05</v>
      </c>
      <c r="H111" s="335">
        <f t="shared" si="9"/>
        <v>13102198</v>
      </c>
      <c r="I111" s="331"/>
      <c r="J111" s="336"/>
      <c r="K111" s="335"/>
    </row>
    <row r="112" spans="1:11" ht="12.75">
      <c r="A112" s="187"/>
      <c r="B112" s="188"/>
      <c r="C112" s="205"/>
      <c r="D112" s="190"/>
      <c r="E112" s="191"/>
      <c r="F112" s="191"/>
      <c r="G112" s="190"/>
      <c r="H112" s="191"/>
      <c r="I112" s="187"/>
      <c r="J112" s="192"/>
      <c r="K112" s="191"/>
    </row>
    <row r="113" spans="1:11" ht="12.75">
      <c r="A113" s="855" t="s">
        <v>136</v>
      </c>
      <c r="B113" s="856"/>
      <c r="C113" s="856"/>
      <c r="D113" s="856"/>
      <c r="E113" s="856"/>
      <c r="F113" s="856"/>
      <c r="G113" s="856"/>
      <c r="H113" s="856"/>
      <c r="I113" s="856"/>
      <c r="J113" s="856"/>
      <c r="K113" s="856"/>
    </row>
    <row r="114" spans="1:11" s="153" customFormat="1" ht="12.75">
      <c r="A114" s="148"/>
      <c r="B114" s="149"/>
      <c r="C114" s="150" t="s">
        <v>121</v>
      </c>
      <c r="D114" s="151"/>
      <c r="E114" s="152" t="s">
        <v>124</v>
      </c>
      <c r="F114" s="148" t="s">
        <v>124</v>
      </c>
      <c r="G114" s="151" t="s">
        <v>128</v>
      </c>
      <c r="H114" s="151" t="s">
        <v>128</v>
      </c>
      <c r="I114" s="148" t="s">
        <v>129</v>
      </c>
      <c r="J114" s="148" t="s">
        <v>132</v>
      </c>
      <c r="K114" s="152" t="s">
        <v>126</v>
      </c>
    </row>
    <row r="115" spans="1:11" s="153" customFormat="1" ht="12.75">
      <c r="A115" s="148"/>
      <c r="B115" s="149"/>
      <c r="C115" s="150" t="s">
        <v>122</v>
      </c>
      <c r="D115" s="151" t="s">
        <v>124</v>
      </c>
      <c r="E115" s="152" t="s">
        <v>126</v>
      </c>
      <c r="F115" s="148" t="s">
        <v>138</v>
      </c>
      <c r="G115" s="151" t="s">
        <v>124</v>
      </c>
      <c r="H115" s="151" t="s">
        <v>124</v>
      </c>
      <c r="I115" s="148" t="s">
        <v>130</v>
      </c>
      <c r="J115" s="148" t="s">
        <v>133</v>
      </c>
      <c r="K115" s="152" t="s">
        <v>135</v>
      </c>
    </row>
    <row r="116" spans="1:11" s="153" customFormat="1" ht="13.5" thickBot="1">
      <c r="A116" s="154" t="s">
        <v>119</v>
      </c>
      <c r="B116" s="155" t="s">
        <v>120</v>
      </c>
      <c r="C116" s="156" t="s">
        <v>123</v>
      </c>
      <c r="D116" s="157" t="s">
        <v>125</v>
      </c>
      <c r="E116" s="158" t="s">
        <v>127</v>
      </c>
      <c r="F116" s="154" t="s">
        <v>137</v>
      </c>
      <c r="G116" s="157" t="s">
        <v>125</v>
      </c>
      <c r="H116" s="157" t="s">
        <v>126</v>
      </c>
      <c r="I116" s="154" t="s">
        <v>131</v>
      </c>
      <c r="J116" s="154" t="s">
        <v>134</v>
      </c>
      <c r="K116" s="158" t="s">
        <v>123</v>
      </c>
    </row>
    <row r="117" spans="1:11" s="153" customFormat="1" ht="12.75">
      <c r="A117" s="321">
        <v>2013</v>
      </c>
      <c r="B117" s="322">
        <v>41397</v>
      </c>
      <c r="C117" s="323" t="s">
        <v>308</v>
      </c>
      <c r="D117" s="324">
        <v>7328544.68</v>
      </c>
      <c r="E117" s="325">
        <v>710123</v>
      </c>
      <c r="F117" s="288">
        <f>IF(E118&lt;&gt;0,-(E118-E117)/E118,"")</f>
        <v>0.34478984196721935</v>
      </c>
      <c r="G117" s="326">
        <v>1255929.15</v>
      </c>
      <c r="H117" s="327">
        <v>166451</v>
      </c>
      <c r="I117" s="279">
        <v>0.79</v>
      </c>
      <c r="J117" s="353" t="s">
        <v>835</v>
      </c>
      <c r="K117" s="327">
        <v>324499</v>
      </c>
    </row>
    <row r="118" spans="1:11" ht="12.75">
      <c r="A118" s="159">
        <v>2012</v>
      </c>
      <c r="B118" s="160">
        <v>41033</v>
      </c>
      <c r="C118" s="161" t="s">
        <v>252</v>
      </c>
      <c r="D118" s="162">
        <v>5498831.01</v>
      </c>
      <c r="E118" s="163">
        <v>528055</v>
      </c>
      <c r="F118" s="295"/>
      <c r="G118" s="164">
        <v>306314.49</v>
      </c>
      <c r="H118" s="165">
        <v>39196</v>
      </c>
      <c r="I118" s="166">
        <v>0.08</v>
      </c>
      <c r="J118" s="11" t="s">
        <v>257</v>
      </c>
      <c r="K118" s="165">
        <v>278854</v>
      </c>
    </row>
    <row r="119" spans="1:11" ht="12.75">
      <c r="A119" s="167">
        <v>2011</v>
      </c>
      <c r="B119" s="168">
        <v>40669</v>
      </c>
      <c r="C119" s="169" t="s">
        <v>250</v>
      </c>
      <c r="D119" s="170">
        <v>4850664.5</v>
      </c>
      <c r="E119" s="171">
        <v>519044</v>
      </c>
      <c r="F119" s="291"/>
      <c r="G119" s="172">
        <v>647112</v>
      </c>
      <c r="H119" s="173">
        <v>86154</v>
      </c>
      <c r="I119" s="174">
        <v>0.13</v>
      </c>
      <c r="J119" s="17" t="s">
        <v>253</v>
      </c>
      <c r="K119" s="173">
        <v>162376</v>
      </c>
    </row>
    <row r="121" spans="1:11" s="153" customFormat="1" ht="12.75">
      <c r="A121" s="238">
        <v>2013</v>
      </c>
      <c r="B121" s="239">
        <v>41404</v>
      </c>
      <c r="C121" s="240" t="s">
        <v>262</v>
      </c>
      <c r="D121" s="241">
        <v>5407209</v>
      </c>
      <c r="E121" s="242">
        <v>559502</v>
      </c>
      <c r="F121" s="267">
        <f>IF(E122&lt;&gt;0,-(E122-E121)/E122,"")</f>
        <v>0.4002007072302152</v>
      </c>
      <c r="G121" s="241">
        <v>979916.87</v>
      </c>
      <c r="H121" s="242">
        <v>141545</v>
      </c>
      <c r="I121" s="329">
        <v>0.25</v>
      </c>
      <c r="J121" s="243" t="s">
        <v>835</v>
      </c>
      <c r="K121" s="242">
        <v>175747</v>
      </c>
    </row>
    <row r="122" spans="1:11" ht="12.75">
      <c r="A122" s="180">
        <v>2012</v>
      </c>
      <c r="B122" s="181">
        <v>41040</v>
      </c>
      <c r="C122" s="182" t="s">
        <v>249</v>
      </c>
      <c r="D122" s="183">
        <v>4006662.87</v>
      </c>
      <c r="E122" s="184">
        <v>399587</v>
      </c>
      <c r="F122" s="350"/>
      <c r="G122" s="183">
        <v>306783.19</v>
      </c>
      <c r="H122" s="184">
        <v>37871</v>
      </c>
      <c r="I122" s="185">
        <v>0.09</v>
      </c>
      <c r="J122" s="11" t="s">
        <v>257</v>
      </c>
      <c r="K122" s="184">
        <v>156567</v>
      </c>
    </row>
    <row r="123" spans="1:11" ht="12.75">
      <c r="A123" s="167">
        <v>2011</v>
      </c>
      <c r="B123" s="168">
        <v>40676</v>
      </c>
      <c r="C123" s="169" t="s">
        <v>262</v>
      </c>
      <c r="D123" s="170">
        <v>5888453</v>
      </c>
      <c r="E123" s="173">
        <v>592490</v>
      </c>
      <c r="F123" s="351"/>
      <c r="G123" s="170">
        <v>563096</v>
      </c>
      <c r="H123" s="173">
        <v>73573</v>
      </c>
      <c r="I123" s="174">
        <v>0.1</v>
      </c>
      <c r="J123" s="17" t="s">
        <v>253</v>
      </c>
      <c r="K123" s="173">
        <v>104811</v>
      </c>
    </row>
    <row r="125" spans="1:11" s="153" customFormat="1" ht="12.75">
      <c r="A125" s="238">
        <v>2013</v>
      </c>
      <c r="B125" s="239">
        <v>41411</v>
      </c>
      <c r="C125" s="240" t="s">
        <v>305</v>
      </c>
      <c r="D125" s="241">
        <v>5002974.48</v>
      </c>
      <c r="E125" s="244">
        <v>503843</v>
      </c>
      <c r="F125" s="267">
        <f>IF(E126&lt;&gt;0,-(E126-E125)/E126,"")</f>
        <v>0.13641448748426793</v>
      </c>
      <c r="G125" s="246">
        <v>1114765.31</v>
      </c>
      <c r="H125" s="242">
        <v>156042</v>
      </c>
      <c r="I125" s="329">
        <v>0.31</v>
      </c>
      <c r="J125" s="243" t="s">
        <v>835</v>
      </c>
      <c r="K125" s="242">
        <v>104677</v>
      </c>
    </row>
    <row r="126" spans="1:11" ht="12.75">
      <c r="A126" s="180">
        <v>2012</v>
      </c>
      <c r="B126" s="181">
        <v>41047</v>
      </c>
      <c r="C126" s="182" t="s">
        <v>273</v>
      </c>
      <c r="D126" s="183">
        <v>4499536.19</v>
      </c>
      <c r="E126" s="275">
        <v>443362</v>
      </c>
      <c r="F126" s="350"/>
      <c r="G126" s="276">
        <v>477929.86</v>
      </c>
      <c r="H126" s="184">
        <v>56918</v>
      </c>
      <c r="I126" s="185">
        <v>0.13</v>
      </c>
      <c r="J126" s="11" t="s">
        <v>257</v>
      </c>
      <c r="K126" s="184">
        <v>125651</v>
      </c>
    </row>
    <row r="127" spans="1:11" ht="12.75">
      <c r="A127" s="167">
        <v>2011</v>
      </c>
      <c r="B127" s="168">
        <v>40683</v>
      </c>
      <c r="C127" s="169" t="s">
        <v>270</v>
      </c>
      <c r="D127" s="170">
        <v>6159496</v>
      </c>
      <c r="E127" s="171">
        <v>598902</v>
      </c>
      <c r="F127" s="351"/>
      <c r="G127" s="172">
        <v>472467</v>
      </c>
      <c r="H127" s="173">
        <v>64842</v>
      </c>
      <c r="I127" s="174">
        <v>0.11</v>
      </c>
      <c r="J127" s="17" t="s">
        <v>203</v>
      </c>
      <c r="K127" s="173">
        <v>354245</v>
      </c>
    </row>
    <row r="129" spans="1:11" s="153" customFormat="1" ht="12.75">
      <c r="A129" s="238">
        <v>2013</v>
      </c>
      <c r="B129" s="239">
        <v>41418</v>
      </c>
      <c r="C129" s="240" t="s">
        <v>453</v>
      </c>
      <c r="D129" s="241">
        <v>6777605.89</v>
      </c>
      <c r="E129" s="244">
        <v>686807</v>
      </c>
      <c r="F129" s="267">
        <f>IF(E130&lt;&gt;0,-(E130-E129)/E130,"")</f>
        <v>0.73593923769083</v>
      </c>
      <c r="G129" s="246">
        <v>516979.61</v>
      </c>
      <c r="H129" s="242">
        <v>74393</v>
      </c>
      <c r="I129" s="329">
        <v>0.11</v>
      </c>
      <c r="J129" s="243" t="s">
        <v>911</v>
      </c>
      <c r="K129" s="242">
        <v>446119</v>
      </c>
    </row>
    <row r="130" spans="1:11" ht="12.75">
      <c r="A130" s="180">
        <v>2012</v>
      </c>
      <c r="B130" s="181">
        <v>41054</v>
      </c>
      <c r="C130" s="182" t="s">
        <v>272</v>
      </c>
      <c r="D130" s="183">
        <v>3773001.38</v>
      </c>
      <c r="E130" s="275">
        <v>395640</v>
      </c>
      <c r="F130" s="350"/>
      <c r="G130" s="276">
        <v>348389.27</v>
      </c>
      <c r="H130" s="184">
        <v>69578</v>
      </c>
      <c r="I130" s="185">
        <v>0.18</v>
      </c>
      <c r="J130" s="11" t="s">
        <v>275</v>
      </c>
      <c r="K130" s="184">
        <v>83426</v>
      </c>
    </row>
    <row r="131" spans="1:11" ht="12.75">
      <c r="A131" s="167">
        <v>2011</v>
      </c>
      <c r="B131" s="168">
        <v>40690</v>
      </c>
      <c r="C131" s="169" t="s">
        <v>249</v>
      </c>
      <c r="D131" s="170">
        <v>4745708</v>
      </c>
      <c r="E131" s="171">
        <v>465913</v>
      </c>
      <c r="F131" s="351"/>
      <c r="G131" s="172">
        <v>336262</v>
      </c>
      <c r="H131" s="173">
        <v>42897</v>
      </c>
      <c r="I131" s="174">
        <v>0.09</v>
      </c>
      <c r="J131" s="17" t="s">
        <v>203</v>
      </c>
      <c r="K131" s="173">
        <v>236345</v>
      </c>
    </row>
    <row r="132" spans="1:11" ht="13.5" thickBot="1">
      <c r="A132" s="355"/>
      <c r="B132" s="356"/>
      <c r="C132" s="357"/>
      <c r="D132" s="358"/>
      <c r="E132" s="359"/>
      <c r="F132" s="359"/>
      <c r="G132" s="358"/>
      <c r="H132" s="359"/>
      <c r="I132" s="355"/>
      <c r="J132" s="360"/>
      <c r="K132" s="359"/>
    </row>
    <row r="133" spans="1:11" ht="12.75">
      <c r="A133" s="321">
        <v>2013</v>
      </c>
      <c r="B133" s="322" t="s">
        <v>254</v>
      </c>
      <c r="C133" s="323"/>
      <c r="D133" s="324">
        <f aca="true" t="shared" si="10" ref="D133:E135">D117+D121+D125+D129</f>
        <v>24516334.05</v>
      </c>
      <c r="E133" s="327">
        <f t="shared" si="10"/>
        <v>2460275</v>
      </c>
      <c r="F133" s="861">
        <f>IF(E134&lt;&gt;0,-(E134-E133)/E134,"")</f>
        <v>0.39262635822497344</v>
      </c>
      <c r="G133" s="324">
        <f aca="true" t="shared" si="11" ref="G133:H135">G117+G121+G125+G129</f>
        <v>3867590.94</v>
      </c>
      <c r="H133" s="327">
        <f t="shared" si="11"/>
        <v>538431</v>
      </c>
      <c r="I133" s="321"/>
      <c r="J133" s="353"/>
      <c r="K133" s="327"/>
    </row>
    <row r="134" spans="1:11" ht="12.75">
      <c r="A134" s="193">
        <v>2012</v>
      </c>
      <c r="B134" s="194" t="s">
        <v>254</v>
      </c>
      <c r="C134" s="195"/>
      <c r="D134" s="196">
        <f t="shared" si="10"/>
        <v>17778031.45</v>
      </c>
      <c r="E134" s="197">
        <f t="shared" si="10"/>
        <v>1766644</v>
      </c>
      <c r="F134" s="862"/>
      <c r="G134" s="196">
        <f t="shared" si="11"/>
        <v>1439416.81</v>
      </c>
      <c r="H134" s="197">
        <f t="shared" si="11"/>
        <v>203563</v>
      </c>
      <c r="I134" s="193"/>
      <c r="J134" s="198"/>
      <c r="K134" s="197"/>
    </row>
    <row r="135" spans="1:11" ht="12.75">
      <c r="A135" s="199">
        <v>2011</v>
      </c>
      <c r="B135" s="200" t="s">
        <v>254</v>
      </c>
      <c r="C135" s="201"/>
      <c r="D135" s="202">
        <f t="shared" si="10"/>
        <v>21644321.5</v>
      </c>
      <c r="E135" s="203">
        <f t="shared" si="10"/>
        <v>2176349</v>
      </c>
      <c r="F135" s="351"/>
      <c r="G135" s="202">
        <f t="shared" si="11"/>
        <v>2018937</v>
      </c>
      <c r="H135" s="203">
        <f t="shared" si="11"/>
        <v>267466</v>
      </c>
      <c r="I135" s="199"/>
      <c r="J135" s="204"/>
      <c r="K135" s="203"/>
    </row>
    <row r="136" spans="1:11" ht="12.75">
      <c r="A136" s="187"/>
      <c r="B136" s="188"/>
      <c r="C136" s="205"/>
      <c r="D136" s="190"/>
      <c r="E136" s="191"/>
      <c r="F136" s="191"/>
      <c r="G136" s="190"/>
      <c r="H136" s="191"/>
      <c r="I136" s="187"/>
      <c r="J136" s="192"/>
      <c r="K136" s="191"/>
    </row>
    <row r="137" spans="1:11" ht="12.75">
      <c r="A137" s="302">
        <v>2013</v>
      </c>
      <c r="B137" s="303" t="s">
        <v>255</v>
      </c>
      <c r="C137" s="304"/>
      <c r="D137" s="305">
        <f aca="true" t="shared" si="12" ref="D137:E139">D109+D133</f>
        <v>228685504.34000003</v>
      </c>
      <c r="E137" s="306">
        <f t="shared" si="12"/>
        <v>23717246</v>
      </c>
      <c r="F137" s="861">
        <f>IF(E138&lt;&gt;0,-(E138-E137)/E138,"")</f>
        <v>0.08179694931589608</v>
      </c>
      <c r="G137" s="305">
        <f aca="true" t="shared" si="13" ref="G137:H139">G109+G133</f>
        <v>151968950.31</v>
      </c>
      <c r="H137" s="306">
        <f t="shared" si="13"/>
        <v>16728713</v>
      </c>
      <c r="I137" s="302"/>
      <c r="J137" s="307"/>
      <c r="K137" s="306"/>
    </row>
    <row r="138" spans="1:11" ht="12.75">
      <c r="A138" s="209">
        <v>2012</v>
      </c>
      <c r="B138" s="210" t="s">
        <v>255</v>
      </c>
      <c r="C138" s="211"/>
      <c r="D138" s="212">
        <f t="shared" si="12"/>
        <v>204662070.47</v>
      </c>
      <c r="E138" s="213">
        <f t="shared" si="12"/>
        <v>21923935</v>
      </c>
      <c r="F138" s="862"/>
      <c r="G138" s="212">
        <f t="shared" si="13"/>
        <v>116280032.78</v>
      </c>
      <c r="H138" s="213">
        <f t="shared" si="13"/>
        <v>12722618</v>
      </c>
      <c r="I138" s="209"/>
      <c r="J138" s="214"/>
      <c r="K138" s="213"/>
    </row>
    <row r="139" spans="1:11" ht="12.75">
      <c r="A139" s="331">
        <v>2011</v>
      </c>
      <c r="B139" s="332" t="s">
        <v>255</v>
      </c>
      <c r="C139" s="333"/>
      <c r="D139" s="334">
        <f t="shared" si="12"/>
        <v>194696049.79</v>
      </c>
      <c r="E139" s="335">
        <f t="shared" si="12"/>
        <v>21024579</v>
      </c>
      <c r="F139" s="337"/>
      <c r="G139" s="334">
        <f t="shared" si="13"/>
        <v>119004678.05</v>
      </c>
      <c r="H139" s="335">
        <f t="shared" si="13"/>
        <v>13369664</v>
      </c>
      <c r="I139" s="331"/>
      <c r="J139" s="336"/>
      <c r="K139" s="335"/>
    </row>
    <row r="140" spans="1:11" ht="12.75">
      <c r="A140" s="187"/>
      <c r="B140" s="188"/>
      <c r="C140" s="205"/>
      <c r="D140" s="190"/>
      <c r="E140" s="191"/>
      <c r="F140" s="191"/>
      <c r="G140" s="190"/>
      <c r="H140" s="191"/>
      <c r="I140" s="187"/>
      <c r="J140" s="192"/>
      <c r="K140" s="191"/>
    </row>
    <row r="141" spans="1:11" ht="12.75">
      <c r="A141" s="855" t="s">
        <v>136</v>
      </c>
      <c r="B141" s="856"/>
      <c r="C141" s="856"/>
      <c r="D141" s="856"/>
      <c r="E141" s="856"/>
      <c r="F141" s="856"/>
      <c r="G141" s="856"/>
      <c r="H141" s="856"/>
      <c r="I141" s="856"/>
      <c r="J141" s="856"/>
      <c r="K141" s="856"/>
    </row>
    <row r="142" spans="1:11" s="153" customFormat="1" ht="12.75">
      <c r="A142" s="148"/>
      <c r="B142" s="149"/>
      <c r="C142" s="150" t="s">
        <v>121</v>
      </c>
      <c r="D142" s="151"/>
      <c r="E142" s="152" t="s">
        <v>124</v>
      </c>
      <c r="F142" s="148" t="s">
        <v>124</v>
      </c>
      <c r="G142" s="151" t="s">
        <v>128</v>
      </c>
      <c r="H142" s="151" t="s">
        <v>128</v>
      </c>
      <c r="I142" s="148" t="s">
        <v>129</v>
      </c>
      <c r="J142" s="148" t="s">
        <v>132</v>
      </c>
      <c r="K142" s="152" t="s">
        <v>126</v>
      </c>
    </row>
    <row r="143" spans="1:11" s="153" customFormat="1" ht="12.75">
      <c r="A143" s="148"/>
      <c r="B143" s="149"/>
      <c r="C143" s="150" t="s">
        <v>122</v>
      </c>
      <c r="D143" s="151" t="s">
        <v>124</v>
      </c>
      <c r="E143" s="152" t="s">
        <v>126</v>
      </c>
      <c r="F143" s="148" t="s">
        <v>138</v>
      </c>
      <c r="G143" s="151" t="s">
        <v>124</v>
      </c>
      <c r="H143" s="151" t="s">
        <v>124</v>
      </c>
      <c r="I143" s="148" t="s">
        <v>130</v>
      </c>
      <c r="J143" s="148" t="s">
        <v>133</v>
      </c>
      <c r="K143" s="152" t="s">
        <v>135</v>
      </c>
    </row>
    <row r="144" spans="1:11" s="153" customFormat="1" ht="13.5" thickBot="1">
      <c r="A144" s="154" t="s">
        <v>119</v>
      </c>
      <c r="B144" s="155" t="s">
        <v>120</v>
      </c>
      <c r="C144" s="156" t="s">
        <v>123</v>
      </c>
      <c r="D144" s="157" t="s">
        <v>125</v>
      </c>
      <c r="E144" s="158" t="s">
        <v>127</v>
      </c>
      <c r="F144" s="154" t="s">
        <v>137</v>
      </c>
      <c r="G144" s="157" t="s">
        <v>125</v>
      </c>
      <c r="H144" s="157" t="s">
        <v>126</v>
      </c>
      <c r="I144" s="154" t="s">
        <v>131</v>
      </c>
      <c r="J144" s="154" t="s">
        <v>134</v>
      </c>
      <c r="K144" s="158" t="s">
        <v>123</v>
      </c>
    </row>
    <row r="145" spans="1:11" s="153" customFormat="1" ht="12.75">
      <c r="A145" s="321">
        <v>2013</v>
      </c>
      <c r="B145" s="322">
        <v>41425</v>
      </c>
      <c r="C145" s="323" t="s">
        <v>252</v>
      </c>
      <c r="D145" s="324">
        <v>6063372.75</v>
      </c>
      <c r="E145" s="325">
        <v>613361</v>
      </c>
      <c r="F145" s="267">
        <f>IF(E146&lt;&gt;0,-(E146-E145)/E146,"")</f>
        <v>0.3367207505639036</v>
      </c>
      <c r="G145" s="326">
        <v>237620</v>
      </c>
      <c r="H145" s="327">
        <v>31158</v>
      </c>
      <c r="I145" s="279">
        <v>0.05</v>
      </c>
      <c r="J145" s="243" t="s">
        <v>911</v>
      </c>
      <c r="K145" s="327">
        <v>242133</v>
      </c>
    </row>
    <row r="146" spans="1:11" ht="12.75">
      <c r="A146" s="159">
        <v>2012</v>
      </c>
      <c r="B146" s="160">
        <v>41061</v>
      </c>
      <c r="C146" s="161" t="s">
        <v>271</v>
      </c>
      <c r="D146" s="162">
        <v>4612349.32</v>
      </c>
      <c r="E146" s="163">
        <v>458855</v>
      </c>
      <c r="F146" s="350"/>
      <c r="G146" s="164">
        <v>196162.66</v>
      </c>
      <c r="H146" s="165">
        <v>25517</v>
      </c>
      <c r="I146" s="166">
        <v>0.06</v>
      </c>
      <c r="J146" s="11" t="s">
        <v>278</v>
      </c>
      <c r="K146" s="165">
        <v>113633</v>
      </c>
    </row>
    <row r="147" spans="1:11" ht="12.75">
      <c r="A147" s="167">
        <v>2011</v>
      </c>
      <c r="B147" s="168">
        <v>40697</v>
      </c>
      <c r="C147" s="169" t="s">
        <v>270</v>
      </c>
      <c r="D147" s="170">
        <v>5180041.75</v>
      </c>
      <c r="E147" s="171">
        <v>522022</v>
      </c>
      <c r="F147" s="351"/>
      <c r="G147" s="172">
        <v>183562.5</v>
      </c>
      <c r="H147" s="173">
        <v>25575</v>
      </c>
      <c r="I147" s="174">
        <v>0.05</v>
      </c>
      <c r="J147" s="17" t="s">
        <v>203</v>
      </c>
      <c r="K147" s="173">
        <v>152307</v>
      </c>
    </row>
    <row r="149" spans="1:11" s="153" customFormat="1" ht="12.75">
      <c r="A149" s="238">
        <v>2013</v>
      </c>
      <c r="B149" s="239">
        <v>41432</v>
      </c>
      <c r="C149" s="240" t="s">
        <v>305</v>
      </c>
      <c r="D149" s="241">
        <v>6284264.83</v>
      </c>
      <c r="E149" s="244">
        <v>624531</v>
      </c>
      <c r="F149" s="267">
        <f>IF(E150&lt;&gt;0,-(E150-E149)/E150,"")</f>
        <v>0.18953074436738962</v>
      </c>
      <c r="G149" s="246">
        <v>547696.33</v>
      </c>
      <c r="H149" s="242">
        <v>64313</v>
      </c>
      <c r="I149" s="329">
        <v>0.1</v>
      </c>
      <c r="J149" s="243" t="s">
        <v>911</v>
      </c>
      <c r="K149" s="242">
        <v>191433</v>
      </c>
    </row>
    <row r="150" spans="1:11" ht="12.75">
      <c r="A150" s="159">
        <v>2012</v>
      </c>
      <c r="B150" s="160">
        <v>41068</v>
      </c>
      <c r="C150" s="161" t="s">
        <v>290</v>
      </c>
      <c r="D150" s="162">
        <v>5274997.31</v>
      </c>
      <c r="E150" s="163">
        <v>525023</v>
      </c>
      <c r="F150" s="350"/>
      <c r="G150" s="164">
        <v>155209.45</v>
      </c>
      <c r="H150" s="165">
        <v>22106</v>
      </c>
      <c r="I150" s="166">
        <v>0.04</v>
      </c>
      <c r="J150" s="270" t="s">
        <v>291</v>
      </c>
      <c r="K150" s="165">
        <v>197684</v>
      </c>
    </row>
    <row r="151" spans="1:11" ht="12.75">
      <c r="A151" s="167">
        <v>2011</v>
      </c>
      <c r="B151" s="168">
        <v>40704</v>
      </c>
      <c r="C151" s="169" t="s">
        <v>248</v>
      </c>
      <c r="D151" s="170">
        <v>5428151.25</v>
      </c>
      <c r="E151" s="171">
        <v>541204</v>
      </c>
      <c r="F151" s="351"/>
      <c r="G151" s="172">
        <v>133804</v>
      </c>
      <c r="H151" s="173">
        <v>21052</v>
      </c>
      <c r="I151" s="174">
        <v>0.04</v>
      </c>
      <c r="J151" s="17" t="s">
        <v>76</v>
      </c>
      <c r="K151" s="173">
        <v>116198</v>
      </c>
    </row>
    <row r="153" spans="1:11" s="153" customFormat="1" ht="12.75">
      <c r="A153" s="238">
        <v>2013</v>
      </c>
      <c r="B153" s="239">
        <v>41439</v>
      </c>
      <c r="C153" s="240" t="s">
        <v>304</v>
      </c>
      <c r="D153" s="241">
        <v>5978156.74</v>
      </c>
      <c r="E153" s="244">
        <v>576163</v>
      </c>
      <c r="F153" s="267">
        <f>IF(E154&lt;&gt;0,-(E154-E153)/E154,"")</f>
        <v>0.4897248408565563</v>
      </c>
      <c r="G153" s="246">
        <v>446736.85</v>
      </c>
      <c r="H153" s="242">
        <v>50958</v>
      </c>
      <c r="I153" s="329">
        <v>0.09</v>
      </c>
      <c r="J153" s="243" t="s">
        <v>1010</v>
      </c>
      <c r="K153" s="242">
        <v>161924</v>
      </c>
    </row>
    <row r="154" spans="1:11" ht="12.75">
      <c r="A154" s="180">
        <v>2012</v>
      </c>
      <c r="B154" s="181">
        <v>41075</v>
      </c>
      <c r="C154" s="182" t="s">
        <v>251</v>
      </c>
      <c r="D154" s="183">
        <v>3877255.39</v>
      </c>
      <c r="E154" s="275">
        <v>386758</v>
      </c>
      <c r="F154" s="350"/>
      <c r="G154" s="276">
        <v>105158.48</v>
      </c>
      <c r="H154" s="184">
        <v>15956</v>
      </c>
      <c r="I154" s="185">
        <v>0.04</v>
      </c>
      <c r="J154" s="11" t="s">
        <v>291</v>
      </c>
      <c r="K154" s="184">
        <v>113168</v>
      </c>
    </row>
    <row r="155" spans="1:11" ht="12.75">
      <c r="A155" s="167">
        <v>2011</v>
      </c>
      <c r="B155" s="168">
        <v>40711</v>
      </c>
      <c r="C155" s="169" t="s">
        <v>251</v>
      </c>
      <c r="D155" s="170">
        <v>4274798</v>
      </c>
      <c r="E155" s="171">
        <v>434225</v>
      </c>
      <c r="F155" s="351"/>
      <c r="G155" s="172">
        <v>83784</v>
      </c>
      <c r="H155" s="173">
        <v>16055</v>
      </c>
      <c r="I155" s="174">
        <v>0.04</v>
      </c>
      <c r="J155" s="17" t="s">
        <v>76</v>
      </c>
      <c r="K155" s="173">
        <v>84602</v>
      </c>
    </row>
    <row r="157" spans="1:11" s="153" customFormat="1" ht="12.75">
      <c r="A157" s="238">
        <v>2013</v>
      </c>
      <c r="B157" s="239">
        <v>41446</v>
      </c>
      <c r="C157" s="240" t="s">
        <v>1043</v>
      </c>
      <c r="D157" s="241">
        <v>6792824.64</v>
      </c>
      <c r="E157" s="244">
        <v>641154</v>
      </c>
      <c r="F157" s="267">
        <f>IF(E158&lt;&gt;0,-(E158-E157)/E158,"")</f>
        <v>0.8139365133254116</v>
      </c>
      <c r="G157" s="246">
        <v>162972.7</v>
      </c>
      <c r="H157" s="242">
        <v>24720</v>
      </c>
      <c r="I157" s="329">
        <v>0.04</v>
      </c>
      <c r="J157" s="243" t="s">
        <v>1031</v>
      </c>
      <c r="K157" s="242">
        <v>273547</v>
      </c>
    </row>
    <row r="158" spans="1:11" ht="12.75">
      <c r="A158" s="180">
        <v>2012</v>
      </c>
      <c r="B158" s="181">
        <v>41082</v>
      </c>
      <c r="C158" s="182" t="s">
        <v>304</v>
      </c>
      <c r="D158" s="183">
        <v>3455121.27</v>
      </c>
      <c r="E158" s="275">
        <v>353460</v>
      </c>
      <c r="F158" s="350"/>
      <c r="G158" s="276">
        <v>89321.51</v>
      </c>
      <c r="H158" s="184">
        <v>13726</v>
      </c>
      <c r="I158" s="185">
        <v>0.04</v>
      </c>
      <c r="J158" s="11" t="s">
        <v>291</v>
      </c>
      <c r="K158" s="184">
        <v>86417</v>
      </c>
    </row>
    <row r="159" spans="1:11" ht="12.75">
      <c r="A159" s="167">
        <v>2011</v>
      </c>
      <c r="B159" s="168">
        <v>40718</v>
      </c>
      <c r="C159" s="169" t="s">
        <v>304</v>
      </c>
      <c r="D159" s="170">
        <v>3954819.5</v>
      </c>
      <c r="E159" s="171">
        <v>412182</v>
      </c>
      <c r="F159" s="351"/>
      <c r="G159" s="172">
        <v>289231.5</v>
      </c>
      <c r="H159" s="173">
        <v>37474</v>
      </c>
      <c r="I159" s="174">
        <v>0.09</v>
      </c>
      <c r="J159" s="17" t="s">
        <v>303</v>
      </c>
      <c r="K159" s="173">
        <v>73108</v>
      </c>
    </row>
    <row r="160" spans="1:11" ht="12.75">
      <c r="A160" s="187"/>
      <c r="B160" s="188"/>
      <c r="C160" s="189"/>
      <c r="D160" s="190"/>
      <c r="E160" s="191"/>
      <c r="F160" s="191"/>
      <c r="G160" s="190"/>
      <c r="H160" s="191"/>
      <c r="I160" s="187"/>
      <c r="J160" s="192"/>
      <c r="K160" s="191"/>
    </row>
    <row r="161" spans="1:11" ht="12.75">
      <c r="A161" s="321">
        <v>2013</v>
      </c>
      <c r="B161" s="322" t="s">
        <v>281</v>
      </c>
      <c r="C161" s="323"/>
      <c r="D161" s="324">
        <f aca="true" t="shared" si="14" ref="D161:E163">D145+D149+D153+D157</f>
        <v>25118618.96</v>
      </c>
      <c r="E161" s="325">
        <f t="shared" si="14"/>
        <v>2455209</v>
      </c>
      <c r="F161" s="869">
        <f>IF(E162&lt;&gt;0,-(E162-E161)/E162,"")</f>
        <v>0.4240558530383459</v>
      </c>
      <c r="G161" s="326">
        <f aca="true" t="shared" si="15" ref="G161:H163">G145+G149+G153+G157</f>
        <v>1395025.88</v>
      </c>
      <c r="H161" s="327">
        <f t="shared" si="15"/>
        <v>171149</v>
      </c>
      <c r="I161" s="321"/>
      <c r="J161" s="353"/>
      <c r="K161" s="327"/>
    </row>
    <row r="162" spans="1:11" ht="12.75">
      <c r="A162" s="193">
        <v>2012</v>
      </c>
      <c r="B162" s="194" t="s">
        <v>281</v>
      </c>
      <c r="C162" s="195"/>
      <c r="D162" s="196">
        <f t="shared" si="14"/>
        <v>17219723.29</v>
      </c>
      <c r="E162" s="245">
        <f t="shared" si="14"/>
        <v>1724096</v>
      </c>
      <c r="F162" s="870"/>
      <c r="G162" s="247">
        <f t="shared" si="15"/>
        <v>545852.1</v>
      </c>
      <c r="H162" s="197">
        <f t="shared" si="15"/>
        <v>77305</v>
      </c>
      <c r="I162" s="193"/>
      <c r="J162" s="198"/>
      <c r="K162" s="197"/>
    </row>
    <row r="163" spans="1:11" ht="12.75">
      <c r="A163" s="199">
        <v>2011</v>
      </c>
      <c r="B163" s="200" t="s">
        <v>281</v>
      </c>
      <c r="C163" s="201"/>
      <c r="D163" s="202">
        <f t="shared" si="14"/>
        <v>18837810.5</v>
      </c>
      <c r="E163" s="296">
        <f t="shared" si="14"/>
        <v>1909633</v>
      </c>
      <c r="F163" s="351"/>
      <c r="G163" s="297">
        <f t="shared" si="15"/>
        <v>690382</v>
      </c>
      <c r="H163" s="203">
        <f t="shared" si="15"/>
        <v>100156</v>
      </c>
      <c r="I163" s="199"/>
      <c r="J163" s="204"/>
      <c r="K163" s="203"/>
    </row>
    <row r="164" spans="1:11" ht="12.75">
      <c r="A164" s="187"/>
      <c r="B164" s="188"/>
      <c r="C164" s="205"/>
      <c r="D164" s="190"/>
      <c r="E164" s="191"/>
      <c r="F164" s="191"/>
      <c r="G164" s="190"/>
      <c r="H164" s="191"/>
      <c r="I164" s="187"/>
      <c r="J164" s="192"/>
      <c r="K164" s="191"/>
    </row>
    <row r="165" spans="1:11" ht="12.75">
      <c r="A165" s="302">
        <v>2013</v>
      </c>
      <c r="B165" s="303" t="s">
        <v>302</v>
      </c>
      <c r="C165" s="304"/>
      <c r="D165" s="305">
        <f aca="true" t="shared" si="16" ref="D165:E167">D137+D161</f>
        <v>253804123.30000004</v>
      </c>
      <c r="E165" s="306">
        <f t="shared" si="16"/>
        <v>26172455</v>
      </c>
      <c r="F165" s="861">
        <f>IF(E166&lt;&gt;0,-(E166-E165)/E166,"")</f>
        <v>0.10674986006234514</v>
      </c>
      <c r="G165" s="305">
        <f aca="true" t="shared" si="17" ref="G165:H167">G137+G161</f>
        <v>153363976.19</v>
      </c>
      <c r="H165" s="306">
        <f t="shared" si="17"/>
        <v>16899862</v>
      </c>
      <c r="I165" s="302"/>
      <c r="J165" s="307"/>
      <c r="K165" s="306"/>
    </row>
    <row r="166" spans="1:11" ht="12.75">
      <c r="A166" s="209">
        <v>2012</v>
      </c>
      <c r="B166" s="210" t="s">
        <v>302</v>
      </c>
      <c r="C166" s="211"/>
      <c r="D166" s="212">
        <f t="shared" si="16"/>
        <v>221881793.76</v>
      </c>
      <c r="E166" s="213">
        <f t="shared" si="16"/>
        <v>23648031</v>
      </c>
      <c r="F166" s="871"/>
      <c r="G166" s="212">
        <f t="shared" si="17"/>
        <v>116825884.88</v>
      </c>
      <c r="H166" s="213">
        <f t="shared" si="17"/>
        <v>12799923</v>
      </c>
      <c r="I166" s="209"/>
      <c r="J166" s="214"/>
      <c r="K166" s="213"/>
    </row>
    <row r="167" spans="1:11" ht="12.75">
      <c r="A167" s="331">
        <v>2011</v>
      </c>
      <c r="B167" s="332" t="s">
        <v>302</v>
      </c>
      <c r="C167" s="333"/>
      <c r="D167" s="334">
        <f t="shared" si="16"/>
        <v>213533860.29</v>
      </c>
      <c r="E167" s="335">
        <f t="shared" si="16"/>
        <v>22934212</v>
      </c>
      <c r="F167" s="337"/>
      <c r="G167" s="334">
        <f t="shared" si="17"/>
        <v>119695060.05</v>
      </c>
      <c r="H167" s="335">
        <f t="shared" si="17"/>
        <v>13469820</v>
      </c>
      <c r="I167" s="331"/>
      <c r="J167" s="336"/>
      <c r="K167" s="335"/>
    </row>
    <row r="168" spans="1:11" ht="12.75">
      <c r="A168" s="187"/>
      <c r="B168" s="188"/>
      <c r="C168" s="205"/>
      <c r="D168" s="190"/>
      <c r="E168" s="191"/>
      <c r="F168" s="191"/>
      <c r="G168" s="190"/>
      <c r="H168" s="191"/>
      <c r="I168" s="187"/>
      <c r="J168" s="192"/>
      <c r="K168" s="191"/>
    </row>
    <row r="169" spans="1:11" ht="12.75">
      <c r="A169" s="187"/>
      <c r="B169" s="188"/>
      <c r="C169" s="205"/>
      <c r="D169" s="190"/>
      <c r="E169" s="191"/>
      <c r="F169" s="191"/>
      <c r="G169" s="190"/>
      <c r="H169" s="191"/>
      <c r="I169" s="187"/>
      <c r="J169" s="192"/>
      <c r="K169" s="191"/>
    </row>
    <row r="170" spans="1:11" ht="12.75">
      <c r="A170" s="855" t="s">
        <v>136</v>
      </c>
      <c r="B170" s="856"/>
      <c r="C170" s="856"/>
      <c r="D170" s="856"/>
      <c r="E170" s="856"/>
      <c r="F170" s="856"/>
      <c r="G170" s="856"/>
      <c r="H170" s="856"/>
      <c r="I170" s="856"/>
      <c r="J170" s="856"/>
      <c r="K170" s="856"/>
    </row>
    <row r="171" spans="1:11" s="153" customFormat="1" ht="12.75">
      <c r="A171" s="148"/>
      <c r="B171" s="149"/>
      <c r="C171" s="150" t="s">
        <v>121</v>
      </c>
      <c r="D171" s="151"/>
      <c r="E171" s="152" t="s">
        <v>124</v>
      </c>
      <c r="F171" s="148" t="s">
        <v>124</v>
      </c>
      <c r="G171" s="151" t="s">
        <v>128</v>
      </c>
      <c r="H171" s="151" t="s">
        <v>128</v>
      </c>
      <c r="I171" s="148" t="s">
        <v>129</v>
      </c>
      <c r="J171" s="148" t="s">
        <v>132</v>
      </c>
      <c r="K171" s="152" t="s">
        <v>126</v>
      </c>
    </row>
    <row r="172" spans="1:11" s="153" customFormat="1" ht="12.75">
      <c r="A172" s="148"/>
      <c r="B172" s="149"/>
      <c r="C172" s="150" t="s">
        <v>122</v>
      </c>
      <c r="D172" s="151" t="s">
        <v>124</v>
      </c>
      <c r="E172" s="152" t="s">
        <v>126</v>
      </c>
      <c r="F172" s="148" t="s">
        <v>138</v>
      </c>
      <c r="G172" s="151" t="s">
        <v>124</v>
      </c>
      <c r="H172" s="151" t="s">
        <v>124</v>
      </c>
      <c r="I172" s="148" t="s">
        <v>130</v>
      </c>
      <c r="J172" s="148" t="s">
        <v>133</v>
      </c>
      <c r="K172" s="152" t="s">
        <v>135</v>
      </c>
    </row>
    <row r="173" spans="1:11" s="153" customFormat="1" ht="13.5" thickBot="1">
      <c r="A173" s="154" t="s">
        <v>119</v>
      </c>
      <c r="B173" s="155" t="s">
        <v>120</v>
      </c>
      <c r="C173" s="156" t="s">
        <v>123</v>
      </c>
      <c r="D173" s="157" t="s">
        <v>125</v>
      </c>
      <c r="E173" s="158" t="s">
        <v>127</v>
      </c>
      <c r="F173" s="154" t="s">
        <v>137</v>
      </c>
      <c r="G173" s="157" t="s">
        <v>125</v>
      </c>
      <c r="H173" s="157" t="s">
        <v>126</v>
      </c>
      <c r="I173" s="154" t="s">
        <v>131</v>
      </c>
      <c r="J173" s="154" t="s">
        <v>134</v>
      </c>
      <c r="K173" s="158" t="s">
        <v>123</v>
      </c>
    </row>
    <row r="174" spans="1:11" s="153" customFormat="1" ht="12.75">
      <c r="A174" s="353">
        <v>2013</v>
      </c>
      <c r="B174" s="322">
        <v>41453</v>
      </c>
      <c r="C174" s="323" t="s">
        <v>1064</v>
      </c>
      <c r="D174" s="324">
        <v>5572599.99</v>
      </c>
      <c r="E174" s="327">
        <v>541259</v>
      </c>
      <c r="F174" s="378">
        <f>IF(E175&lt;&gt;0,-(E175-E174)/E175,"")</f>
        <v>-0.22465061511222145</v>
      </c>
      <c r="G174" s="324">
        <v>67357.13</v>
      </c>
      <c r="H174" s="327">
        <v>9992</v>
      </c>
      <c r="I174" s="279">
        <v>0.02</v>
      </c>
      <c r="J174" s="243" t="s">
        <v>1031</v>
      </c>
      <c r="K174" s="327">
        <v>170549</v>
      </c>
    </row>
    <row r="175" spans="1:11" ht="12.75">
      <c r="A175" s="180">
        <v>2012</v>
      </c>
      <c r="B175" s="181">
        <v>41089</v>
      </c>
      <c r="C175" s="182" t="s">
        <v>308</v>
      </c>
      <c r="D175" s="183">
        <v>6888807.98</v>
      </c>
      <c r="E175" s="184">
        <v>698084</v>
      </c>
      <c r="F175" s="377"/>
      <c r="G175" s="183">
        <v>136651.11</v>
      </c>
      <c r="H175" s="184">
        <v>23198</v>
      </c>
      <c r="I175" s="185">
        <v>0.03</v>
      </c>
      <c r="J175" s="11" t="s">
        <v>310</v>
      </c>
      <c r="K175" s="184">
        <v>493525</v>
      </c>
    </row>
    <row r="176" spans="1:11" ht="12.75">
      <c r="A176" s="167">
        <v>2011</v>
      </c>
      <c r="B176" s="168">
        <v>40725</v>
      </c>
      <c r="C176" s="169" t="s">
        <v>307</v>
      </c>
      <c r="D176" s="170">
        <v>4550845</v>
      </c>
      <c r="E176" s="173">
        <v>445616</v>
      </c>
      <c r="F176" s="291"/>
      <c r="G176" s="170">
        <v>198504.5</v>
      </c>
      <c r="H176" s="173">
        <v>24695</v>
      </c>
      <c r="I176" s="174">
        <v>0.06</v>
      </c>
      <c r="J176" s="17" t="s">
        <v>303</v>
      </c>
      <c r="K176" s="173">
        <v>236482</v>
      </c>
    </row>
    <row r="178" spans="1:11" s="153" customFormat="1" ht="12.75">
      <c r="A178" s="243">
        <v>2013</v>
      </c>
      <c r="B178" s="239">
        <v>41460</v>
      </c>
      <c r="C178" s="240" t="s">
        <v>1082</v>
      </c>
      <c r="D178" s="241">
        <v>4679311.08</v>
      </c>
      <c r="E178" s="242">
        <v>462452</v>
      </c>
      <c r="F178" s="378">
        <f>IF(E179&lt;&gt;0,-(E179-E178)/E179,"")</f>
        <v>-0.3628215673874075</v>
      </c>
      <c r="G178" s="241">
        <v>31330.02</v>
      </c>
      <c r="H178" s="242">
        <v>5156</v>
      </c>
      <c r="I178" s="329">
        <v>0.01</v>
      </c>
      <c r="J178" s="243" t="s">
        <v>1070</v>
      </c>
      <c r="K178" s="242">
        <v>113284</v>
      </c>
    </row>
    <row r="179" spans="1:11" ht="12.75">
      <c r="A179" s="180">
        <v>2012</v>
      </c>
      <c r="B179" s="181">
        <v>41096</v>
      </c>
      <c r="C179" s="182" t="s">
        <v>306</v>
      </c>
      <c r="D179" s="183">
        <v>7048442</v>
      </c>
      <c r="E179" s="184">
        <v>725781</v>
      </c>
      <c r="F179" s="295"/>
      <c r="G179" s="183">
        <v>131807.77</v>
      </c>
      <c r="H179" s="184">
        <v>24324</v>
      </c>
      <c r="I179" s="185">
        <v>0.03</v>
      </c>
      <c r="J179" s="11" t="s">
        <v>310</v>
      </c>
      <c r="K179" s="184">
        <v>372934</v>
      </c>
    </row>
    <row r="180" spans="1:11" ht="12.75">
      <c r="A180" s="167">
        <v>2011</v>
      </c>
      <c r="B180" s="168">
        <v>40732</v>
      </c>
      <c r="C180" s="169" t="s">
        <v>321</v>
      </c>
      <c r="D180" s="170">
        <v>4513970</v>
      </c>
      <c r="E180" s="173">
        <v>464007</v>
      </c>
      <c r="F180" s="291"/>
      <c r="G180" s="170">
        <v>186261</v>
      </c>
      <c r="H180" s="173">
        <v>28267</v>
      </c>
      <c r="I180" s="174">
        <v>0.06</v>
      </c>
      <c r="J180" s="17" t="s">
        <v>325</v>
      </c>
      <c r="K180" s="173">
        <v>138673</v>
      </c>
    </row>
    <row r="182" spans="1:11" s="153" customFormat="1" ht="12.75">
      <c r="A182" s="243">
        <v>2013</v>
      </c>
      <c r="B182" s="239">
        <v>41466</v>
      </c>
      <c r="C182" s="240" t="s">
        <v>306</v>
      </c>
      <c r="D182" s="241">
        <v>3959539.34</v>
      </c>
      <c r="E182" s="244">
        <v>387462</v>
      </c>
      <c r="F182" s="378">
        <f>IF(E183&lt;&gt;0,-(E183-E182)/E183,"")</f>
        <v>-0.3339521739354652</v>
      </c>
      <c r="G182" s="246">
        <v>59923.5</v>
      </c>
      <c r="H182" s="242">
        <v>10664</v>
      </c>
      <c r="I182" s="329">
        <v>0.03</v>
      </c>
      <c r="J182" s="243" t="s">
        <v>1031</v>
      </c>
      <c r="K182" s="242">
        <v>80173</v>
      </c>
    </row>
    <row r="183" spans="1:11" ht="12.75">
      <c r="A183" s="180">
        <v>2012</v>
      </c>
      <c r="B183" s="181">
        <v>41103</v>
      </c>
      <c r="C183" s="182" t="s">
        <v>308</v>
      </c>
      <c r="D183" s="183">
        <v>5713937.19</v>
      </c>
      <c r="E183" s="275">
        <v>581733</v>
      </c>
      <c r="F183" s="295"/>
      <c r="G183" s="276">
        <v>109981.6</v>
      </c>
      <c r="H183" s="184">
        <v>19030</v>
      </c>
      <c r="I183" s="185">
        <v>0.03</v>
      </c>
      <c r="J183" s="11" t="s">
        <v>310</v>
      </c>
      <c r="K183" s="184">
        <v>287472</v>
      </c>
    </row>
    <row r="184" spans="1:11" ht="12.75">
      <c r="A184" s="167">
        <v>2011</v>
      </c>
      <c r="B184" s="168">
        <v>40739</v>
      </c>
      <c r="C184" s="169" t="s">
        <v>320</v>
      </c>
      <c r="D184" s="170">
        <v>4881564.25</v>
      </c>
      <c r="E184" s="171">
        <v>501408</v>
      </c>
      <c r="F184" s="291"/>
      <c r="G184" s="172">
        <v>245572</v>
      </c>
      <c r="H184" s="173">
        <v>34048</v>
      </c>
      <c r="I184" s="174">
        <v>0.07</v>
      </c>
      <c r="J184" s="17" t="s">
        <v>325</v>
      </c>
      <c r="K184" s="173">
        <v>278699</v>
      </c>
    </row>
    <row r="186" spans="1:11" s="153" customFormat="1" ht="12.75">
      <c r="A186" s="243">
        <v>2013</v>
      </c>
      <c r="B186" s="239">
        <v>41474</v>
      </c>
      <c r="C186" s="240" t="s">
        <v>1064</v>
      </c>
      <c r="D186" s="241">
        <v>4018965.3</v>
      </c>
      <c r="E186" s="244">
        <v>380356</v>
      </c>
      <c r="F186" s="378">
        <f>IF(E187&lt;&gt;0,-(E187-E186)/E187,"")</f>
        <v>-0.0921532824937644</v>
      </c>
      <c r="G186" s="246">
        <v>44778.56</v>
      </c>
      <c r="H186" s="242">
        <v>8692</v>
      </c>
      <c r="I186" s="329">
        <v>0.02</v>
      </c>
      <c r="J186" s="243" t="s">
        <v>1114</v>
      </c>
      <c r="K186" s="242">
        <v>87268</v>
      </c>
    </row>
    <row r="187" spans="1:11" ht="12.75">
      <c r="A187" s="180">
        <v>2012</v>
      </c>
      <c r="B187" s="181">
        <v>41110</v>
      </c>
      <c r="C187" s="182" t="s">
        <v>322</v>
      </c>
      <c r="D187" s="183">
        <v>4215769.23</v>
      </c>
      <c r="E187" s="275">
        <v>418965</v>
      </c>
      <c r="F187" s="295"/>
      <c r="G187" s="276">
        <v>75123.91</v>
      </c>
      <c r="H187" s="184">
        <v>11620</v>
      </c>
      <c r="I187" s="185">
        <v>0.03</v>
      </c>
      <c r="J187" s="11" t="s">
        <v>310</v>
      </c>
      <c r="K187" s="184">
        <v>184644</v>
      </c>
    </row>
    <row r="188" spans="1:11" ht="12.75">
      <c r="A188" s="167">
        <v>2011</v>
      </c>
      <c r="B188" s="168">
        <v>40746</v>
      </c>
      <c r="C188" s="169" t="s">
        <v>323</v>
      </c>
      <c r="D188" s="170">
        <v>3442209</v>
      </c>
      <c r="E188" s="171">
        <v>369130</v>
      </c>
      <c r="F188" s="291"/>
      <c r="G188" s="172">
        <v>239965</v>
      </c>
      <c r="H188" s="173">
        <v>38069</v>
      </c>
      <c r="I188" s="174">
        <v>0.1</v>
      </c>
      <c r="J188" s="17" t="s">
        <v>325</v>
      </c>
      <c r="K188" s="173">
        <v>152389</v>
      </c>
    </row>
    <row r="189" spans="1:11" ht="12.75">
      <c r="A189" s="221"/>
      <c r="B189" s="222"/>
      <c r="C189" s="223"/>
      <c r="D189" s="224"/>
      <c r="E189" s="225"/>
      <c r="F189" s="13"/>
      <c r="G189" s="224"/>
      <c r="H189" s="225"/>
      <c r="I189" s="226"/>
      <c r="J189" s="227"/>
      <c r="K189" s="225"/>
    </row>
    <row r="190" spans="1:11" s="153" customFormat="1" ht="12.75">
      <c r="A190" s="243">
        <v>2013</v>
      </c>
      <c r="B190" s="239">
        <v>41481</v>
      </c>
      <c r="C190" s="240" t="s">
        <v>1138</v>
      </c>
      <c r="D190" s="241">
        <v>4882001.01</v>
      </c>
      <c r="E190" s="244">
        <v>452128</v>
      </c>
      <c r="F190" s="378">
        <f>IF(E191&lt;&gt;0,-(E191-E190)/E191,"")</f>
        <v>-0.3277057017315599</v>
      </c>
      <c r="G190" s="246">
        <v>114719.4</v>
      </c>
      <c r="H190" s="242">
        <v>14611</v>
      </c>
      <c r="I190" s="329">
        <v>0.03</v>
      </c>
      <c r="J190" s="243" t="s">
        <v>1130</v>
      </c>
      <c r="K190" s="242">
        <v>187777</v>
      </c>
    </row>
    <row r="191" spans="1:11" ht="12.75">
      <c r="A191" s="180">
        <v>2012</v>
      </c>
      <c r="B191" s="181">
        <v>41117</v>
      </c>
      <c r="C191" s="182" t="s">
        <v>305</v>
      </c>
      <c r="D191" s="183">
        <v>6837938.96</v>
      </c>
      <c r="E191" s="275">
        <v>672515</v>
      </c>
      <c r="F191" s="295"/>
      <c r="G191" s="276">
        <v>46212.92</v>
      </c>
      <c r="H191" s="184">
        <v>7882</v>
      </c>
      <c r="I191" s="185">
        <v>0.01</v>
      </c>
      <c r="J191" s="11" t="s">
        <v>356</v>
      </c>
      <c r="K191" s="184">
        <v>332509</v>
      </c>
    </row>
    <row r="192" spans="1:11" ht="12.75">
      <c r="A192" s="167">
        <v>2011</v>
      </c>
      <c r="B192" s="168">
        <v>40753</v>
      </c>
      <c r="C192" s="169" t="s">
        <v>324</v>
      </c>
      <c r="D192" s="170">
        <v>2835916</v>
      </c>
      <c r="E192" s="171">
        <v>296848</v>
      </c>
      <c r="F192" s="291"/>
      <c r="G192" s="172">
        <v>160883.5</v>
      </c>
      <c r="H192" s="173">
        <v>24619</v>
      </c>
      <c r="I192" s="174">
        <v>0.08</v>
      </c>
      <c r="J192" s="17" t="s">
        <v>325</v>
      </c>
      <c r="K192" s="173">
        <v>92773</v>
      </c>
    </row>
    <row r="193" spans="1:11" ht="12.75">
      <c r="A193" s="187"/>
      <c r="B193" s="188"/>
      <c r="C193" s="189"/>
      <c r="D193" s="190"/>
      <c r="E193" s="191"/>
      <c r="F193" s="191"/>
      <c r="G193" s="190"/>
      <c r="H193" s="191"/>
      <c r="I193" s="187"/>
      <c r="J193" s="192"/>
      <c r="K193" s="191"/>
    </row>
    <row r="194" spans="1:11" ht="12.75">
      <c r="A194" s="321">
        <v>2013</v>
      </c>
      <c r="B194" s="322" t="s">
        <v>314</v>
      </c>
      <c r="C194" s="323"/>
      <c r="D194" s="324">
        <f aca="true" t="shared" si="18" ref="D194:E196">D174+D178+D182+D186+D190</f>
        <v>23112416.72</v>
      </c>
      <c r="E194" s="325">
        <f t="shared" si="18"/>
        <v>2223657</v>
      </c>
      <c r="F194" s="872">
        <f>IF(E195&lt;&gt;0,-(E195-E194)/E195,"")</f>
        <v>-0.28201453111610364</v>
      </c>
      <c r="G194" s="326">
        <f>G174+G178+G182+G186+G190</f>
        <v>318108.61</v>
      </c>
      <c r="H194" s="327">
        <f>H174+H178+H182+H186+H190</f>
        <v>49115</v>
      </c>
      <c r="I194" s="321"/>
      <c r="J194" s="353"/>
      <c r="K194" s="327"/>
    </row>
    <row r="195" spans="1:11" ht="12.75">
      <c r="A195" s="193">
        <v>2012</v>
      </c>
      <c r="B195" s="194" t="s">
        <v>314</v>
      </c>
      <c r="C195" s="195"/>
      <c r="D195" s="196">
        <f t="shared" si="18"/>
        <v>30704895.360000003</v>
      </c>
      <c r="E195" s="245">
        <f t="shared" si="18"/>
        <v>3097078</v>
      </c>
      <c r="F195" s="873"/>
      <c r="G195" s="247">
        <f>G175+G179+G183+G187+G191</f>
        <v>499777.31</v>
      </c>
      <c r="H195" s="197">
        <f>H175+H179+H183+H187+H191</f>
        <v>86054</v>
      </c>
      <c r="I195" s="193"/>
      <c r="J195" s="198"/>
      <c r="K195" s="197"/>
    </row>
    <row r="196" spans="1:11" ht="12.75">
      <c r="A196" s="199">
        <v>2011</v>
      </c>
      <c r="B196" s="200" t="s">
        <v>314</v>
      </c>
      <c r="C196" s="201"/>
      <c r="D196" s="202">
        <f t="shared" si="18"/>
        <v>20224504.25</v>
      </c>
      <c r="E196" s="296">
        <f t="shared" si="18"/>
        <v>2077009</v>
      </c>
      <c r="F196" s="291"/>
      <c r="G196" s="297">
        <f>G176+G180+G184+G188+G192</f>
        <v>1031186</v>
      </c>
      <c r="H196" s="203">
        <f>H176+H180+H184+H188</f>
        <v>125079</v>
      </c>
      <c r="I196" s="199"/>
      <c r="J196" s="204"/>
      <c r="K196" s="203"/>
    </row>
    <row r="197" spans="1:11" ht="12.75">
      <c r="A197" s="187"/>
      <c r="B197" s="188"/>
      <c r="C197" s="205"/>
      <c r="D197" s="190"/>
      <c r="E197" s="191"/>
      <c r="F197" s="191"/>
      <c r="G197" s="190"/>
      <c r="H197" s="191"/>
      <c r="I197" s="187"/>
      <c r="J197" s="192"/>
      <c r="K197" s="191"/>
    </row>
    <row r="198" spans="1:11" ht="12.75">
      <c r="A198" s="302">
        <v>2013</v>
      </c>
      <c r="B198" s="303" t="s">
        <v>315</v>
      </c>
      <c r="C198" s="304"/>
      <c r="D198" s="305">
        <f aca="true" t="shared" si="19" ref="D198:E200">D165+D194</f>
        <v>276916540.02000004</v>
      </c>
      <c r="E198" s="306">
        <f t="shared" si="19"/>
        <v>28396112</v>
      </c>
      <c r="F198" s="869">
        <f>IF(E199&lt;&gt;0,-(E199-E198)/E199,"")</f>
        <v>0.06173102528765166</v>
      </c>
      <c r="G198" s="305">
        <f>G165+G194</f>
        <v>153682084.8</v>
      </c>
      <c r="H198" s="306">
        <f>H165+H194</f>
        <v>16948977</v>
      </c>
      <c r="I198" s="302"/>
      <c r="J198" s="307"/>
      <c r="K198" s="306"/>
    </row>
    <row r="199" spans="1:11" ht="12.75">
      <c r="A199" s="209">
        <v>2012</v>
      </c>
      <c r="B199" s="210" t="s">
        <v>315</v>
      </c>
      <c r="C199" s="211"/>
      <c r="D199" s="212">
        <f t="shared" si="19"/>
        <v>252586689.12</v>
      </c>
      <c r="E199" s="213">
        <f t="shared" si="19"/>
        <v>26745109</v>
      </c>
      <c r="F199" s="870"/>
      <c r="G199" s="212">
        <f>G166+G195</f>
        <v>117325662.19</v>
      </c>
      <c r="H199" s="213">
        <f>H166+H195+H192</f>
        <v>12910596</v>
      </c>
      <c r="I199" s="209"/>
      <c r="J199" s="214"/>
      <c r="K199" s="213"/>
    </row>
    <row r="200" spans="1:11" ht="12.75">
      <c r="A200" s="215">
        <v>2011</v>
      </c>
      <c r="B200" s="216" t="s">
        <v>315</v>
      </c>
      <c r="C200" s="217"/>
      <c r="D200" s="218">
        <f t="shared" si="19"/>
        <v>233758364.54</v>
      </c>
      <c r="E200" s="219">
        <f t="shared" si="19"/>
        <v>25011221</v>
      </c>
      <c r="F200" s="381"/>
      <c r="G200" s="218">
        <f>G167+G196</f>
        <v>120726246.05</v>
      </c>
      <c r="H200" s="219">
        <f>H167+H196</f>
        <v>13594899</v>
      </c>
      <c r="I200" s="215"/>
      <c r="J200" s="220"/>
      <c r="K200" s="219"/>
    </row>
    <row r="201" spans="1:11" ht="12.75">
      <c r="A201" s="187"/>
      <c r="B201" s="188"/>
      <c r="C201" s="205"/>
      <c r="D201" s="190"/>
      <c r="E201" s="191"/>
      <c r="F201" s="191"/>
      <c r="G201" s="190"/>
      <c r="H201" s="191"/>
      <c r="I201" s="187"/>
      <c r="J201" s="192"/>
      <c r="K201" s="191"/>
    </row>
    <row r="202" spans="1:11" ht="12.75">
      <c r="A202" s="855" t="s">
        <v>136</v>
      </c>
      <c r="B202" s="856"/>
      <c r="C202" s="856"/>
      <c r="D202" s="856"/>
      <c r="E202" s="856"/>
      <c r="F202" s="856"/>
      <c r="G202" s="856"/>
      <c r="H202" s="856"/>
      <c r="I202" s="856"/>
      <c r="J202" s="856"/>
      <c r="K202" s="856"/>
    </row>
    <row r="203" spans="1:11" s="153" customFormat="1" ht="12.75">
      <c r="A203" s="148"/>
      <c r="B203" s="149"/>
      <c r="C203" s="150" t="s">
        <v>121</v>
      </c>
      <c r="D203" s="151"/>
      <c r="E203" s="152" t="s">
        <v>124</v>
      </c>
      <c r="F203" s="148" t="s">
        <v>124</v>
      </c>
      <c r="G203" s="151" t="s">
        <v>128</v>
      </c>
      <c r="H203" s="151" t="s">
        <v>128</v>
      </c>
      <c r="I203" s="148" t="s">
        <v>129</v>
      </c>
      <c r="J203" s="148" t="s">
        <v>132</v>
      </c>
      <c r="K203" s="152" t="s">
        <v>126</v>
      </c>
    </row>
    <row r="204" spans="1:11" s="153" customFormat="1" ht="12.75">
      <c r="A204" s="148"/>
      <c r="B204" s="149"/>
      <c r="C204" s="150" t="s">
        <v>122</v>
      </c>
      <c r="D204" s="151" t="s">
        <v>124</v>
      </c>
      <c r="E204" s="152" t="s">
        <v>126</v>
      </c>
      <c r="F204" s="148" t="s">
        <v>138</v>
      </c>
      <c r="G204" s="151" t="s">
        <v>124</v>
      </c>
      <c r="H204" s="151" t="s">
        <v>124</v>
      </c>
      <c r="I204" s="148" t="s">
        <v>130</v>
      </c>
      <c r="J204" s="148" t="s">
        <v>133</v>
      </c>
      <c r="K204" s="152" t="s">
        <v>135</v>
      </c>
    </row>
    <row r="205" spans="1:11" s="153" customFormat="1" ht="13.5" thickBot="1">
      <c r="A205" s="154" t="s">
        <v>119</v>
      </c>
      <c r="B205" s="155" t="s">
        <v>120</v>
      </c>
      <c r="C205" s="156" t="s">
        <v>123</v>
      </c>
      <c r="D205" s="157" t="s">
        <v>125</v>
      </c>
      <c r="E205" s="158" t="s">
        <v>127</v>
      </c>
      <c r="F205" s="154" t="s">
        <v>137</v>
      </c>
      <c r="G205" s="157" t="s">
        <v>125</v>
      </c>
      <c r="H205" s="157" t="s">
        <v>126</v>
      </c>
      <c r="I205" s="154" t="s">
        <v>131</v>
      </c>
      <c r="J205" s="154" t="s">
        <v>134</v>
      </c>
      <c r="K205" s="158" t="s">
        <v>123</v>
      </c>
    </row>
    <row r="206" spans="1:11" s="153" customFormat="1" ht="12.75">
      <c r="A206" s="353">
        <v>2013</v>
      </c>
      <c r="B206" s="322">
        <v>41488</v>
      </c>
      <c r="C206" s="323" t="s">
        <v>431</v>
      </c>
      <c r="D206" s="324">
        <v>6989014.61</v>
      </c>
      <c r="E206" s="325">
        <v>657311</v>
      </c>
      <c r="F206" s="288">
        <f>IF(E207&lt;&gt;0,-(E207-E206)/E207,"")</f>
        <v>0.2739350619901583</v>
      </c>
      <c r="G206" s="326">
        <v>928012.7</v>
      </c>
      <c r="H206" s="327">
        <v>105436</v>
      </c>
      <c r="I206" s="279">
        <v>0.16</v>
      </c>
      <c r="J206" s="353" t="s">
        <v>1137</v>
      </c>
      <c r="K206" s="327">
        <v>278338</v>
      </c>
    </row>
    <row r="207" spans="1:11" ht="12.75">
      <c r="A207" s="159">
        <v>2012</v>
      </c>
      <c r="B207" s="160">
        <v>41124</v>
      </c>
      <c r="C207" s="161" t="s">
        <v>305</v>
      </c>
      <c r="D207" s="162">
        <v>4993641.45</v>
      </c>
      <c r="E207" s="163">
        <v>515969</v>
      </c>
      <c r="F207" s="350"/>
      <c r="G207" s="164">
        <v>724765.4</v>
      </c>
      <c r="H207" s="165">
        <v>91155</v>
      </c>
      <c r="I207" s="166">
        <v>0.18</v>
      </c>
      <c r="J207" s="11" t="s">
        <v>356</v>
      </c>
      <c r="K207" s="165">
        <v>179421</v>
      </c>
    </row>
    <row r="208" spans="1:11" ht="12.75">
      <c r="A208" s="167">
        <v>2011</v>
      </c>
      <c r="B208" s="168">
        <v>40760</v>
      </c>
      <c r="C208" s="169" t="s">
        <v>366</v>
      </c>
      <c r="D208" s="170">
        <v>5396230.5</v>
      </c>
      <c r="E208" s="171">
        <v>539137</v>
      </c>
      <c r="F208" s="351"/>
      <c r="G208" s="172">
        <v>112001.5</v>
      </c>
      <c r="H208" s="173">
        <v>22354</v>
      </c>
      <c r="I208" s="174">
        <v>0.04</v>
      </c>
      <c r="J208" s="17" t="s">
        <v>52</v>
      </c>
      <c r="K208" s="173">
        <v>396289</v>
      </c>
    </row>
    <row r="210" spans="1:11" s="153" customFormat="1" ht="12.75">
      <c r="A210" s="243">
        <v>2013</v>
      </c>
      <c r="B210" s="239">
        <v>41495</v>
      </c>
      <c r="C210" s="240" t="s">
        <v>307</v>
      </c>
      <c r="D210" s="241">
        <v>7722698.82</v>
      </c>
      <c r="E210" s="244">
        <v>757764</v>
      </c>
      <c r="F210" s="267">
        <f>IF(E211&lt;&gt;0,-(E211-E210)/E211,"")</f>
        <v>0.7469137083220947</v>
      </c>
      <c r="G210" s="246">
        <v>1110014.58</v>
      </c>
      <c r="H210" s="242">
        <v>125791</v>
      </c>
      <c r="I210" s="329">
        <v>0.17</v>
      </c>
      <c r="J210" s="243" t="s">
        <v>1137</v>
      </c>
      <c r="K210" s="242">
        <v>274223</v>
      </c>
    </row>
    <row r="211" spans="1:11" ht="12.75">
      <c r="A211" s="159">
        <v>2012</v>
      </c>
      <c r="B211" s="160">
        <v>41131</v>
      </c>
      <c r="C211" s="161" t="s">
        <v>251</v>
      </c>
      <c r="D211" s="162">
        <v>4274630.14</v>
      </c>
      <c r="E211" s="163">
        <v>433773</v>
      </c>
      <c r="F211" s="350"/>
      <c r="G211" s="164">
        <v>502826</v>
      </c>
      <c r="H211" s="165">
        <v>61225</v>
      </c>
      <c r="I211" s="166">
        <v>0.14</v>
      </c>
      <c r="J211" s="270" t="s">
        <v>367</v>
      </c>
      <c r="K211" s="165">
        <v>103368</v>
      </c>
    </row>
    <row r="212" spans="1:11" ht="12.75">
      <c r="A212" s="167">
        <v>2011</v>
      </c>
      <c r="B212" s="168">
        <v>40767</v>
      </c>
      <c r="C212" s="169" t="s">
        <v>394</v>
      </c>
      <c r="D212" s="170">
        <v>5396230.5</v>
      </c>
      <c r="E212" s="171">
        <v>539137</v>
      </c>
      <c r="F212" s="351"/>
      <c r="G212" s="172">
        <v>112001.5</v>
      </c>
      <c r="H212" s="173">
        <v>22354</v>
      </c>
      <c r="I212" s="174">
        <v>0.04</v>
      </c>
      <c r="J212" s="17" t="s">
        <v>52</v>
      </c>
      <c r="K212" s="173">
        <v>260189</v>
      </c>
    </row>
    <row r="214" spans="1:11" s="153" customFormat="1" ht="12.75">
      <c r="A214" s="243">
        <v>2013</v>
      </c>
      <c r="B214" s="239">
        <v>41502</v>
      </c>
      <c r="C214" s="240" t="s">
        <v>262</v>
      </c>
      <c r="D214" s="241">
        <v>6176849.04</v>
      </c>
      <c r="E214" s="244">
        <v>593270</v>
      </c>
      <c r="F214" s="298">
        <f>IF(E215&lt;&gt;0,-(E215-E214)/E215,"")</f>
        <v>-0.19817651280373996</v>
      </c>
      <c r="G214" s="246">
        <v>769279.54</v>
      </c>
      <c r="H214" s="242">
        <v>88071</v>
      </c>
      <c r="I214" s="329">
        <v>0.15</v>
      </c>
      <c r="J214" s="243" t="s">
        <v>1137</v>
      </c>
      <c r="K214" s="242">
        <v>172603</v>
      </c>
    </row>
    <row r="215" spans="1:11" ht="12.75">
      <c r="A215" s="180">
        <v>2012</v>
      </c>
      <c r="B215" s="181">
        <v>41138</v>
      </c>
      <c r="C215" s="182" t="s">
        <v>249</v>
      </c>
      <c r="D215" s="183">
        <v>7283765.54</v>
      </c>
      <c r="E215" s="275">
        <v>739901</v>
      </c>
      <c r="F215" s="295"/>
      <c r="G215" s="276">
        <v>758254.2</v>
      </c>
      <c r="H215" s="184">
        <v>86144</v>
      </c>
      <c r="I215" s="185">
        <v>0.12</v>
      </c>
      <c r="J215" s="11" t="s">
        <v>395</v>
      </c>
      <c r="K215" s="184">
        <v>240212</v>
      </c>
    </row>
    <row r="216" spans="1:11" ht="12.75">
      <c r="A216" s="167">
        <v>2011</v>
      </c>
      <c r="B216" s="168">
        <v>40774</v>
      </c>
      <c r="C216" s="169" t="s">
        <v>321</v>
      </c>
      <c r="D216" s="170">
        <v>6125454</v>
      </c>
      <c r="E216" s="171">
        <v>610417</v>
      </c>
      <c r="F216" s="291"/>
      <c r="G216" s="172">
        <v>81317.5</v>
      </c>
      <c r="H216" s="173">
        <v>16772</v>
      </c>
      <c r="I216" s="174">
        <v>0.03</v>
      </c>
      <c r="J216" s="17" t="s">
        <v>51</v>
      </c>
      <c r="K216" s="173">
        <v>271245</v>
      </c>
    </row>
    <row r="218" spans="1:11" s="153" customFormat="1" ht="12.75">
      <c r="A218" s="243">
        <v>2013</v>
      </c>
      <c r="B218" s="239">
        <v>41509</v>
      </c>
      <c r="C218" s="240" t="s">
        <v>306</v>
      </c>
      <c r="D218" s="241">
        <v>6149315.18</v>
      </c>
      <c r="E218" s="244">
        <v>593609</v>
      </c>
      <c r="F218" s="267">
        <f>IF(E219&lt;&gt;0,-(E219-E218)/E219,"")</f>
        <v>0.28361491271507683</v>
      </c>
      <c r="G218" s="246">
        <v>585049.29</v>
      </c>
      <c r="H218" s="242">
        <v>67588</v>
      </c>
      <c r="I218" s="329">
        <v>0.11</v>
      </c>
      <c r="J218" s="243" t="s">
        <v>1187</v>
      </c>
      <c r="K218" s="242">
        <v>151129</v>
      </c>
    </row>
    <row r="219" spans="1:11" ht="12.75">
      <c r="A219" s="180">
        <v>2012</v>
      </c>
      <c r="B219" s="181">
        <v>41145</v>
      </c>
      <c r="C219" s="182" t="s">
        <v>305</v>
      </c>
      <c r="D219" s="183">
        <v>4503170.66</v>
      </c>
      <c r="E219" s="275">
        <v>462451</v>
      </c>
      <c r="F219" s="350"/>
      <c r="G219" s="276">
        <v>450796</v>
      </c>
      <c r="H219" s="184">
        <v>56376</v>
      </c>
      <c r="I219" s="185">
        <v>0.12</v>
      </c>
      <c r="J219" s="11" t="s">
        <v>395</v>
      </c>
      <c r="K219" s="184">
        <v>121385</v>
      </c>
    </row>
    <row r="220" spans="1:11" ht="12.75">
      <c r="A220" s="167">
        <v>2011</v>
      </c>
      <c r="B220" s="168">
        <v>40780</v>
      </c>
      <c r="C220" s="169" t="s">
        <v>262</v>
      </c>
      <c r="D220" s="170">
        <v>5836594.5</v>
      </c>
      <c r="E220" s="171">
        <v>567839</v>
      </c>
      <c r="F220" s="351"/>
      <c r="G220" s="172">
        <v>54473.59</v>
      </c>
      <c r="H220" s="173">
        <v>8677</v>
      </c>
      <c r="I220" s="174">
        <v>0.02</v>
      </c>
      <c r="J220" s="17" t="s">
        <v>51</v>
      </c>
      <c r="K220" s="173">
        <v>147470</v>
      </c>
    </row>
    <row r="221" spans="1:11" ht="12.75">
      <c r="A221" s="187"/>
      <c r="B221" s="188"/>
      <c r="C221" s="189"/>
      <c r="D221" s="190"/>
      <c r="E221" s="191"/>
      <c r="F221" s="191"/>
      <c r="G221" s="190"/>
      <c r="H221" s="191"/>
      <c r="I221" s="187"/>
      <c r="J221" s="192"/>
      <c r="K221" s="191"/>
    </row>
    <row r="222" spans="1:11" ht="12.75">
      <c r="A222" s="321">
        <v>2013</v>
      </c>
      <c r="B222" s="322" t="s">
        <v>357</v>
      </c>
      <c r="C222" s="323"/>
      <c r="D222" s="324">
        <f aca="true" t="shared" si="20" ref="D222:E224">D206+D210+D214+D218</f>
        <v>27037877.65</v>
      </c>
      <c r="E222" s="325">
        <f t="shared" si="20"/>
        <v>2601954</v>
      </c>
      <c r="F222" s="869">
        <f>IF(E223&lt;&gt;0,-(E223-E222)/E223,"")</f>
        <v>0.20903362027866812</v>
      </c>
      <c r="G222" s="326">
        <f aca="true" t="shared" si="21" ref="G222:H224">G206+G210+G214+G218</f>
        <v>3392356.1100000003</v>
      </c>
      <c r="H222" s="327">
        <f t="shared" si="21"/>
        <v>386886</v>
      </c>
      <c r="I222" s="321"/>
      <c r="J222" s="353"/>
      <c r="K222" s="327"/>
    </row>
    <row r="223" spans="1:11" ht="12.75">
      <c r="A223" s="193">
        <v>2012</v>
      </c>
      <c r="B223" s="194" t="s">
        <v>357</v>
      </c>
      <c r="C223" s="195"/>
      <c r="D223" s="196">
        <f t="shared" si="20"/>
        <v>21055207.79</v>
      </c>
      <c r="E223" s="197">
        <f t="shared" si="20"/>
        <v>2152094</v>
      </c>
      <c r="F223" s="870"/>
      <c r="G223" s="196">
        <f t="shared" si="21"/>
        <v>2436641.5999999996</v>
      </c>
      <c r="H223" s="197">
        <f t="shared" si="21"/>
        <v>294900</v>
      </c>
      <c r="I223" s="193"/>
      <c r="J223" s="198"/>
      <c r="K223" s="197"/>
    </row>
    <row r="224" spans="1:11" ht="12.75">
      <c r="A224" s="199">
        <v>2011</v>
      </c>
      <c r="B224" s="200" t="s">
        <v>357</v>
      </c>
      <c r="C224" s="201"/>
      <c r="D224" s="202">
        <f t="shared" si="20"/>
        <v>22754509.5</v>
      </c>
      <c r="E224" s="203">
        <f t="shared" si="20"/>
        <v>2256530</v>
      </c>
      <c r="F224" s="291"/>
      <c r="G224" s="202">
        <f t="shared" si="21"/>
        <v>359794.08999999997</v>
      </c>
      <c r="H224" s="203">
        <f t="shared" si="21"/>
        <v>70157</v>
      </c>
      <c r="I224" s="199"/>
      <c r="J224" s="204"/>
      <c r="K224" s="203"/>
    </row>
    <row r="225" spans="1:11" ht="12.75">
      <c r="A225" s="187"/>
      <c r="B225" s="188"/>
      <c r="C225" s="205"/>
      <c r="D225" s="190"/>
      <c r="E225" s="191"/>
      <c r="F225" s="191"/>
      <c r="G225" s="190"/>
      <c r="H225" s="191"/>
      <c r="I225" s="187"/>
      <c r="J225" s="192"/>
      <c r="K225" s="191"/>
    </row>
    <row r="226" spans="1:11" ht="12.75">
      <c r="A226" s="302">
        <v>2013</v>
      </c>
      <c r="B226" s="303" t="s">
        <v>358</v>
      </c>
      <c r="C226" s="304"/>
      <c r="D226" s="305">
        <f aca="true" t="shared" si="22" ref="D226:E228">D198+D222</f>
        <v>303954417.67</v>
      </c>
      <c r="E226" s="306">
        <f t="shared" si="22"/>
        <v>30998066</v>
      </c>
      <c r="F226" s="869">
        <f>IF(E227&lt;&gt;0,-(E227-E226)/E227,"")</f>
        <v>0.07270125762690596</v>
      </c>
      <c r="G226" s="305">
        <f aca="true" t="shared" si="23" ref="G226:H228">G198+G222</f>
        <v>157074440.91000003</v>
      </c>
      <c r="H226" s="306">
        <f t="shared" si="23"/>
        <v>17335863</v>
      </c>
      <c r="I226" s="302"/>
      <c r="J226" s="307"/>
      <c r="K226" s="306"/>
    </row>
    <row r="227" spans="1:11" ht="12.75">
      <c r="A227" s="209">
        <v>2012</v>
      </c>
      <c r="B227" s="210" t="s">
        <v>358</v>
      </c>
      <c r="C227" s="211"/>
      <c r="D227" s="212">
        <f t="shared" si="22"/>
        <v>273641896.91</v>
      </c>
      <c r="E227" s="213">
        <f t="shared" si="22"/>
        <v>28897203</v>
      </c>
      <c r="F227" s="870"/>
      <c r="G227" s="212">
        <f t="shared" si="23"/>
        <v>119762303.78999999</v>
      </c>
      <c r="H227" s="213">
        <f t="shared" si="23"/>
        <v>13205496</v>
      </c>
      <c r="I227" s="209"/>
      <c r="J227" s="214"/>
      <c r="K227" s="213"/>
    </row>
    <row r="228" spans="1:11" ht="12.75">
      <c r="A228" s="215">
        <v>2011</v>
      </c>
      <c r="B228" s="216" t="s">
        <v>358</v>
      </c>
      <c r="C228" s="217"/>
      <c r="D228" s="218">
        <f t="shared" si="22"/>
        <v>256512874.04</v>
      </c>
      <c r="E228" s="219">
        <f t="shared" si="22"/>
        <v>27267751</v>
      </c>
      <c r="F228" s="381"/>
      <c r="G228" s="218">
        <f t="shared" si="23"/>
        <v>121086040.14</v>
      </c>
      <c r="H228" s="219">
        <f t="shared" si="23"/>
        <v>13665056</v>
      </c>
      <c r="I228" s="215"/>
      <c r="J228" s="220"/>
      <c r="K228" s="219"/>
    </row>
    <row r="229" spans="1:11" ht="12.75">
      <c r="A229" s="187"/>
      <c r="B229" s="188"/>
      <c r="C229" s="205"/>
      <c r="D229" s="190"/>
      <c r="E229" s="191"/>
      <c r="F229" s="191"/>
      <c r="G229" s="190"/>
      <c r="H229" s="191"/>
      <c r="I229" s="187"/>
      <c r="J229" s="192"/>
      <c r="K229" s="191"/>
    </row>
    <row r="230" spans="1:11" ht="12.75">
      <c r="A230" s="855" t="s">
        <v>136</v>
      </c>
      <c r="B230" s="856"/>
      <c r="C230" s="856"/>
      <c r="D230" s="856"/>
      <c r="E230" s="856"/>
      <c r="F230" s="856"/>
      <c r="G230" s="856"/>
      <c r="H230" s="856"/>
      <c r="I230" s="856"/>
      <c r="J230" s="856"/>
      <c r="K230" s="856"/>
    </row>
    <row r="231" spans="1:11" s="153" customFormat="1" ht="12.75">
      <c r="A231" s="148"/>
      <c r="B231" s="149"/>
      <c r="C231" s="150" t="s">
        <v>121</v>
      </c>
      <c r="D231" s="151"/>
      <c r="E231" s="152" t="s">
        <v>124</v>
      </c>
      <c r="F231" s="148" t="s">
        <v>124</v>
      </c>
      <c r="G231" s="151" t="s">
        <v>128</v>
      </c>
      <c r="H231" s="151" t="s">
        <v>128</v>
      </c>
      <c r="I231" s="148" t="s">
        <v>129</v>
      </c>
      <c r="J231" s="148" t="s">
        <v>132</v>
      </c>
      <c r="K231" s="152" t="s">
        <v>126</v>
      </c>
    </row>
    <row r="232" spans="1:11" s="153" customFormat="1" ht="12.75">
      <c r="A232" s="148"/>
      <c r="B232" s="149"/>
      <c r="C232" s="150" t="s">
        <v>122</v>
      </c>
      <c r="D232" s="151" t="s">
        <v>124</v>
      </c>
      <c r="E232" s="152" t="s">
        <v>126</v>
      </c>
      <c r="F232" s="148" t="s">
        <v>138</v>
      </c>
      <c r="G232" s="151" t="s">
        <v>124</v>
      </c>
      <c r="H232" s="151" t="s">
        <v>124</v>
      </c>
      <c r="I232" s="148" t="s">
        <v>130</v>
      </c>
      <c r="J232" s="148" t="s">
        <v>133</v>
      </c>
      <c r="K232" s="152" t="s">
        <v>135</v>
      </c>
    </row>
    <row r="233" spans="1:11" s="153" customFormat="1" ht="13.5" thickBot="1">
      <c r="A233" s="154" t="s">
        <v>119</v>
      </c>
      <c r="B233" s="155" t="s">
        <v>120</v>
      </c>
      <c r="C233" s="156" t="s">
        <v>123</v>
      </c>
      <c r="D233" s="157" t="s">
        <v>125</v>
      </c>
      <c r="E233" s="158" t="s">
        <v>127</v>
      </c>
      <c r="F233" s="154" t="s">
        <v>137</v>
      </c>
      <c r="G233" s="157" t="s">
        <v>125</v>
      </c>
      <c r="H233" s="157" t="s">
        <v>126</v>
      </c>
      <c r="I233" s="154" t="s">
        <v>131</v>
      </c>
      <c r="J233" s="154" t="s">
        <v>134</v>
      </c>
      <c r="K233" s="158" t="s">
        <v>123</v>
      </c>
    </row>
    <row r="234" spans="1:11" s="153" customFormat="1" ht="12.75">
      <c r="A234" s="353">
        <v>2013</v>
      </c>
      <c r="B234" s="322">
        <v>41516</v>
      </c>
      <c r="C234" s="323" t="s">
        <v>1138</v>
      </c>
      <c r="D234" s="324">
        <v>5772314.15</v>
      </c>
      <c r="E234" s="325">
        <v>564802</v>
      </c>
      <c r="F234" s="288">
        <f>IF(E235&lt;&gt;0,-(E235-E234)/E235,"")</f>
        <v>0.2973247365966938</v>
      </c>
      <c r="G234" s="326">
        <v>470367.98</v>
      </c>
      <c r="H234" s="327">
        <v>58813</v>
      </c>
      <c r="I234" s="279"/>
      <c r="J234" s="353" t="s">
        <v>1187</v>
      </c>
      <c r="K234" s="327">
        <v>100855</v>
      </c>
    </row>
    <row r="235" spans="1:11" ht="12.75">
      <c r="A235" s="159">
        <v>2012</v>
      </c>
      <c r="B235" s="160">
        <v>41152</v>
      </c>
      <c r="C235" s="161" t="s">
        <v>419</v>
      </c>
      <c r="D235" s="162">
        <v>4176621.2</v>
      </c>
      <c r="E235" s="163">
        <v>435359</v>
      </c>
      <c r="F235" s="350"/>
      <c r="G235" s="164">
        <v>339168.25</v>
      </c>
      <c r="H235" s="165">
        <v>44715</v>
      </c>
      <c r="I235" s="166">
        <v>0.1</v>
      </c>
      <c r="J235" s="11" t="s">
        <v>395</v>
      </c>
      <c r="K235" s="165">
        <v>74713</v>
      </c>
    </row>
    <row r="236" spans="1:11" ht="12.75">
      <c r="A236" s="167">
        <v>2011</v>
      </c>
      <c r="B236" s="168">
        <v>40788</v>
      </c>
      <c r="C236" s="169" t="s">
        <v>420</v>
      </c>
      <c r="D236" s="170">
        <v>4777916.75</v>
      </c>
      <c r="E236" s="171">
        <v>489487</v>
      </c>
      <c r="F236" s="351"/>
      <c r="G236" s="172">
        <v>31012.5</v>
      </c>
      <c r="H236" s="173">
        <v>6339</v>
      </c>
      <c r="I236" s="174">
        <v>0.01</v>
      </c>
      <c r="J236" s="17" t="s">
        <v>190</v>
      </c>
      <c r="K236" s="173">
        <v>98571</v>
      </c>
    </row>
    <row r="237" ht="13.5" thickBot="1"/>
    <row r="238" spans="1:11" ht="12.75">
      <c r="A238" s="180">
        <v>2012</v>
      </c>
      <c r="B238" s="181">
        <v>41159</v>
      </c>
      <c r="C238" s="182" t="s">
        <v>431</v>
      </c>
      <c r="D238" s="183">
        <v>4899954.33</v>
      </c>
      <c r="E238" s="184">
        <v>500562</v>
      </c>
      <c r="F238" s="865">
        <f>IF(E239&lt;&gt;0,-(E239-E238)/E239,"")</f>
        <v>0.07303447861914031</v>
      </c>
      <c r="G238" s="183">
        <v>335142.66</v>
      </c>
      <c r="H238" s="184">
        <v>44347</v>
      </c>
      <c r="I238" s="185">
        <v>0.09</v>
      </c>
      <c r="J238" s="11" t="s">
        <v>424</v>
      </c>
      <c r="K238" s="184">
        <v>136407</v>
      </c>
    </row>
    <row r="239" spans="1:11" ht="13.5" thickBot="1">
      <c r="A239" s="167">
        <v>2011</v>
      </c>
      <c r="B239" s="168">
        <v>40795</v>
      </c>
      <c r="C239" s="169" t="s">
        <v>273</v>
      </c>
      <c r="D239" s="170">
        <v>4557747.75</v>
      </c>
      <c r="E239" s="173">
        <v>466492</v>
      </c>
      <c r="F239" s="866"/>
      <c r="G239" s="170">
        <v>27326</v>
      </c>
      <c r="H239" s="173">
        <v>5429</v>
      </c>
      <c r="I239" s="174">
        <v>0.01</v>
      </c>
      <c r="J239" s="17" t="s">
        <v>50</v>
      </c>
      <c r="K239" s="173">
        <v>135567</v>
      </c>
    </row>
    <row r="240" ht="13.5" thickBot="1"/>
    <row r="241" spans="1:11" ht="12.75">
      <c r="A241" s="180">
        <v>2012</v>
      </c>
      <c r="B241" s="181">
        <v>41166</v>
      </c>
      <c r="C241" s="182" t="s">
        <v>434</v>
      </c>
      <c r="D241" s="183">
        <v>4607441.46</v>
      </c>
      <c r="E241" s="184">
        <v>444199</v>
      </c>
      <c r="F241" s="865">
        <f>IF(E242&lt;&gt;0,-(E242-E241)/E242,"")</f>
        <v>0.17436846488387156</v>
      </c>
      <c r="G241" s="183">
        <v>368108.9</v>
      </c>
      <c r="H241" s="184">
        <v>45672</v>
      </c>
      <c r="I241" s="185">
        <v>0.1</v>
      </c>
      <c r="J241" s="11" t="s">
        <v>435</v>
      </c>
      <c r="K241" s="184">
        <v>136918</v>
      </c>
    </row>
    <row r="242" spans="1:11" ht="13.5" thickBot="1">
      <c r="A242" s="167">
        <v>2011</v>
      </c>
      <c r="B242" s="168">
        <v>40802</v>
      </c>
      <c r="C242" s="169" t="s">
        <v>433</v>
      </c>
      <c r="D242" s="170">
        <v>3669278</v>
      </c>
      <c r="E242" s="173">
        <v>378245</v>
      </c>
      <c r="F242" s="866"/>
      <c r="G242" s="170">
        <v>290199</v>
      </c>
      <c r="H242" s="173">
        <v>34198</v>
      </c>
      <c r="I242" s="174">
        <v>0.09</v>
      </c>
      <c r="J242" s="17" t="s">
        <v>50</v>
      </c>
      <c r="K242" s="173">
        <v>90056</v>
      </c>
    </row>
    <row r="243" ht="13.5" thickBot="1"/>
    <row r="244" spans="1:11" ht="12.75">
      <c r="A244" s="180">
        <v>2012</v>
      </c>
      <c r="B244" s="181">
        <v>41173</v>
      </c>
      <c r="C244" s="182" t="s">
        <v>419</v>
      </c>
      <c r="D244" s="183">
        <v>3822955.16</v>
      </c>
      <c r="E244" s="184">
        <v>372049</v>
      </c>
      <c r="F244" s="863">
        <f>IF(E245&lt;&gt;0,-(E245-E244)/E245,"")</f>
        <v>-0.007024642295712887</v>
      </c>
      <c r="G244" s="183">
        <v>477573.03</v>
      </c>
      <c r="H244" s="184">
        <v>53947</v>
      </c>
      <c r="I244" s="185">
        <v>0.16</v>
      </c>
      <c r="J244" s="11" t="s">
        <v>435</v>
      </c>
      <c r="K244" s="184">
        <v>8017</v>
      </c>
    </row>
    <row r="245" spans="1:19" ht="13.5" thickBot="1">
      <c r="A245" s="167">
        <v>2011</v>
      </c>
      <c r="B245" s="168">
        <v>40809</v>
      </c>
      <c r="C245" s="169" t="s">
        <v>226</v>
      </c>
      <c r="D245" s="170">
        <v>3643389.5</v>
      </c>
      <c r="E245" s="173">
        <v>374681</v>
      </c>
      <c r="F245" s="864"/>
      <c r="G245" s="170">
        <v>572420.5</v>
      </c>
      <c r="H245" s="173">
        <v>58940</v>
      </c>
      <c r="I245" s="174">
        <v>0.19</v>
      </c>
      <c r="J245" s="17" t="s">
        <v>50</v>
      </c>
      <c r="K245" s="173">
        <v>55695</v>
      </c>
      <c r="S245" s="11"/>
    </row>
    <row r="246" spans="1:11" ht="13.5" thickBot="1">
      <c r="A246" s="187"/>
      <c r="B246" s="188"/>
      <c r="C246" s="189"/>
      <c r="D246" s="190"/>
      <c r="E246" s="191"/>
      <c r="F246" s="191"/>
      <c r="G246" s="190"/>
      <c r="H246" s="191"/>
      <c r="I246" s="187"/>
      <c r="J246" s="192"/>
      <c r="K246" s="191"/>
    </row>
    <row r="247" spans="1:11" ht="12.75">
      <c r="A247" s="193">
        <v>2012</v>
      </c>
      <c r="B247" s="194" t="s">
        <v>417</v>
      </c>
      <c r="C247" s="195"/>
      <c r="D247" s="196">
        <f>D235+D238+D241+D244</f>
        <v>17506972.150000002</v>
      </c>
      <c r="E247" s="197">
        <f>E235+E238+E241+E244</f>
        <v>1752169</v>
      </c>
      <c r="F247" s="865">
        <f>IF(E248&lt;&gt;0,-(E248-E247)/E248,"")</f>
        <v>0.025316796428122103</v>
      </c>
      <c r="G247" s="196">
        <f>G235+G238+G241+G244</f>
        <v>1519992.8399999999</v>
      </c>
      <c r="H247" s="197">
        <f>H235+H238+H241+H244</f>
        <v>188681</v>
      </c>
      <c r="I247" s="193"/>
      <c r="J247" s="198"/>
      <c r="K247" s="197"/>
    </row>
    <row r="248" spans="1:11" ht="13.5" thickBot="1">
      <c r="A248" s="199">
        <v>2011</v>
      </c>
      <c r="B248" s="200" t="s">
        <v>417</v>
      </c>
      <c r="C248" s="201"/>
      <c r="D248" s="202">
        <f>D236+D239+D242+D245</f>
        <v>16648332</v>
      </c>
      <c r="E248" s="203">
        <f>E236+E239+E242+E245</f>
        <v>1708905</v>
      </c>
      <c r="F248" s="866"/>
      <c r="G248" s="202">
        <f>G236+G239+G242+G245</f>
        <v>920958</v>
      </c>
      <c r="H248" s="203">
        <f>H236+H239+H242+H245</f>
        <v>104906</v>
      </c>
      <c r="I248" s="199"/>
      <c r="J248" s="204"/>
      <c r="K248" s="203"/>
    </row>
    <row r="249" spans="1:11" ht="13.5" thickBot="1">
      <c r="A249" s="187"/>
      <c r="B249" s="188"/>
      <c r="C249" s="205"/>
      <c r="D249" s="190"/>
      <c r="E249" s="191"/>
      <c r="F249" s="191"/>
      <c r="G249" s="190"/>
      <c r="H249" s="191"/>
      <c r="I249" s="187"/>
      <c r="J249" s="192"/>
      <c r="K249" s="191"/>
    </row>
    <row r="250" spans="1:11" ht="12.75">
      <c r="A250" s="209">
        <v>2012</v>
      </c>
      <c r="B250" s="210" t="s">
        <v>418</v>
      </c>
      <c r="C250" s="211"/>
      <c r="D250" s="212">
        <f>D227+D247</f>
        <v>291148869.06</v>
      </c>
      <c r="E250" s="213">
        <f>E227+E247</f>
        <v>30649372</v>
      </c>
      <c r="F250" s="867">
        <f>IF(E251&lt;&gt;0,-(E251-E250)/E251,"")</f>
        <v>0.057726329773870384</v>
      </c>
      <c r="G250" s="212">
        <f>G227+G247</f>
        <v>121282296.63</v>
      </c>
      <c r="H250" s="213">
        <f>H227+H247</f>
        <v>13394177</v>
      </c>
      <c r="I250" s="209"/>
      <c r="J250" s="214"/>
      <c r="K250" s="213"/>
    </row>
    <row r="251" spans="1:11" ht="13.5" thickBot="1">
      <c r="A251" s="215">
        <v>2011</v>
      </c>
      <c r="B251" s="216" t="s">
        <v>418</v>
      </c>
      <c r="C251" s="217"/>
      <c r="D251" s="218">
        <f>D228+D248</f>
        <v>273161206.03999996</v>
      </c>
      <c r="E251" s="219">
        <f>E228+E248</f>
        <v>28976656</v>
      </c>
      <c r="F251" s="868"/>
      <c r="G251" s="218">
        <f>G228+G248</f>
        <v>122006998.14</v>
      </c>
      <c r="H251" s="219">
        <f>H228+H248</f>
        <v>13769962</v>
      </c>
      <c r="I251" s="215"/>
      <c r="J251" s="220"/>
      <c r="K251" s="219"/>
    </row>
    <row r="252" spans="1:11" ht="12.75">
      <c r="A252" s="187"/>
      <c r="B252" s="188"/>
      <c r="C252" s="205"/>
      <c r="D252" s="190"/>
      <c r="E252" s="191"/>
      <c r="F252" s="191"/>
      <c r="G252" s="190"/>
      <c r="H252" s="191"/>
      <c r="I252" s="187"/>
      <c r="J252" s="192"/>
      <c r="K252" s="191"/>
    </row>
    <row r="253" spans="1:11" ht="12.75">
      <c r="A253" s="855" t="s">
        <v>136</v>
      </c>
      <c r="B253" s="856"/>
      <c r="C253" s="856"/>
      <c r="D253" s="856"/>
      <c r="E253" s="856"/>
      <c r="F253" s="856"/>
      <c r="G253" s="856"/>
      <c r="H253" s="856"/>
      <c r="I253" s="856"/>
      <c r="J253" s="856"/>
      <c r="K253" s="856"/>
    </row>
    <row r="254" spans="1:11" s="153" customFormat="1" ht="12.75">
      <c r="A254" s="148"/>
      <c r="B254" s="149"/>
      <c r="C254" s="150" t="s">
        <v>121</v>
      </c>
      <c r="D254" s="151"/>
      <c r="E254" s="152" t="s">
        <v>124</v>
      </c>
      <c r="F254" s="148" t="s">
        <v>124</v>
      </c>
      <c r="G254" s="151" t="s">
        <v>128</v>
      </c>
      <c r="H254" s="151" t="s">
        <v>128</v>
      </c>
      <c r="I254" s="148" t="s">
        <v>129</v>
      </c>
      <c r="J254" s="148" t="s">
        <v>132</v>
      </c>
      <c r="K254" s="152" t="s">
        <v>126</v>
      </c>
    </row>
    <row r="255" spans="1:11" s="153" customFormat="1" ht="12.75">
      <c r="A255" s="148"/>
      <c r="B255" s="149"/>
      <c r="C255" s="150" t="s">
        <v>122</v>
      </c>
      <c r="D255" s="151" t="s">
        <v>124</v>
      </c>
      <c r="E255" s="152" t="s">
        <v>126</v>
      </c>
      <c r="F255" s="148" t="s">
        <v>138</v>
      </c>
      <c r="G255" s="151" t="s">
        <v>124</v>
      </c>
      <c r="H255" s="151" t="s">
        <v>124</v>
      </c>
      <c r="I255" s="148" t="s">
        <v>130</v>
      </c>
      <c r="J255" s="148" t="s">
        <v>133</v>
      </c>
      <c r="K255" s="152" t="s">
        <v>135</v>
      </c>
    </row>
    <row r="256" spans="1:11" s="153" customFormat="1" ht="13.5" thickBot="1">
      <c r="A256" s="154" t="s">
        <v>119</v>
      </c>
      <c r="B256" s="155" t="s">
        <v>120</v>
      </c>
      <c r="C256" s="156" t="s">
        <v>123</v>
      </c>
      <c r="D256" s="157" t="s">
        <v>125</v>
      </c>
      <c r="E256" s="158" t="s">
        <v>127</v>
      </c>
      <c r="F256" s="154" t="s">
        <v>137</v>
      </c>
      <c r="G256" s="157" t="s">
        <v>125</v>
      </c>
      <c r="H256" s="157" t="s">
        <v>126</v>
      </c>
      <c r="I256" s="154" t="s">
        <v>131</v>
      </c>
      <c r="J256" s="154" t="s">
        <v>134</v>
      </c>
      <c r="K256" s="158" t="s">
        <v>123</v>
      </c>
    </row>
    <row r="257" spans="1:11" ht="12.75">
      <c r="A257" s="159">
        <v>2012</v>
      </c>
      <c r="B257" s="160">
        <v>41179</v>
      </c>
      <c r="C257" s="161" t="s">
        <v>226</v>
      </c>
      <c r="D257" s="162">
        <v>3751286.14</v>
      </c>
      <c r="E257" s="163">
        <v>374375</v>
      </c>
      <c r="F257" s="863">
        <f>IF(E258&lt;&gt;0,-(E258-E257)/E258,"")</f>
        <v>-0.11379415642672336</v>
      </c>
      <c r="G257" s="164">
        <v>1241052.02</v>
      </c>
      <c r="H257" s="165">
        <v>140008</v>
      </c>
      <c r="I257" s="166">
        <v>0.37</v>
      </c>
      <c r="J257" s="206" t="s">
        <v>446</v>
      </c>
      <c r="K257" s="165">
        <v>89175</v>
      </c>
    </row>
    <row r="258" spans="1:11" ht="13.5" thickBot="1">
      <c r="A258" s="167">
        <v>2011</v>
      </c>
      <c r="B258" s="168">
        <v>40815</v>
      </c>
      <c r="C258" s="169" t="s">
        <v>453</v>
      </c>
      <c r="D258" s="170">
        <v>4148951.5</v>
      </c>
      <c r="E258" s="171">
        <v>422447</v>
      </c>
      <c r="F258" s="864"/>
      <c r="G258" s="172">
        <v>610994.5</v>
      </c>
      <c r="H258" s="173">
        <v>68308</v>
      </c>
      <c r="I258" s="174">
        <v>0.16</v>
      </c>
      <c r="J258" s="17" t="s">
        <v>454</v>
      </c>
      <c r="K258" s="173">
        <v>43548</v>
      </c>
    </row>
    <row r="259" ht="13.5" thickBot="1"/>
    <row r="260" spans="1:11" ht="12.75">
      <c r="A260" s="180">
        <v>2012</v>
      </c>
      <c r="B260" s="181">
        <v>41187</v>
      </c>
      <c r="C260" s="182" t="s">
        <v>252</v>
      </c>
      <c r="D260" s="183">
        <v>4182865.19</v>
      </c>
      <c r="E260" s="184">
        <v>418493</v>
      </c>
      <c r="F260" s="863">
        <f>IF(E261&lt;&gt;0,-(E261-E260)/E261,"")</f>
        <v>-0.027416393595017314</v>
      </c>
      <c r="G260" s="183">
        <v>902339.03</v>
      </c>
      <c r="H260" s="184">
        <v>108652</v>
      </c>
      <c r="I260" s="185">
        <v>0.26</v>
      </c>
      <c r="J260" s="11" t="s">
        <v>456</v>
      </c>
      <c r="K260" s="184">
        <v>56503</v>
      </c>
    </row>
    <row r="261" spans="1:11" ht="13.5" thickBot="1">
      <c r="A261" s="167">
        <v>2011</v>
      </c>
      <c r="B261" s="168">
        <v>41189</v>
      </c>
      <c r="C261" s="169" t="s">
        <v>262</v>
      </c>
      <c r="D261" s="170">
        <v>4198357</v>
      </c>
      <c r="E261" s="173">
        <v>430290</v>
      </c>
      <c r="F261" s="864"/>
      <c r="G261" s="170">
        <v>512332.5</v>
      </c>
      <c r="H261" s="173">
        <v>56189</v>
      </c>
      <c r="I261" s="174">
        <v>0.13</v>
      </c>
      <c r="J261" s="17" t="s">
        <v>470</v>
      </c>
      <c r="K261" s="173">
        <v>47614</v>
      </c>
    </row>
    <row r="262" ht="13.5" thickBot="1"/>
    <row r="263" spans="1:11" ht="12.75">
      <c r="A263" s="180">
        <v>2012</v>
      </c>
      <c r="B263" s="181">
        <v>41194</v>
      </c>
      <c r="C263" s="182" t="s">
        <v>248</v>
      </c>
      <c r="D263" s="183">
        <v>4496923.43</v>
      </c>
      <c r="E263" s="184">
        <v>458232</v>
      </c>
      <c r="F263" s="865">
        <f>IF(E264&lt;&gt;0,-(E264-E263)/E264,"")</f>
        <v>0.0011251493826971689</v>
      </c>
      <c r="G263" s="183">
        <v>2032375.99</v>
      </c>
      <c r="H263" s="184">
        <v>226429</v>
      </c>
      <c r="I263" s="185">
        <v>0.49</v>
      </c>
      <c r="J263" s="206" t="s">
        <v>471</v>
      </c>
      <c r="K263" s="184">
        <v>170903</v>
      </c>
    </row>
    <row r="264" spans="1:11" ht="13.5" thickBot="1">
      <c r="A264" s="167">
        <v>2011</v>
      </c>
      <c r="B264" s="168">
        <v>41196</v>
      </c>
      <c r="C264" s="169" t="s">
        <v>249</v>
      </c>
      <c r="D264" s="170">
        <v>4446418</v>
      </c>
      <c r="E264" s="173">
        <v>457717</v>
      </c>
      <c r="F264" s="866"/>
      <c r="G264" s="170">
        <v>606876</v>
      </c>
      <c r="H264" s="173">
        <v>73427</v>
      </c>
      <c r="I264" s="174">
        <v>0.16</v>
      </c>
      <c r="J264" s="17" t="s">
        <v>111</v>
      </c>
      <c r="K264" s="173">
        <v>50953</v>
      </c>
    </row>
    <row r="265" ht="13.5" thickBot="1"/>
    <row r="266" spans="1:11" ht="12.75">
      <c r="A266" s="180">
        <v>2012</v>
      </c>
      <c r="B266" s="181">
        <v>41201</v>
      </c>
      <c r="C266" s="182" t="s">
        <v>186</v>
      </c>
      <c r="D266" s="183">
        <v>6792722.72</v>
      </c>
      <c r="E266" s="184">
        <v>675863</v>
      </c>
      <c r="F266" s="865">
        <f>IF(E267&lt;&gt;0,-(E267-E266)/E267,"")</f>
        <v>0.6018481870086532</v>
      </c>
      <c r="G266" s="183">
        <v>3897085.71</v>
      </c>
      <c r="H266" s="184">
        <v>416644</v>
      </c>
      <c r="I266" s="185">
        <v>0.62</v>
      </c>
      <c r="J266" s="206" t="s">
        <v>481</v>
      </c>
      <c r="K266" s="184">
        <v>197259</v>
      </c>
    </row>
    <row r="267" spans="1:19" ht="13.5" thickBot="1">
      <c r="A267" s="167">
        <v>2011</v>
      </c>
      <c r="B267" s="168">
        <v>41203</v>
      </c>
      <c r="C267" s="169" t="s">
        <v>270</v>
      </c>
      <c r="D267" s="170">
        <v>5033599.75</v>
      </c>
      <c r="E267" s="173">
        <v>421927</v>
      </c>
      <c r="F267" s="866"/>
      <c r="G267" s="170">
        <v>306456.25</v>
      </c>
      <c r="H267" s="173">
        <v>39806</v>
      </c>
      <c r="I267" s="174">
        <v>0.0943</v>
      </c>
      <c r="J267" s="17" t="s">
        <v>57</v>
      </c>
      <c r="K267" s="173">
        <v>60245</v>
      </c>
      <c r="S267" s="11"/>
    </row>
    <row r="268" spans="1:19" s="228" customFormat="1" ht="13.5" thickBot="1">
      <c r="A268" s="221"/>
      <c r="B268" s="222"/>
      <c r="C268" s="223"/>
      <c r="D268" s="224"/>
      <c r="E268" s="225"/>
      <c r="F268" s="16"/>
      <c r="G268" s="224"/>
      <c r="H268" s="225"/>
      <c r="I268" s="226"/>
      <c r="J268" s="227"/>
      <c r="K268" s="225"/>
      <c r="S268" s="227"/>
    </row>
    <row r="269" spans="1:11" ht="12.75">
      <c r="A269" s="180">
        <v>2012</v>
      </c>
      <c r="B269" s="181">
        <v>41208</v>
      </c>
      <c r="C269" s="182" t="s">
        <v>490</v>
      </c>
      <c r="D269" s="183">
        <v>10157185.77</v>
      </c>
      <c r="E269" s="184">
        <v>1000463</v>
      </c>
      <c r="F269" s="865">
        <f>IF(E270&lt;&gt;0,-(E270-E269)/E270,"")</f>
        <v>0.3245376193187084</v>
      </c>
      <c r="G269" s="183">
        <v>5073765.13</v>
      </c>
      <c r="H269" s="184">
        <v>542708</v>
      </c>
      <c r="I269" s="185">
        <v>0.54</v>
      </c>
      <c r="J269" s="206" t="s">
        <v>481</v>
      </c>
      <c r="K269" s="184">
        <v>258170</v>
      </c>
    </row>
    <row r="270" spans="1:19" ht="13.5" thickBot="1">
      <c r="A270" s="167">
        <v>2011</v>
      </c>
      <c r="B270" s="168">
        <v>41210</v>
      </c>
      <c r="C270" s="169" t="s">
        <v>217</v>
      </c>
      <c r="D270" s="170">
        <v>9090579.31</v>
      </c>
      <c r="E270" s="173">
        <v>755330</v>
      </c>
      <c r="F270" s="866"/>
      <c r="G270" s="170">
        <v>4212464.51</v>
      </c>
      <c r="H270" s="173">
        <v>456956</v>
      </c>
      <c r="I270" s="174">
        <v>0.61</v>
      </c>
      <c r="J270" s="207" t="s">
        <v>58</v>
      </c>
      <c r="K270" s="173">
        <v>231121</v>
      </c>
      <c r="S270" s="11"/>
    </row>
    <row r="271" spans="1:11" ht="13.5" thickBot="1">
      <c r="A271" s="187"/>
      <c r="B271" s="188"/>
      <c r="C271" s="189"/>
      <c r="D271" s="190"/>
      <c r="E271" s="191"/>
      <c r="F271" s="191"/>
      <c r="G271" s="190"/>
      <c r="H271" s="191"/>
      <c r="I271" s="187"/>
      <c r="J271" s="192"/>
      <c r="K271" s="191"/>
    </row>
    <row r="272" spans="1:11" ht="12.75">
      <c r="A272" s="193">
        <v>2012</v>
      </c>
      <c r="B272" s="194" t="s">
        <v>441</v>
      </c>
      <c r="C272" s="195"/>
      <c r="D272" s="196">
        <f>D257+D260+D263+D266+D269</f>
        <v>29380983.25</v>
      </c>
      <c r="E272" s="197">
        <f>E257+E260+E263+E266+E269</f>
        <v>2927426</v>
      </c>
      <c r="F272" s="865">
        <f>IF(E273&lt;&gt;0,-(E273-E272)/E273,"")</f>
        <v>0.17675485617099415</v>
      </c>
      <c r="G272" s="196">
        <f>G257+G260+G263+G266+G269</f>
        <v>13146617.879999999</v>
      </c>
      <c r="H272" s="197">
        <f>H257+H260+H263+H266+H269</f>
        <v>1434441</v>
      </c>
      <c r="I272" s="193"/>
      <c r="J272" s="198"/>
      <c r="K272" s="197"/>
    </row>
    <row r="273" spans="1:11" ht="13.5" thickBot="1">
      <c r="A273" s="199">
        <v>2011</v>
      </c>
      <c r="B273" s="200" t="s">
        <v>441</v>
      </c>
      <c r="C273" s="201"/>
      <c r="D273" s="202">
        <f>D258+D261+D264+D267+D270</f>
        <v>26917905.560000002</v>
      </c>
      <c r="E273" s="203">
        <f>E258+E261+E264+E267+E270</f>
        <v>2487711</v>
      </c>
      <c r="F273" s="866"/>
      <c r="G273" s="202">
        <f>G258+G261+G264+G267+G270</f>
        <v>6249123.76</v>
      </c>
      <c r="H273" s="203">
        <f>H258+H261+H264+H267+H270</f>
        <v>694686</v>
      </c>
      <c r="I273" s="199"/>
      <c r="J273" s="204"/>
      <c r="K273" s="203"/>
    </row>
    <row r="274" spans="1:11" ht="13.5" thickBot="1">
      <c r="A274" s="187"/>
      <c r="B274" s="188"/>
      <c r="C274" s="205"/>
      <c r="D274" s="190"/>
      <c r="E274" s="191"/>
      <c r="F274" s="191"/>
      <c r="G274" s="190"/>
      <c r="H274" s="191"/>
      <c r="I274" s="187"/>
      <c r="J274" s="192"/>
      <c r="K274" s="191"/>
    </row>
    <row r="275" spans="1:11" ht="12.75">
      <c r="A275" s="209">
        <v>2012</v>
      </c>
      <c r="B275" s="210" t="s">
        <v>442</v>
      </c>
      <c r="C275" s="211"/>
      <c r="D275" s="212">
        <f>D250+D272</f>
        <v>320529852.31</v>
      </c>
      <c r="E275" s="213">
        <f>E250+E272</f>
        <v>33576798</v>
      </c>
      <c r="F275" s="867">
        <f>IF(E276&lt;&gt;0,-(E276-E275)/E276,"")</f>
        <v>0.06713724766813202</v>
      </c>
      <c r="G275" s="212">
        <f>G250+G272</f>
        <v>134428914.51</v>
      </c>
      <c r="H275" s="213">
        <f>H250+H272</f>
        <v>14828618</v>
      </c>
      <c r="I275" s="209"/>
      <c r="J275" s="214"/>
      <c r="K275" s="213"/>
    </row>
    <row r="276" spans="1:11" ht="13.5" thickBot="1">
      <c r="A276" s="215">
        <v>2011</v>
      </c>
      <c r="B276" s="216" t="s">
        <v>442</v>
      </c>
      <c r="C276" s="217"/>
      <c r="D276" s="218">
        <f>D251+D273</f>
        <v>300079111.59999996</v>
      </c>
      <c r="E276" s="219">
        <f>E251+E273</f>
        <v>31464367</v>
      </c>
      <c r="F276" s="868"/>
      <c r="G276" s="218">
        <f>G251+G273</f>
        <v>128256121.9</v>
      </c>
      <c r="H276" s="219">
        <f>H251+H273</f>
        <v>14464648</v>
      </c>
      <c r="I276" s="215"/>
      <c r="J276" s="220"/>
      <c r="K276" s="219"/>
    </row>
    <row r="277" spans="1:11" ht="12.75">
      <c r="A277" s="187"/>
      <c r="B277" s="188"/>
      <c r="C277" s="205"/>
      <c r="D277" s="190"/>
      <c r="E277" s="191"/>
      <c r="F277" s="191"/>
      <c r="G277" s="190"/>
      <c r="H277" s="191"/>
      <c r="I277" s="187"/>
      <c r="J277" s="192"/>
      <c r="K277" s="191"/>
    </row>
    <row r="278" spans="1:11" ht="12.75">
      <c r="A278" s="855" t="s">
        <v>136</v>
      </c>
      <c r="B278" s="856"/>
      <c r="C278" s="856"/>
      <c r="D278" s="856"/>
      <c r="E278" s="856"/>
      <c r="F278" s="856"/>
      <c r="G278" s="856"/>
      <c r="H278" s="856"/>
      <c r="I278" s="856"/>
      <c r="J278" s="856"/>
      <c r="K278" s="856"/>
    </row>
    <row r="279" spans="1:11" s="153" customFormat="1" ht="12.75">
      <c r="A279" s="148"/>
      <c r="B279" s="149"/>
      <c r="C279" s="150" t="s">
        <v>121</v>
      </c>
      <c r="D279" s="151"/>
      <c r="E279" s="152" t="s">
        <v>124</v>
      </c>
      <c r="F279" s="148" t="s">
        <v>124</v>
      </c>
      <c r="G279" s="151" t="s">
        <v>128</v>
      </c>
      <c r="H279" s="151" t="s">
        <v>128</v>
      </c>
      <c r="I279" s="148" t="s">
        <v>129</v>
      </c>
      <c r="J279" s="148" t="s">
        <v>132</v>
      </c>
      <c r="K279" s="152" t="s">
        <v>126</v>
      </c>
    </row>
    <row r="280" spans="1:11" s="153" customFormat="1" ht="12.75">
      <c r="A280" s="148"/>
      <c r="B280" s="149"/>
      <c r="C280" s="150" t="s">
        <v>122</v>
      </c>
      <c r="D280" s="151" t="s">
        <v>124</v>
      </c>
      <c r="E280" s="152" t="s">
        <v>126</v>
      </c>
      <c r="F280" s="148" t="s">
        <v>138</v>
      </c>
      <c r="G280" s="151" t="s">
        <v>124</v>
      </c>
      <c r="H280" s="151" t="s">
        <v>124</v>
      </c>
      <c r="I280" s="148" t="s">
        <v>130</v>
      </c>
      <c r="J280" s="148" t="s">
        <v>133</v>
      </c>
      <c r="K280" s="152" t="s">
        <v>135</v>
      </c>
    </row>
    <row r="281" spans="1:11" s="153" customFormat="1" ht="13.5" thickBot="1">
      <c r="A281" s="154" t="s">
        <v>119</v>
      </c>
      <c r="B281" s="155" t="s">
        <v>120</v>
      </c>
      <c r="C281" s="156" t="s">
        <v>123</v>
      </c>
      <c r="D281" s="157" t="s">
        <v>125</v>
      </c>
      <c r="E281" s="158" t="s">
        <v>127</v>
      </c>
      <c r="F281" s="154" t="s">
        <v>137</v>
      </c>
      <c r="G281" s="157" t="s">
        <v>125</v>
      </c>
      <c r="H281" s="157" t="s">
        <v>126</v>
      </c>
      <c r="I281" s="154" t="s">
        <v>131</v>
      </c>
      <c r="J281" s="154" t="s">
        <v>134</v>
      </c>
      <c r="K281" s="158" t="s">
        <v>123</v>
      </c>
    </row>
    <row r="282" spans="1:11" ht="12.75">
      <c r="A282" s="159">
        <v>2012</v>
      </c>
      <c r="B282" s="160">
        <v>41215</v>
      </c>
      <c r="C282" s="161" t="s">
        <v>152</v>
      </c>
      <c r="D282" s="162">
        <v>11493937.82</v>
      </c>
      <c r="E282" s="163">
        <v>1183874</v>
      </c>
      <c r="F282" s="863">
        <f>IF(E283&lt;&gt;0,-(E283-E282)/E283,"")</f>
        <v>-0.1857208100739257</v>
      </c>
      <c r="G282" s="164">
        <v>6998436</v>
      </c>
      <c r="H282" s="165">
        <v>776940</v>
      </c>
      <c r="I282" s="166">
        <v>0.66</v>
      </c>
      <c r="J282" s="206" t="s">
        <v>493</v>
      </c>
      <c r="K282" s="165">
        <v>525274</v>
      </c>
    </row>
    <row r="283" spans="1:11" ht="13.5" thickBot="1">
      <c r="A283" s="167">
        <v>2011</v>
      </c>
      <c r="B283" s="168">
        <v>40851</v>
      </c>
      <c r="C283" s="169" t="s">
        <v>182</v>
      </c>
      <c r="D283" s="170">
        <v>13866626.75</v>
      </c>
      <c r="E283" s="171">
        <v>1453892</v>
      </c>
      <c r="F283" s="864"/>
      <c r="G283" s="172">
        <v>8315634.25</v>
      </c>
      <c r="H283" s="173">
        <v>940704</v>
      </c>
      <c r="I283" s="174">
        <v>0.65</v>
      </c>
      <c r="J283" s="207" t="s">
        <v>58</v>
      </c>
      <c r="K283" s="173">
        <v>459388</v>
      </c>
    </row>
    <row r="284" ht="13.5" thickBot="1"/>
    <row r="285" spans="1:11" ht="12.75">
      <c r="A285" s="180">
        <v>2012</v>
      </c>
      <c r="B285" s="181">
        <v>41222</v>
      </c>
      <c r="C285" s="182" t="s">
        <v>223</v>
      </c>
      <c r="D285" s="183">
        <v>11124096.83</v>
      </c>
      <c r="E285" s="184">
        <v>1159826</v>
      </c>
      <c r="F285" s="865">
        <f>IF(E286&lt;&gt;0,-(E286-E285)/E286,"")</f>
        <v>0.09172937992705024</v>
      </c>
      <c r="G285" s="183">
        <v>7013521.83</v>
      </c>
      <c r="H285" s="184">
        <v>787218</v>
      </c>
      <c r="I285" s="185">
        <v>0.68</v>
      </c>
      <c r="J285" s="206" t="s">
        <v>493</v>
      </c>
      <c r="K285" s="184">
        <v>569036</v>
      </c>
    </row>
    <row r="286" spans="1:11" ht="13.5" thickBot="1">
      <c r="A286" s="167">
        <v>2011</v>
      </c>
      <c r="B286" s="168">
        <v>40858</v>
      </c>
      <c r="C286" s="169" t="s">
        <v>187</v>
      </c>
      <c r="D286" s="170">
        <v>10751198.25</v>
      </c>
      <c r="E286" s="173">
        <v>1062375</v>
      </c>
      <c r="F286" s="866"/>
      <c r="G286" s="170">
        <v>5461572.75</v>
      </c>
      <c r="H286" s="173">
        <v>771547</v>
      </c>
      <c r="I286" s="174">
        <v>0.63</v>
      </c>
      <c r="J286" s="207" t="s">
        <v>61</v>
      </c>
      <c r="K286" s="173">
        <v>328738</v>
      </c>
    </row>
    <row r="287" ht="13.5" thickBot="1"/>
    <row r="288" spans="1:11" ht="12.75">
      <c r="A288" s="180">
        <v>2012</v>
      </c>
      <c r="B288" s="181">
        <v>41229</v>
      </c>
      <c r="C288" s="182" t="s">
        <v>165</v>
      </c>
      <c r="D288" s="183">
        <v>14238765.45</v>
      </c>
      <c r="E288" s="184">
        <v>1496547</v>
      </c>
      <c r="F288" s="863">
        <f>IF(E289&lt;&gt;0,-(E289-E288)/E289,"")</f>
        <v>-0.10465969162732039</v>
      </c>
      <c r="G288" s="183">
        <v>6054703.35</v>
      </c>
      <c r="H288" s="184">
        <v>665918</v>
      </c>
      <c r="I288" s="185">
        <v>0.45</v>
      </c>
      <c r="J288" s="11" t="s">
        <v>511</v>
      </c>
      <c r="K288" s="184">
        <v>642844</v>
      </c>
    </row>
    <row r="289" spans="1:11" ht="13.5" thickBot="1">
      <c r="A289" s="167">
        <v>2011</v>
      </c>
      <c r="B289" s="168">
        <v>41231</v>
      </c>
      <c r="C289" s="169" t="s">
        <v>187</v>
      </c>
      <c r="D289" s="170">
        <v>14322463.25</v>
      </c>
      <c r="E289" s="173">
        <v>1671484</v>
      </c>
      <c r="F289" s="864"/>
      <c r="G289" s="170">
        <v>6024348</v>
      </c>
      <c r="H289" s="173">
        <v>799254</v>
      </c>
      <c r="I289" s="174">
        <v>0.48</v>
      </c>
      <c r="J289" s="17" t="s">
        <v>513</v>
      </c>
      <c r="K289" s="173">
        <v>649738</v>
      </c>
    </row>
    <row r="290" ht="13.5" thickBot="1"/>
    <row r="291" spans="1:11" ht="12.75">
      <c r="A291" s="180">
        <v>2012</v>
      </c>
      <c r="B291" s="181">
        <v>41236</v>
      </c>
      <c r="C291" s="182" t="s">
        <v>186</v>
      </c>
      <c r="D291" s="183">
        <v>12505913.16</v>
      </c>
      <c r="E291" s="184">
        <v>1317451</v>
      </c>
      <c r="F291" s="863">
        <f>IF(E292&lt;&gt;0,-(E292-E291)/E292,"")</f>
        <v>-0.10057729042159405</v>
      </c>
      <c r="G291" s="183">
        <v>6895059.01</v>
      </c>
      <c r="H291" s="184">
        <v>760840</v>
      </c>
      <c r="I291" s="185">
        <v>0.58</v>
      </c>
      <c r="J291" s="11" t="s">
        <v>511</v>
      </c>
      <c r="K291" s="184">
        <v>358840</v>
      </c>
    </row>
    <row r="292" spans="1:19" ht="13.5" thickBot="1">
      <c r="A292" s="167">
        <v>2011</v>
      </c>
      <c r="B292" s="168">
        <v>40872</v>
      </c>
      <c r="C292" s="169" t="s">
        <v>181</v>
      </c>
      <c r="D292" s="170">
        <v>12669309.25</v>
      </c>
      <c r="E292" s="173">
        <v>1464774</v>
      </c>
      <c r="F292" s="864"/>
      <c r="G292" s="170">
        <v>7382874.5</v>
      </c>
      <c r="H292" s="173">
        <v>919242</v>
      </c>
      <c r="I292" s="174">
        <v>0.63</v>
      </c>
      <c r="J292" s="207" t="s">
        <v>61</v>
      </c>
      <c r="K292" s="173">
        <v>452220</v>
      </c>
      <c r="S292" s="11"/>
    </row>
    <row r="293" spans="1:19" s="228" customFormat="1" ht="12.75">
      <c r="A293" s="221"/>
      <c r="B293" s="222"/>
      <c r="C293" s="223"/>
      <c r="D293" s="224"/>
      <c r="E293" s="225"/>
      <c r="F293" s="16"/>
      <c r="G293" s="224"/>
      <c r="H293" s="225"/>
      <c r="I293" s="226"/>
      <c r="J293" s="227"/>
      <c r="K293" s="225"/>
      <c r="S293" s="227"/>
    </row>
    <row r="294" spans="1:11" ht="13.5" thickBot="1">
      <c r="A294" s="187"/>
      <c r="B294" s="188"/>
      <c r="C294" s="189"/>
      <c r="D294" s="190"/>
      <c r="E294" s="191"/>
      <c r="F294" s="191"/>
      <c r="G294" s="190"/>
      <c r="H294" s="191"/>
      <c r="I294" s="187"/>
      <c r="J294" s="192"/>
      <c r="K294" s="191"/>
    </row>
    <row r="295" spans="1:11" ht="12.75">
      <c r="A295" s="193">
        <v>2012</v>
      </c>
      <c r="B295" s="194" t="s">
        <v>499</v>
      </c>
      <c r="C295" s="195"/>
      <c r="D295" s="196">
        <f>D282+D285+D288+D291</f>
        <v>49362713.25999999</v>
      </c>
      <c r="E295" s="197">
        <f>E282+E285+E288+E291</f>
        <v>5157698</v>
      </c>
      <c r="F295" s="863">
        <f>IF(E296&lt;&gt;0,-(E296-E295)/E296,"")</f>
        <v>-0.08754087774932441</v>
      </c>
      <c r="G295" s="196">
        <f>G282+G285+G288+G291</f>
        <v>26961720.189999998</v>
      </c>
      <c r="H295" s="197">
        <f>H282+H285+H288+H291</f>
        <v>2990916</v>
      </c>
      <c r="I295" s="193"/>
      <c r="J295" s="198"/>
      <c r="K295" s="197"/>
    </row>
    <row r="296" spans="1:11" ht="13.5" thickBot="1">
      <c r="A296" s="199">
        <v>2011</v>
      </c>
      <c r="B296" s="200" t="s">
        <v>499</v>
      </c>
      <c r="C296" s="201"/>
      <c r="D296" s="202">
        <f>D283+D286+D289+D292</f>
        <v>51609597.5</v>
      </c>
      <c r="E296" s="203">
        <f>E283+E286+E289+E292</f>
        <v>5652525</v>
      </c>
      <c r="F296" s="864"/>
      <c r="G296" s="202">
        <f>G283+G286+G289+G292</f>
        <v>27184429.5</v>
      </c>
      <c r="H296" s="203">
        <f>H283+H286+H289+H292</f>
        <v>3430747</v>
      </c>
      <c r="I296" s="199"/>
      <c r="J296" s="204"/>
      <c r="K296" s="203"/>
    </row>
    <row r="297" spans="1:11" ht="13.5" thickBot="1">
      <c r="A297" s="187"/>
      <c r="B297" s="188"/>
      <c r="C297" s="205"/>
      <c r="D297" s="190"/>
      <c r="E297" s="191"/>
      <c r="F297" s="191"/>
      <c r="G297" s="190"/>
      <c r="H297" s="191"/>
      <c r="I297" s="187"/>
      <c r="J297" s="192"/>
      <c r="K297" s="191"/>
    </row>
    <row r="298" spans="1:11" ht="12.75">
      <c r="A298" s="209">
        <v>2012</v>
      </c>
      <c r="B298" s="210" t="s">
        <v>500</v>
      </c>
      <c r="C298" s="211"/>
      <c r="D298" s="212">
        <f>D295+D275</f>
        <v>369892565.57</v>
      </c>
      <c r="E298" s="213">
        <f>E275+E295</f>
        <v>38734496</v>
      </c>
      <c r="F298" s="867">
        <f>IF(E299&lt;&gt;0,-(E299-E298)/E299,"")</f>
        <v>0.04358134296373738</v>
      </c>
      <c r="G298" s="212">
        <f>G275+G295</f>
        <v>161390634.7</v>
      </c>
      <c r="H298" s="213">
        <f>H275+H295</f>
        <v>17819534</v>
      </c>
      <c r="I298" s="209"/>
      <c r="J298" s="214"/>
      <c r="K298" s="213"/>
    </row>
    <row r="299" spans="1:11" ht="13.5" thickBot="1">
      <c r="A299" s="215">
        <v>2011</v>
      </c>
      <c r="B299" s="216" t="s">
        <v>500</v>
      </c>
      <c r="C299" s="217"/>
      <c r="D299" s="218">
        <f>D276+D296</f>
        <v>351688709.09999996</v>
      </c>
      <c r="E299" s="219">
        <f>E296+E276</f>
        <v>37116892</v>
      </c>
      <c r="F299" s="868"/>
      <c r="G299" s="218">
        <f>G276+G296</f>
        <v>155440551.4</v>
      </c>
      <c r="H299" s="219">
        <f>H276+H296</f>
        <v>17895395</v>
      </c>
      <c r="I299" s="215"/>
      <c r="J299" s="220"/>
      <c r="K299" s="219"/>
    </row>
    <row r="300" spans="1:11" ht="12.75">
      <c r="A300" s="187"/>
      <c r="B300" s="188"/>
      <c r="C300" s="205"/>
      <c r="D300" s="190"/>
      <c r="E300" s="191"/>
      <c r="F300" s="191"/>
      <c r="G300" s="190"/>
      <c r="H300" s="191"/>
      <c r="I300" s="187"/>
      <c r="J300" s="192"/>
      <c r="K300" s="191"/>
    </row>
    <row r="301" spans="1:11" ht="12.75">
      <c r="A301" s="855" t="s">
        <v>136</v>
      </c>
      <c r="B301" s="856"/>
      <c r="C301" s="856"/>
      <c r="D301" s="856"/>
      <c r="E301" s="856"/>
      <c r="F301" s="856"/>
      <c r="G301" s="856"/>
      <c r="H301" s="856"/>
      <c r="I301" s="856"/>
      <c r="J301" s="856"/>
      <c r="K301" s="856"/>
    </row>
    <row r="302" spans="1:11" s="153" customFormat="1" ht="12.75">
      <c r="A302" s="148"/>
      <c r="B302" s="149"/>
      <c r="C302" s="150" t="s">
        <v>121</v>
      </c>
      <c r="D302" s="151"/>
      <c r="E302" s="152" t="s">
        <v>124</v>
      </c>
      <c r="F302" s="148" t="s">
        <v>124</v>
      </c>
      <c r="G302" s="151" t="s">
        <v>128</v>
      </c>
      <c r="H302" s="151" t="s">
        <v>128</v>
      </c>
      <c r="I302" s="148" t="s">
        <v>129</v>
      </c>
      <c r="J302" s="148" t="s">
        <v>132</v>
      </c>
      <c r="K302" s="152" t="s">
        <v>126</v>
      </c>
    </row>
    <row r="303" spans="1:11" s="153" customFormat="1" ht="12.75">
      <c r="A303" s="148"/>
      <c r="B303" s="149"/>
      <c r="C303" s="150" t="s">
        <v>122</v>
      </c>
      <c r="D303" s="151" t="s">
        <v>124</v>
      </c>
      <c r="E303" s="152" t="s">
        <v>126</v>
      </c>
      <c r="F303" s="148" t="s">
        <v>138</v>
      </c>
      <c r="G303" s="151" t="s">
        <v>124</v>
      </c>
      <c r="H303" s="151" t="s">
        <v>124</v>
      </c>
      <c r="I303" s="148" t="s">
        <v>130</v>
      </c>
      <c r="J303" s="148" t="s">
        <v>133</v>
      </c>
      <c r="K303" s="152" t="s">
        <v>135</v>
      </c>
    </row>
    <row r="304" spans="1:11" s="153" customFormat="1" ht="13.5" thickBot="1">
      <c r="A304" s="154" t="s">
        <v>119</v>
      </c>
      <c r="B304" s="155" t="s">
        <v>120</v>
      </c>
      <c r="C304" s="156" t="s">
        <v>123</v>
      </c>
      <c r="D304" s="157" t="s">
        <v>125</v>
      </c>
      <c r="E304" s="158" t="s">
        <v>127</v>
      </c>
      <c r="F304" s="154" t="s">
        <v>137</v>
      </c>
      <c r="G304" s="157" t="s">
        <v>125</v>
      </c>
      <c r="H304" s="157" t="s">
        <v>126</v>
      </c>
      <c r="I304" s="154" t="s">
        <v>131</v>
      </c>
      <c r="J304" s="154" t="s">
        <v>134</v>
      </c>
      <c r="K304" s="158" t="s">
        <v>123</v>
      </c>
    </row>
    <row r="305" spans="1:11" ht="12.75">
      <c r="A305" s="159">
        <v>2012</v>
      </c>
      <c r="B305" s="160">
        <v>41243</v>
      </c>
      <c r="C305" s="161" t="s">
        <v>220</v>
      </c>
      <c r="D305" s="162">
        <v>9605081.27</v>
      </c>
      <c r="E305" s="163">
        <v>1013246</v>
      </c>
      <c r="F305" s="863">
        <f>IF(E306&lt;&gt;0,-(E306-E305)/E306,"")</f>
        <v>-0.25665673582066667</v>
      </c>
      <c r="G305" s="164">
        <v>5524914</v>
      </c>
      <c r="H305" s="165">
        <v>617090</v>
      </c>
      <c r="I305" s="166">
        <v>0.61</v>
      </c>
      <c r="J305" s="206" t="s">
        <v>493</v>
      </c>
      <c r="K305" s="165">
        <v>255316</v>
      </c>
    </row>
    <row r="306" spans="1:11" ht="13.5" thickBot="1">
      <c r="A306" s="167">
        <v>2011</v>
      </c>
      <c r="B306" s="168">
        <v>40879</v>
      </c>
      <c r="C306" s="169" t="s">
        <v>186</v>
      </c>
      <c r="D306" s="170">
        <v>12091956.25</v>
      </c>
      <c r="E306" s="171">
        <v>1363093</v>
      </c>
      <c r="F306" s="864"/>
      <c r="G306" s="172">
        <v>8161131.75</v>
      </c>
      <c r="H306" s="173">
        <v>975996</v>
      </c>
      <c r="I306" s="174">
        <v>0.72</v>
      </c>
      <c r="J306" s="207" t="s">
        <v>77</v>
      </c>
      <c r="K306" s="173">
        <v>302449</v>
      </c>
    </row>
    <row r="307" ht="13.5" thickBot="1"/>
    <row r="308" spans="1:11" ht="12.75">
      <c r="A308" s="180">
        <v>2012</v>
      </c>
      <c r="B308" s="181">
        <v>41250</v>
      </c>
      <c r="C308" s="182" t="s">
        <v>547</v>
      </c>
      <c r="D308" s="183">
        <v>11502865.33</v>
      </c>
      <c r="E308" s="184">
        <v>1197175</v>
      </c>
      <c r="F308" s="865">
        <f>IF(E309&lt;&gt;0,-(E309-E308)/E309,"")</f>
        <v>0.08399016673985775</v>
      </c>
      <c r="G308" s="183">
        <v>7088152.15</v>
      </c>
      <c r="H308" s="184">
        <v>779234</v>
      </c>
      <c r="I308" s="185">
        <v>0.65</v>
      </c>
      <c r="J308" s="206" t="s">
        <v>536</v>
      </c>
      <c r="K308" s="184">
        <v>358781</v>
      </c>
    </row>
    <row r="309" spans="1:11" ht="13.5" thickBot="1">
      <c r="A309" s="167">
        <v>2011</v>
      </c>
      <c r="B309" s="168">
        <v>40886</v>
      </c>
      <c r="C309" s="169" t="s">
        <v>152</v>
      </c>
      <c r="D309" s="170">
        <v>9673076.75</v>
      </c>
      <c r="E309" s="173">
        <v>1104415</v>
      </c>
      <c r="F309" s="866"/>
      <c r="G309" s="170">
        <v>6536483.75</v>
      </c>
      <c r="H309" s="173">
        <v>795556</v>
      </c>
      <c r="I309" s="174">
        <v>0.72</v>
      </c>
      <c r="J309" s="207" t="s">
        <v>77</v>
      </c>
      <c r="K309" s="173">
        <v>222210</v>
      </c>
    </row>
    <row r="310" ht="13.5" thickBot="1"/>
    <row r="311" spans="1:11" ht="12.75">
      <c r="A311" s="180">
        <v>2012</v>
      </c>
      <c r="B311" s="181">
        <v>41257</v>
      </c>
      <c r="C311" s="182" t="s">
        <v>165</v>
      </c>
      <c r="D311" s="183">
        <v>11589401.02</v>
      </c>
      <c r="E311" s="184">
        <v>1143510</v>
      </c>
      <c r="F311" s="863">
        <f>IF(E312&lt;&gt;0,-(E312-E311)/E312,"")</f>
        <v>-0.17704971123225563</v>
      </c>
      <c r="G311" s="183">
        <v>4727331.92</v>
      </c>
      <c r="H311" s="184">
        <v>528748</v>
      </c>
      <c r="I311" s="185">
        <v>0.46</v>
      </c>
      <c r="J311" s="11" t="s">
        <v>548</v>
      </c>
      <c r="K311" s="184">
        <v>446975</v>
      </c>
    </row>
    <row r="312" spans="1:11" ht="13.5" thickBot="1">
      <c r="A312" s="167">
        <v>2011</v>
      </c>
      <c r="B312" s="168">
        <v>41259</v>
      </c>
      <c r="C312" s="169" t="s">
        <v>189</v>
      </c>
      <c r="D312" s="170">
        <v>12666569.5</v>
      </c>
      <c r="E312" s="173">
        <v>1389525</v>
      </c>
      <c r="F312" s="864"/>
      <c r="G312" s="170">
        <v>7214017.5</v>
      </c>
      <c r="H312" s="173">
        <v>834959</v>
      </c>
      <c r="I312" s="174">
        <v>0.6</v>
      </c>
      <c r="J312" s="207" t="s">
        <v>557</v>
      </c>
      <c r="K312" s="173">
        <v>351575</v>
      </c>
    </row>
    <row r="313" ht="13.5" thickBot="1"/>
    <row r="314" spans="1:11" ht="12.75">
      <c r="A314" s="180">
        <v>2012</v>
      </c>
      <c r="B314" s="181">
        <v>41264</v>
      </c>
      <c r="C314" s="182" t="s">
        <v>571</v>
      </c>
      <c r="D314" s="183">
        <v>9920076.89</v>
      </c>
      <c r="E314" s="184">
        <v>970064</v>
      </c>
      <c r="F314" s="865">
        <f>IF(E315&lt;&gt;0,-(E315-E314)/E315,"")</f>
        <v>-0.2676413189136138</v>
      </c>
      <c r="G314" s="183">
        <v>3834413.68</v>
      </c>
      <c r="H314" s="184">
        <v>432670</v>
      </c>
      <c r="I314" s="185">
        <v>0.45</v>
      </c>
      <c r="J314" s="11" t="s">
        <v>548</v>
      </c>
      <c r="K314" s="184">
        <v>291615</v>
      </c>
    </row>
    <row r="315" spans="1:19" ht="13.5" thickBot="1">
      <c r="A315" s="167">
        <v>2011</v>
      </c>
      <c r="B315" s="168">
        <v>41266</v>
      </c>
      <c r="C315" s="169" t="s">
        <v>433</v>
      </c>
      <c r="D315" s="170">
        <v>12242688.4</v>
      </c>
      <c r="E315" s="173">
        <v>1324575</v>
      </c>
      <c r="F315" s="866"/>
      <c r="G315" s="170">
        <v>6341979.4</v>
      </c>
      <c r="H315" s="173">
        <v>720635</v>
      </c>
      <c r="I315" s="174">
        <v>0.54</v>
      </c>
      <c r="J315" s="207" t="s">
        <v>557</v>
      </c>
      <c r="K315" s="173">
        <v>335042</v>
      </c>
      <c r="S315" s="11"/>
    </row>
    <row r="316" spans="1:19" s="228" customFormat="1" ht="13.5" thickBot="1">
      <c r="A316" s="221"/>
      <c r="B316" s="222"/>
      <c r="C316" s="223"/>
      <c r="D316" s="224"/>
      <c r="E316" s="225"/>
      <c r="F316" s="16"/>
      <c r="G316" s="224"/>
      <c r="H316" s="225"/>
      <c r="I316" s="226"/>
      <c r="J316" s="227"/>
      <c r="K316" s="225"/>
      <c r="S316" s="227"/>
    </row>
    <row r="317" spans="1:11" ht="12.75">
      <c r="A317" s="180">
        <v>2012</v>
      </c>
      <c r="B317" s="181">
        <v>41271</v>
      </c>
      <c r="C317" s="182" t="s">
        <v>221</v>
      </c>
      <c r="D317" s="183">
        <v>9373408.14</v>
      </c>
      <c r="E317" s="184">
        <v>877272</v>
      </c>
      <c r="F317" s="865" t="s">
        <v>590</v>
      </c>
      <c r="G317" s="183">
        <v>2766098.59</v>
      </c>
      <c r="H317" s="184">
        <v>309944</v>
      </c>
      <c r="I317" s="185">
        <v>0.35</v>
      </c>
      <c r="J317" s="11" t="s">
        <v>548</v>
      </c>
      <c r="K317" s="184">
        <v>180686</v>
      </c>
    </row>
    <row r="318" spans="1:19" ht="13.5" thickBot="1">
      <c r="A318" s="167"/>
      <c r="B318" s="168"/>
      <c r="C318" s="169"/>
      <c r="D318" s="170"/>
      <c r="E318" s="173"/>
      <c r="F318" s="874"/>
      <c r="G318" s="170"/>
      <c r="H318" s="173"/>
      <c r="I318" s="174"/>
      <c r="J318" s="207"/>
      <c r="K318" s="173"/>
      <c r="S318" s="11"/>
    </row>
    <row r="319" spans="1:11" ht="13.5" thickBot="1">
      <c r="A319" s="187"/>
      <c r="B319" s="188"/>
      <c r="C319" s="189"/>
      <c r="D319" s="190"/>
      <c r="E319" s="191"/>
      <c r="F319" s="191"/>
      <c r="G319" s="190"/>
      <c r="H319" s="191"/>
      <c r="I319" s="187"/>
      <c r="J319" s="192"/>
      <c r="K319" s="191"/>
    </row>
    <row r="320" spans="1:11" ht="12.75">
      <c r="A320" s="193">
        <v>2012</v>
      </c>
      <c r="B320" s="194" t="s">
        <v>523</v>
      </c>
      <c r="C320" s="195"/>
      <c r="D320" s="196">
        <f>D305+D308+D311+D314+D317</f>
        <v>51990832.650000006</v>
      </c>
      <c r="E320" s="197">
        <f>E305+E308+E311+E314+E317</f>
        <v>5201267</v>
      </c>
      <c r="F320" s="865">
        <f>IF(E321&lt;&gt;0,-(E321-E320)/E321,"")</f>
        <v>0.0037939959950656246</v>
      </c>
      <c r="G320" s="196">
        <f>G305+G308+G311+G314+G317</f>
        <v>23940910.34</v>
      </c>
      <c r="H320" s="197">
        <f>H305+H308+H311+H314+H317</f>
        <v>2667686</v>
      </c>
      <c r="I320" s="193"/>
      <c r="J320" s="198"/>
      <c r="K320" s="197"/>
    </row>
    <row r="321" spans="1:11" ht="13.5" thickBot="1">
      <c r="A321" s="199">
        <v>2011</v>
      </c>
      <c r="B321" s="200" t="s">
        <v>523</v>
      </c>
      <c r="C321" s="201"/>
      <c r="D321" s="202">
        <f>D306+D309+D312+D315+D318</f>
        <v>46674290.9</v>
      </c>
      <c r="E321" s="203">
        <f>E306+E309+E312+E315+E318</f>
        <v>5181608</v>
      </c>
      <c r="F321" s="866"/>
      <c r="G321" s="202">
        <f>G306+G309+G312+G315+G318</f>
        <v>28253612.4</v>
      </c>
      <c r="H321" s="203">
        <f>H306+H309+H312+H315+H318</f>
        <v>3327146</v>
      </c>
      <c r="I321" s="199"/>
      <c r="J321" s="204"/>
      <c r="K321" s="203"/>
    </row>
    <row r="322" spans="1:11" ht="13.5" thickBot="1">
      <c r="A322" s="187"/>
      <c r="B322" s="188"/>
      <c r="C322" s="205"/>
      <c r="D322" s="190"/>
      <c r="E322" s="191"/>
      <c r="F322" s="191"/>
      <c r="G322" s="190"/>
      <c r="H322" s="191"/>
      <c r="I322" s="187"/>
      <c r="J322" s="192"/>
      <c r="K322" s="191"/>
    </row>
    <row r="323" spans="1:11" ht="12.75">
      <c r="A323" s="209">
        <v>2012</v>
      </c>
      <c r="B323" s="210" t="s">
        <v>524</v>
      </c>
      <c r="C323" s="211"/>
      <c r="D323" s="212">
        <f>D298+D320</f>
        <v>421883398.22</v>
      </c>
      <c r="E323" s="213">
        <f>E298+E320</f>
        <v>43935763</v>
      </c>
      <c r="F323" s="863">
        <f>IF(E324&lt;&gt;0,-(E324-E323)/E324,"")</f>
        <v>0.03870735368866508</v>
      </c>
      <c r="G323" s="212">
        <f>G298+G320</f>
        <v>185331545.04</v>
      </c>
      <c r="H323" s="213">
        <f>H298+H320</f>
        <v>20487220</v>
      </c>
      <c r="I323" s="209"/>
      <c r="J323" s="214"/>
      <c r="K323" s="213"/>
    </row>
    <row r="324" spans="1:11" ht="13.5" thickBot="1">
      <c r="A324" s="215">
        <v>2011</v>
      </c>
      <c r="B324" s="216" t="s">
        <v>524</v>
      </c>
      <c r="C324" s="217"/>
      <c r="D324" s="218">
        <f>D299+D321</f>
        <v>398362999.99999994</v>
      </c>
      <c r="E324" s="219">
        <f>E299+E321</f>
        <v>42298500</v>
      </c>
      <c r="F324" s="864"/>
      <c r="G324" s="218">
        <f>G299+G321</f>
        <v>183694163.8</v>
      </c>
      <c r="H324" s="219">
        <f>H299+H321</f>
        <v>21222541</v>
      </c>
      <c r="I324" s="215"/>
      <c r="J324" s="220"/>
      <c r="K324" s="219"/>
    </row>
    <row r="325" spans="1:11" s="228" customFormat="1" ht="12.75">
      <c r="A325" s="229"/>
      <c r="B325" s="230"/>
      <c r="C325" s="231"/>
      <c r="D325" s="232"/>
      <c r="E325" s="233"/>
      <c r="F325" s="19"/>
      <c r="G325" s="234"/>
      <c r="H325" s="233"/>
      <c r="I325" s="229"/>
      <c r="J325" s="235"/>
      <c r="K325" s="236"/>
    </row>
  </sheetData>
  <sheetProtection/>
  <mergeCells count="52">
    <mergeCell ref="F323:F324"/>
    <mergeCell ref="A301:K301"/>
    <mergeCell ref="F305:F306"/>
    <mergeCell ref="F308:F309"/>
    <mergeCell ref="F311:F312"/>
    <mergeCell ref="F269:F270"/>
    <mergeCell ref="F320:F321"/>
    <mergeCell ref="F295:F296"/>
    <mergeCell ref="F317:F318"/>
    <mergeCell ref="F298:F299"/>
    <mergeCell ref="F263:F264"/>
    <mergeCell ref="F291:F292"/>
    <mergeCell ref="F314:F315"/>
    <mergeCell ref="F282:F283"/>
    <mergeCell ref="F238:F239"/>
    <mergeCell ref="F266:F267"/>
    <mergeCell ref="A253:K253"/>
    <mergeCell ref="F257:F258"/>
    <mergeCell ref="F260:F261"/>
    <mergeCell ref="F247:F248"/>
    <mergeCell ref="F133:F134"/>
    <mergeCell ref="F105:F106"/>
    <mergeCell ref="F109:F110"/>
    <mergeCell ref="F73:F74"/>
    <mergeCell ref="F77:F78"/>
    <mergeCell ref="A113:K113"/>
    <mergeCell ref="A202:K202"/>
    <mergeCell ref="F137:F138"/>
    <mergeCell ref="A141:K141"/>
    <mergeCell ref="F222:F223"/>
    <mergeCell ref="F226:F227"/>
    <mergeCell ref="F165:F166"/>
    <mergeCell ref="F194:F195"/>
    <mergeCell ref="F198:F199"/>
    <mergeCell ref="F161:F162"/>
    <mergeCell ref="F288:F289"/>
    <mergeCell ref="A278:K278"/>
    <mergeCell ref="F241:F242"/>
    <mergeCell ref="F272:F273"/>
    <mergeCell ref="F275:F276"/>
    <mergeCell ref="A170:K170"/>
    <mergeCell ref="F285:F286"/>
    <mergeCell ref="F244:F245"/>
    <mergeCell ref="A230:K230"/>
    <mergeCell ref="F250:F251"/>
    <mergeCell ref="A1:K1"/>
    <mergeCell ref="A29:K29"/>
    <mergeCell ref="F21:F22"/>
    <mergeCell ref="F49:F50"/>
    <mergeCell ref="A53:K53"/>
    <mergeCell ref="A81:K81"/>
    <mergeCell ref="F25:F26"/>
  </mergeCells>
  <printOptions/>
  <pageMargins left="0.7" right="0.7" top="0.75" bottom="0.75" header="0.3" footer="0.3"/>
  <pageSetup horizontalDpi="600" verticalDpi="600" orientation="portrait" paperSize="9" r:id="rId1"/>
  <ignoredErrors>
    <ignoredError sqref="C129:C132 C145:C147 C149:C151 C153:C155 C157:C159 C182:C184 C186:C188 C190:C192 C206:C208 C210:C212 C214:C216 C218:C220 C234:C236 C238:C239 C241:C242 C244:C245 C257:C258 C260:C261 C263:C264 C266:C267 C269:C270 C282:C283 C285:C286 C288:C289 C291:C292 C305:C306 C308:C309 C311:C312 C314:C315 C317 C5 C7:C23 C33:C48 C57:C72 C85:C103 C125:C127 C121:C123 C117:C119 F117 C120:J120 D119:J119 C124:I124 D123:J123 C128:J128 D127:J127 I117 D118:E118 G118:J118 D122:E122 G122:J122 D126:E126 G126:J126 C174:C177 C179:C180 C178:E178 C181:E181 D179:E180" numberStoredAsText="1"/>
    <ignoredError sqref="H199 H19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2013-07-22T16:08:47Z</cp:lastPrinted>
  <dcterms:created xsi:type="dcterms:W3CDTF">2006-03-15T09:07:04Z</dcterms:created>
  <dcterms:modified xsi:type="dcterms:W3CDTF">2013-09-06T16:47:14Z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