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615" windowWidth="24855" windowHeight="5715" tabRatio="925" activeTab="0"/>
  </bookViews>
  <sheets>
    <sheet name="11-17-05.2012 (week)" sheetId="1" r:id="rId1"/>
    <sheet name="Weekend (TOP 20)" sheetId="2" r:id="rId2"/>
    <sheet name="Week (TOP 20)" sheetId="3" r:id="rId3"/>
    <sheet name="Ex Years' in 2012" sheetId="4" r:id="rId4"/>
    <sheet name="2012 filmleri (ALL)" sheetId="5" r:id="rId5"/>
    <sheet name="Türkiye Yapımları 2012" sheetId="6" r:id="rId6"/>
    <sheet name="Görünüm" sheetId="7" r:id="rId7"/>
    <sheet name="Dağıtımcı ligi" sheetId="8" r:id="rId8"/>
  </sheets>
  <definedNames>
    <definedName name="_xlnm.Print_Area" localSheetId="0">'11-17-05.2012 (week)'!$A$1:$AP$289</definedName>
  </definedNames>
  <calcPr fullCalcOnLoad="1"/>
</workbook>
</file>

<file path=xl/comments8.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47" authorId="0">
      <text>
        <r>
          <rPr>
            <b/>
            <sz val="9"/>
            <rFont val="Tahoma"/>
            <family val="2"/>
          </rPr>
          <t>DY:</t>
        </r>
        <r>
          <rPr>
            <sz val="9"/>
            <rFont val="Tahoma"/>
            <family val="2"/>
          </rPr>
          <t xml:space="preserve">
O hafta sinemalara türk filmi programlayan şirket her belirtilen film başına 0,75 puan alır</t>
        </r>
      </text>
    </comment>
    <comment ref="F147" authorId="0">
      <text>
        <r>
          <rPr>
            <b/>
            <sz val="9"/>
            <rFont val="Tahoma"/>
            <family val="2"/>
          </rPr>
          <t>DY:</t>
        </r>
        <r>
          <rPr>
            <sz val="9"/>
            <rFont val="Tahoma"/>
            <family val="2"/>
          </rPr>
          <t xml:space="preserve">
O hafta sinemalara yabancı filmi programlayan şirket her film belirtilen başına 0,25 puan alır</t>
        </r>
      </text>
    </comment>
    <comment ref="G147" authorId="0">
      <text>
        <r>
          <rPr>
            <b/>
            <sz val="9"/>
            <rFont val="Tahoma"/>
            <family val="2"/>
          </rPr>
          <t>DY:</t>
        </r>
        <r>
          <rPr>
            <sz val="9"/>
            <rFont val="Tahoma"/>
            <family val="2"/>
          </rPr>
          <t xml:space="preserve">
O hafta sinemalara bir türk filmini ilk kez programlayan şirket her belirtilen film başına 3 puan alır</t>
        </r>
      </text>
    </comment>
    <comment ref="H147" authorId="0">
      <text>
        <r>
          <rPr>
            <b/>
            <sz val="9"/>
            <rFont val="Tahoma"/>
            <family val="2"/>
          </rPr>
          <t>DY:</t>
        </r>
        <r>
          <rPr>
            <sz val="9"/>
            <rFont val="Tahoma"/>
            <family val="2"/>
          </rPr>
          <t xml:space="preserve">
O hafta sinemalara bir yabancı filmi ilk kez programlayan şirket her belirtilen film başına 2 puan alır</t>
        </r>
      </text>
    </comment>
    <comment ref="I147" authorId="0">
      <text>
        <r>
          <rPr>
            <b/>
            <sz val="9"/>
            <rFont val="Tahoma"/>
            <family val="2"/>
          </rPr>
          <t>DY:</t>
        </r>
        <r>
          <rPr>
            <sz val="9"/>
            <rFont val="Tahoma"/>
            <family val="2"/>
          </rPr>
          <t xml:space="preserve">
O hafta sinemalara en fazla film programlayan şirketlere 0,75 puan verilir</t>
        </r>
      </text>
    </comment>
    <comment ref="J14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4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4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4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4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4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4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4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4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4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4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2" authorId="0">
      <text>
        <r>
          <rPr>
            <b/>
            <sz val="9"/>
            <rFont val="Tahoma"/>
            <family val="2"/>
          </rPr>
          <t>DY:</t>
        </r>
        <r>
          <rPr>
            <sz val="9"/>
            <rFont val="Tahoma"/>
            <family val="2"/>
          </rPr>
          <t xml:space="preserve">
O hafta sinemalara türk filmi programlayan şirket her belirtilen film başına 0,75 puan alır</t>
        </r>
      </text>
    </comment>
    <comment ref="F162" authorId="0">
      <text>
        <r>
          <rPr>
            <b/>
            <sz val="9"/>
            <rFont val="Tahoma"/>
            <family val="2"/>
          </rPr>
          <t>DY:</t>
        </r>
        <r>
          <rPr>
            <sz val="9"/>
            <rFont val="Tahoma"/>
            <family val="2"/>
          </rPr>
          <t xml:space="preserve">
O hafta sinemalara yabancı filmi programlayan şirket her film belirtilen başına 0,25 puan alır</t>
        </r>
      </text>
    </comment>
    <comment ref="G162" authorId="0">
      <text>
        <r>
          <rPr>
            <b/>
            <sz val="9"/>
            <rFont val="Tahoma"/>
            <family val="2"/>
          </rPr>
          <t>DY:</t>
        </r>
        <r>
          <rPr>
            <sz val="9"/>
            <rFont val="Tahoma"/>
            <family val="2"/>
          </rPr>
          <t xml:space="preserve">
O hafta sinemalara bir türk filmini ilk kez programlayan şirket her belirtilen film başına 3 puan alır</t>
        </r>
      </text>
    </comment>
    <comment ref="H162" authorId="0">
      <text>
        <r>
          <rPr>
            <b/>
            <sz val="9"/>
            <rFont val="Tahoma"/>
            <family val="2"/>
          </rPr>
          <t>DY:</t>
        </r>
        <r>
          <rPr>
            <sz val="9"/>
            <rFont val="Tahoma"/>
            <family val="2"/>
          </rPr>
          <t xml:space="preserve">
O hafta sinemalara bir yabancı filmi ilk kez programlayan şirket her belirtilen film başına 2 puan alır</t>
        </r>
      </text>
    </comment>
    <comment ref="I162" authorId="0">
      <text>
        <r>
          <rPr>
            <b/>
            <sz val="9"/>
            <rFont val="Tahoma"/>
            <family val="2"/>
          </rPr>
          <t>DY:</t>
        </r>
        <r>
          <rPr>
            <sz val="9"/>
            <rFont val="Tahoma"/>
            <family val="2"/>
          </rPr>
          <t xml:space="preserve">
O hafta sinemalara en fazla film programlayan şirketlere 0,75 puan verilir</t>
        </r>
      </text>
    </comment>
    <comment ref="J16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78" authorId="0">
      <text>
        <r>
          <rPr>
            <b/>
            <sz val="9"/>
            <rFont val="Tahoma"/>
            <family val="2"/>
          </rPr>
          <t>DY:</t>
        </r>
        <r>
          <rPr>
            <sz val="9"/>
            <rFont val="Tahoma"/>
            <family val="2"/>
          </rPr>
          <t xml:space="preserve">
O hafta sinemalara türk filmi programlayan şirket her belirtilen film başına 0,75 puan alır</t>
        </r>
      </text>
    </comment>
    <comment ref="F178" authorId="0">
      <text>
        <r>
          <rPr>
            <b/>
            <sz val="9"/>
            <rFont val="Tahoma"/>
            <family val="2"/>
          </rPr>
          <t>DY:</t>
        </r>
        <r>
          <rPr>
            <sz val="9"/>
            <rFont val="Tahoma"/>
            <family val="2"/>
          </rPr>
          <t xml:space="preserve">
O hafta sinemalara yabancı filmi programlayan şirket her film belirtilen başına 0,25 puan alır</t>
        </r>
      </text>
    </comment>
    <comment ref="G178" authorId="0">
      <text>
        <r>
          <rPr>
            <b/>
            <sz val="9"/>
            <rFont val="Tahoma"/>
            <family val="2"/>
          </rPr>
          <t>DY:</t>
        </r>
        <r>
          <rPr>
            <sz val="9"/>
            <rFont val="Tahoma"/>
            <family val="2"/>
          </rPr>
          <t xml:space="preserve">
O hafta sinemalara bir türk filmini ilk kez programlayan şirket her belirtilen film başına 3 puan alır</t>
        </r>
      </text>
    </comment>
    <comment ref="H178" authorId="0">
      <text>
        <r>
          <rPr>
            <b/>
            <sz val="9"/>
            <rFont val="Tahoma"/>
            <family val="2"/>
          </rPr>
          <t>DY:</t>
        </r>
        <r>
          <rPr>
            <sz val="9"/>
            <rFont val="Tahoma"/>
            <family val="2"/>
          </rPr>
          <t xml:space="preserve">
O hafta sinemalara bir yabancı filmi ilk kez programlayan şirket her belirtilen film başına 2 puan alır</t>
        </r>
      </text>
    </comment>
    <comment ref="I178" authorId="0">
      <text>
        <r>
          <rPr>
            <b/>
            <sz val="9"/>
            <rFont val="Tahoma"/>
            <family val="2"/>
          </rPr>
          <t>DY:</t>
        </r>
        <r>
          <rPr>
            <sz val="9"/>
            <rFont val="Tahoma"/>
            <family val="2"/>
          </rPr>
          <t xml:space="preserve">
O hafta sinemalara en fazla film programlayan şirketlere 0,75 puan verilir</t>
        </r>
      </text>
    </comment>
    <comment ref="J17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7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7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7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7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7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7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7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7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7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7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94" authorId="0">
      <text>
        <r>
          <rPr>
            <b/>
            <sz val="9"/>
            <rFont val="Tahoma"/>
            <family val="2"/>
          </rPr>
          <t>DY:</t>
        </r>
        <r>
          <rPr>
            <sz val="9"/>
            <rFont val="Tahoma"/>
            <family val="2"/>
          </rPr>
          <t xml:space="preserve">
O hafta sinemalara türk filmi programlayan şirket her belirtilen film başına 0,75 puan alır</t>
        </r>
      </text>
    </comment>
    <comment ref="F194" authorId="0">
      <text>
        <r>
          <rPr>
            <b/>
            <sz val="9"/>
            <rFont val="Tahoma"/>
            <family val="2"/>
          </rPr>
          <t>DY:</t>
        </r>
        <r>
          <rPr>
            <sz val="9"/>
            <rFont val="Tahoma"/>
            <family val="2"/>
          </rPr>
          <t xml:space="preserve">
O hafta sinemalara yabancı filmi programlayan şirket her film belirtilen başına 0,25 puan alır</t>
        </r>
      </text>
    </comment>
    <comment ref="G194" authorId="0">
      <text>
        <r>
          <rPr>
            <b/>
            <sz val="9"/>
            <rFont val="Tahoma"/>
            <family val="2"/>
          </rPr>
          <t>DY:</t>
        </r>
        <r>
          <rPr>
            <sz val="9"/>
            <rFont val="Tahoma"/>
            <family val="2"/>
          </rPr>
          <t xml:space="preserve">
O hafta sinemalara bir türk filmini ilk kez programlayan şirket her belirtilen film başına 3 puan alır</t>
        </r>
      </text>
    </comment>
    <comment ref="H194" authorId="0">
      <text>
        <r>
          <rPr>
            <b/>
            <sz val="9"/>
            <rFont val="Tahoma"/>
            <family val="2"/>
          </rPr>
          <t>DY:</t>
        </r>
        <r>
          <rPr>
            <sz val="9"/>
            <rFont val="Tahoma"/>
            <family val="2"/>
          </rPr>
          <t xml:space="preserve">
O hafta sinemalara bir yabancı filmi ilk kez programlayan şirket her belirtilen film başına 2 puan alır</t>
        </r>
      </text>
    </comment>
    <comment ref="I194" authorId="0">
      <text>
        <r>
          <rPr>
            <b/>
            <sz val="9"/>
            <rFont val="Tahoma"/>
            <family val="2"/>
          </rPr>
          <t>DY:</t>
        </r>
        <r>
          <rPr>
            <sz val="9"/>
            <rFont val="Tahoma"/>
            <family val="2"/>
          </rPr>
          <t xml:space="preserve">
O hafta sinemalara en fazla film programlayan şirketlere 0,75 puan verilir</t>
        </r>
      </text>
    </comment>
    <comment ref="J19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9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9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9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9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9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9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9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9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9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9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10" authorId="0">
      <text>
        <r>
          <rPr>
            <b/>
            <sz val="9"/>
            <rFont val="Tahoma"/>
            <family val="2"/>
          </rPr>
          <t>DY:</t>
        </r>
        <r>
          <rPr>
            <sz val="9"/>
            <rFont val="Tahoma"/>
            <family val="2"/>
          </rPr>
          <t xml:space="preserve">
O hafta sinemalara türk filmi programlayan şirket her belirtilen film başına 0,75 puan alır</t>
        </r>
      </text>
    </comment>
    <comment ref="F210" authorId="0">
      <text>
        <r>
          <rPr>
            <b/>
            <sz val="9"/>
            <rFont val="Tahoma"/>
            <family val="2"/>
          </rPr>
          <t>DY:</t>
        </r>
        <r>
          <rPr>
            <sz val="9"/>
            <rFont val="Tahoma"/>
            <family val="2"/>
          </rPr>
          <t xml:space="preserve">
O hafta sinemalara yabancı filmi programlayan şirket her film belirtilen başına 0,25 puan alır</t>
        </r>
      </text>
    </comment>
    <comment ref="G210" authorId="0">
      <text>
        <r>
          <rPr>
            <b/>
            <sz val="9"/>
            <rFont val="Tahoma"/>
            <family val="2"/>
          </rPr>
          <t>DY:</t>
        </r>
        <r>
          <rPr>
            <sz val="9"/>
            <rFont val="Tahoma"/>
            <family val="2"/>
          </rPr>
          <t xml:space="preserve">
O hafta sinemalara bir türk filmini ilk kez programlayan şirket her belirtilen film başına 3 puan alır</t>
        </r>
      </text>
    </comment>
    <comment ref="H210" authorId="0">
      <text>
        <r>
          <rPr>
            <b/>
            <sz val="9"/>
            <rFont val="Tahoma"/>
            <family val="2"/>
          </rPr>
          <t>DY:</t>
        </r>
        <r>
          <rPr>
            <sz val="9"/>
            <rFont val="Tahoma"/>
            <family val="2"/>
          </rPr>
          <t xml:space="preserve">
O hafta sinemalara bir yabancı filmi ilk kez programlayan şirket her belirtilen film başına 2 puan alır</t>
        </r>
      </text>
    </comment>
    <comment ref="I210" authorId="0">
      <text>
        <r>
          <rPr>
            <b/>
            <sz val="9"/>
            <rFont val="Tahoma"/>
            <family val="2"/>
          </rPr>
          <t>DY:</t>
        </r>
        <r>
          <rPr>
            <sz val="9"/>
            <rFont val="Tahoma"/>
            <family val="2"/>
          </rPr>
          <t xml:space="preserve">
O hafta sinemalara en fazla film programlayan şirketlere 0,75 puan verilir</t>
        </r>
      </text>
    </comment>
    <comment ref="J210"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10"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10"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10"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10"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10"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10"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10"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10"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10"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10"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26" authorId="0">
      <text>
        <r>
          <rPr>
            <b/>
            <sz val="9"/>
            <rFont val="Tahoma"/>
            <family val="2"/>
          </rPr>
          <t>DY:</t>
        </r>
        <r>
          <rPr>
            <sz val="9"/>
            <rFont val="Tahoma"/>
            <family val="2"/>
          </rPr>
          <t xml:space="preserve">
O hafta sinemalara türk filmi programlayan şirket her belirtilen film başına 0,75 puan alır</t>
        </r>
      </text>
    </comment>
    <comment ref="F226" authorId="0">
      <text>
        <r>
          <rPr>
            <b/>
            <sz val="9"/>
            <rFont val="Tahoma"/>
            <family val="2"/>
          </rPr>
          <t>DY:</t>
        </r>
        <r>
          <rPr>
            <sz val="9"/>
            <rFont val="Tahoma"/>
            <family val="2"/>
          </rPr>
          <t xml:space="preserve">
O hafta sinemalara yabancı filmi programlayan şirket her film belirtilen başına 0,25 puan alır</t>
        </r>
      </text>
    </comment>
    <comment ref="G226" authorId="0">
      <text>
        <r>
          <rPr>
            <b/>
            <sz val="9"/>
            <rFont val="Tahoma"/>
            <family val="2"/>
          </rPr>
          <t>DY:</t>
        </r>
        <r>
          <rPr>
            <sz val="9"/>
            <rFont val="Tahoma"/>
            <family val="2"/>
          </rPr>
          <t xml:space="preserve">
O hafta sinemalara bir türk filmini ilk kez programlayan şirket her belirtilen film başına 3 puan alır</t>
        </r>
      </text>
    </comment>
    <comment ref="H226" authorId="0">
      <text>
        <r>
          <rPr>
            <b/>
            <sz val="9"/>
            <rFont val="Tahoma"/>
            <family val="2"/>
          </rPr>
          <t>DY:</t>
        </r>
        <r>
          <rPr>
            <sz val="9"/>
            <rFont val="Tahoma"/>
            <family val="2"/>
          </rPr>
          <t xml:space="preserve">
O hafta sinemalara bir yabancı filmi ilk kez programlayan şirket her belirtilen film başına 2 puan alır</t>
        </r>
      </text>
    </comment>
    <comment ref="I226" authorId="0">
      <text>
        <r>
          <rPr>
            <b/>
            <sz val="9"/>
            <rFont val="Tahoma"/>
            <family val="2"/>
          </rPr>
          <t>DY:</t>
        </r>
        <r>
          <rPr>
            <sz val="9"/>
            <rFont val="Tahoma"/>
            <family val="2"/>
          </rPr>
          <t xml:space="preserve">
O hafta sinemalara en fazla film programlayan şirketlere 0,75 puan verilir</t>
        </r>
      </text>
    </comment>
    <comment ref="J22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2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2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2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2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2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2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2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2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2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2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2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2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42" authorId="0">
      <text>
        <r>
          <rPr>
            <b/>
            <sz val="9"/>
            <rFont val="Tahoma"/>
            <family val="2"/>
          </rPr>
          <t>DY:</t>
        </r>
        <r>
          <rPr>
            <sz val="9"/>
            <rFont val="Tahoma"/>
            <family val="2"/>
          </rPr>
          <t xml:space="preserve">
O hafta sinemalara türk filmi programlayan şirket her belirtilen film başına 0,75 puan alır</t>
        </r>
      </text>
    </comment>
    <comment ref="F242" authorId="0">
      <text>
        <r>
          <rPr>
            <b/>
            <sz val="9"/>
            <rFont val="Tahoma"/>
            <family val="2"/>
          </rPr>
          <t>DY:</t>
        </r>
        <r>
          <rPr>
            <sz val="9"/>
            <rFont val="Tahoma"/>
            <family val="2"/>
          </rPr>
          <t xml:space="preserve">
O hafta sinemalara yabancı filmi programlayan şirket her film belirtilen başına 0,25 puan alır</t>
        </r>
      </text>
    </comment>
    <comment ref="G242" authorId="0">
      <text>
        <r>
          <rPr>
            <b/>
            <sz val="9"/>
            <rFont val="Tahoma"/>
            <family val="2"/>
          </rPr>
          <t>DY:</t>
        </r>
        <r>
          <rPr>
            <sz val="9"/>
            <rFont val="Tahoma"/>
            <family val="2"/>
          </rPr>
          <t xml:space="preserve">
O hafta sinemalara bir türk filmini ilk kez programlayan şirket her belirtilen film başına 3 puan alır</t>
        </r>
      </text>
    </comment>
    <comment ref="H242" authorId="0">
      <text>
        <r>
          <rPr>
            <b/>
            <sz val="9"/>
            <rFont val="Tahoma"/>
            <family val="2"/>
          </rPr>
          <t>DY:</t>
        </r>
        <r>
          <rPr>
            <sz val="9"/>
            <rFont val="Tahoma"/>
            <family val="2"/>
          </rPr>
          <t xml:space="preserve">
O hafta sinemalara bir yabancı filmi ilk kez programlayan şirket her belirtilen film başına 2 puan alır</t>
        </r>
      </text>
    </comment>
    <comment ref="I242" authorId="0">
      <text>
        <r>
          <rPr>
            <b/>
            <sz val="9"/>
            <rFont val="Tahoma"/>
            <family val="2"/>
          </rPr>
          <t>DY:</t>
        </r>
        <r>
          <rPr>
            <sz val="9"/>
            <rFont val="Tahoma"/>
            <family val="2"/>
          </rPr>
          <t xml:space="preserve">
O hafta sinemalara en fazla film programlayan şirketlere 0,75 puan verilir</t>
        </r>
      </text>
    </comment>
    <comment ref="J24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4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4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4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4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4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4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4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4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4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4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4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4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58" authorId="0">
      <text>
        <r>
          <rPr>
            <b/>
            <sz val="9"/>
            <rFont val="Tahoma"/>
            <family val="2"/>
          </rPr>
          <t>DY:</t>
        </r>
        <r>
          <rPr>
            <sz val="9"/>
            <rFont val="Tahoma"/>
            <family val="2"/>
          </rPr>
          <t xml:space="preserve">
O hafta sinemalara türk filmi programlayan şirket her belirtilen film başına 0,75 puan alır</t>
        </r>
      </text>
    </comment>
    <comment ref="F258" authorId="0">
      <text>
        <r>
          <rPr>
            <b/>
            <sz val="9"/>
            <rFont val="Tahoma"/>
            <family val="2"/>
          </rPr>
          <t>DY:</t>
        </r>
        <r>
          <rPr>
            <sz val="9"/>
            <rFont val="Tahoma"/>
            <family val="2"/>
          </rPr>
          <t xml:space="preserve">
O hafta sinemalara yabancı filmi programlayan şirket her film belirtilen başına 0,25 puan alır</t>
        </r>
      </text>
    </comment>
    <comment ref="G258" authorId="0">
      <text>
        <r>
          <rPr>
            <b/>
            <sz val="9"/>
            <rFont val="Tahoma"/>
            <family val="2"/>
          </rPr>
          <t>DY:</t>
        </r>
        <r>
          <rPr>
            <sz val="9"/>
            <rFont val="Tahoma"/>
            <family val="2"/>
          </rPr>
          <t xml:space="preserve">
O hafta sinemalara bir türk filmini ilk kez programlayan şirket her belirtilen film başına 3 puan alır</t>
        </r>
      </text>
    </comment>
    <comment ref="H258" authorId="0">
      <text>
        <r>
          <rPr>
            <b/>
            <sz val="9"/>
            <rFont val="Tahoma"/>
            <family val="2"/>
          </rPr>
          <t>DY:</t>
        </r>
        <r>
          <rPr>
            <sz val="9"/>
            <rFont val="Tahoma"/>
            <family val="2"/>
          </rPr>
          <t xml:space="preserve">
O hafta sinemalara bir yabancı filmi ilk kez programlayan şirket her belirtilen film başına 2 puan alır</t>
        </r>
      </text>
    </comment>
    <comment ref="I258" authorId="0">
      <text>
        <r>
          <rPr>
            <b/>
            <sz val="9"/>
            <rFont val="Tahoma"/>
            <family val="2"/>
          </rPr>
          <t>DY:</t>
        </r>
        <r>
          <rPr>
            <sz val="9"/>
            <rFont val="Tahoma"/>
            <family val="2"/>
          </rPr>
          <t xml:space="preserve">
O hafta sinemalara en fazla film programlayan şirketlere 0,75 puan verilir</t>
        </r>
      </text>
    </comment>
    <comment ref="J25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5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5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5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5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5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5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5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5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5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5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5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5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74" authorId="0">
      <text>
        <r>
          <rPr>
            <b/>
            <sz val="9"/>
            <rFont val="Tahoma"/>
            <family val="2"/>
          </rPr>
          <t>DY:</t>
        </r>
        <r>
          <rPr>
            <sz val="9"/>
            <rFont val="Tahoma"/>
            <family val="2"/>
          </rPr>
          <t xml:space="preserve">
O hafta sinemalara türk filmi programlayan şirket her belirtilen film başına 0,75 puan alır</t>
        </r>
      </text>
    </comment>
    <comment ref="F274" authorId="0">
      <text>
        <r>
          <rPr>
            <b/>
            <sz val="9"/>
            <rFont val="Tahoma"/>
            <family val="2"/>
          </rPr>
          <t>DY:</t>
        </r>
        <r>
          <rPr>
            <sz val="9"/>
            <rFont val="Tahoma"/>
            <family val="2"/>
          </rPr>
          <t xml:space="preserve">
O hafta sinemalara yabancı filmi programlayan şirket her film belirtilen başına 0,25 puan alır</t>
        </r>
      </text>
    </comment>
    <comment ref="G274" authorId="0">
      <text>
        <r>
          <rPr>
            <b/>
            <sz val="9"/>
            <rFont val="Tahoma"/>
            <family val="2"/>
          </rPr>
          <t>DY:</t>
        </r>
        <r>
          <rPr>
            <sz val="9"/>
            <rFont val="Tahoma"/>
            <family val="2"/>
          </rPr>
          <t xml:space="preserve">
O hafta sinemalara bir türk filmini ilk kez programlayan şirket her belirtilen film başına 3 puan alır</t>
        </r>
      </text>
    </comment>
    <comment ref="H274" authorId="0">
      <text>
        <r>
          <rPr>
            <b/>
            <sz val="9"/>
            <rFont val="Tahoma"/>
            <family val="2"/>
          </rPr>
          <t>DY:</t>
        </r>
        <r>
          <rPr>
            <sz val="9"/>
            <rFont val="Tahoma"/>
            <family val="2"/>
          </rPr>
          <t xml:space="preserve">
O hafta sinemalara bir yabancı filmi ilk kez programlayan şirket her belirtilen film başına 2 puan alır</t>
        </r>
      </text>
    </comment>
    <comment ref="I274" authorId="0">
      <text>
        <r>
          <rPr>
            <b/>
            <sz val="9"/>
            <rFont val="Tahoma"/>
            <family val="2"/>
          </rPr>
          <t>DY:</t>
        </r>
        <r>
          <rPr>
            <sz val="9"/>
            <rFont val="Tahoma"/>
            <family val="2"/>
          </rPr>
          <t xml:space="preserve">
O hafta sinemalara en fazla film programlayan şirketlere 0,75 puan verilir</t>
        </r>
      </text>
    </comment>
    <comment ref="J27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7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7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7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7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7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7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7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7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7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7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7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7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1" authorId="0">
      <text>
        <r>
          <rPr>
            <b/>
            <sz val="9"/>
            <rFont val="Tahoma"/>
            <family val="2"/>
          </rPr>
          <t>DY:</t>
        </r>
        <r>
          <rPr>
            <sz val="9"/>
            <rFont val="Tahoma"/>
            <family val="2"/>
          </rPr>
          <t xml:space="preserve">
O hafta sinemalara türk filmi programlayan şirket her belirtilen film başına 0,75 puan alır</t>
        </r>
      </text>
    </comment>
    <comment ref="F291" authorId="0">
      <text>
        <r>
          <rPr>
            <b/>
            <sz val="9"/>
            <rFont val="Tahoma"/>
            <family val="2"/>
          </rPr>
          <t>DY:</t>
        </r>
        <r>
          <rPr>
            <sz val="9"/>
            <rFont val="Tahoma"/>
            <family val="2"/>
          </rPr>
          <t xml:space="preserve">
O hafta sinemalara yabancı filmi programlayan şirket her film belirtilen başına 0,25 puan alır</t>
        </r>
      </text>
    </comment>
    <comment ref="G291" authorId="0">
      <text>
        <r>
          <rPr>
            <b/>
            <sz val="9"/>
            <rFont val="Tahoma"/>
            <family val="2"/>
          </rPr>
          <t>DY:</t>
        </r>
        <r>
          <rPr>
            <sz val="9"/>
            <rFont val="Tahoma"/>
            <family val="2"/>
          </rPr>
          <t xml:space="preserve">
O hafta sinemalara bir türk filmini ilk kez programlayan şirket her belirtilen film başına 3 puan alır</t>
        </r>
      </text>
    </comment>
    <comment ref="H291" authorId="0">
      <text>
        <r>
          <rPr>
            <b/>
            <sz val="9"/>
            <rFont val="Tahoma"/>
            <family val="2"/>
          </rPr>
          <t>DY:</t>
        </r>
        <r>
          <rPr>
            <sz val="9"/>
            <rFont val="Tahoma"/>
            <family val="2"/>
          </rPr>
          <t xml:space="preserve">
O hafta sinemalara bir yabancı filmi ilk kez programlayan şirket her belirtilen film başına 2 puan alır</t>
        </r>
      </text>
    </comment>
    <comment ref="I291" authorId="0">
      <text>
        <r>
          <rPr>
            <b/>
            <sz val="9"/>
            <rFont val="Tahoma"/>
            <family val="2"/>
          </rPr>
          <t>DY:</t>
        </r>
        <r>
          <rPr>
            <sz val="9"/>
            <rFont val="Tahoma"/>
            <family val="2"/>
          </rPr>
          <t xml:space="preserve">
O hafta sinemalara en fazla film programlayan şirketlere 0,75 puan verilir</t>
        </r>
      </text>
    </comment>
    <comment ref="J291"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1"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1"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1"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1"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1"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1"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1"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1"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1"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1"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1"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1"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308" authorId="0">
      <text>
        <r>
          <rPr>
            <b/>
            <sz val="9"/>
            <rFont val="Tahoma"/>
            <family val="2"/>
          </rPr>
          <t>DY:</t>
        </r>
        <r>
          <rPr>
            <sz val="9"/>
            <rFont val="Tahoma"/>
            <family val="2"/>
          </rPr>
          <t xml:space="preserve">
O hafta sinemalara türk filmi programlayan şirket her belirtilen film başına 0,75 puan alır</t>
        </r>
      </text>
    </comment>
    <comment ref="F308" authorId="0">
      <text>
        <r>
          <rPr>
            <b/>
            <sz val="9"/>
            <rFont val="Tahoma"/>
            <family val="2"/>
          </rPr>
          <t>DY:</t>
        </r>
        <r>
          <rPr>
            <sz val="9"/>
            <rFont val="Tahoma"/>
            <family val="2"/>
          </rPr>
          <t xml:space="preserve">
O hafta sinemalara yabancı filmi programlayan şirket her film belirtilen başına 0,25 puan alır</t>
        </r>
      </text>
    </comment>
    <comment ref="G308" authorId="0">
      <text>
        <r>
          <rPr>
            <b/>
            <sz val="9"/>
            <rFont val="Tahoma"/>
            <family val="2"/>
          </rPr>
          <t>DY:</t>
        </r>
        <r>
          <rPr>
            <sz val="9"/>
            <rFont val="Tahoma"/>
            <family val="2"/>
          </rPr>
          <t xml:space="preserve">
O hafta sinemalara bir türk filmini ilk kez programlayan şirket her belirtilen film başına 3 puan alır</t>
        </r>
      </text>
    </comment>
    <comment ref="H308" authorId="0">
      <text>
        <r>
          <rPr>
            <b/>
            <sz val="9"/>
            <rFont val="Tahoma"/>
            <family val="2"/>
          </rPr>
          <t>DY:</t>
        </r>
        <r>
          <rPr>
            <sz val="9"/>
            <rFont val="Tahoma"/>
            <family val="2"/>
          </rPr>
          <t xml:space="preserve">
O hafta sinemalara bir yabancı filmi ilk kez programlayan şirket her belirtilen film başına 2 puan alır</t>
        </r>
      </text>
    </comment>
    <comment ref="I308" authorId="0">
      <text>
        <r>
          <rPr>
            <b/>
            <sz val="9"/>
            <rFont val="Tahoma"/>
            <family val="2"/>
          </rPr>
          <t>DY:</t>
        </r>
        <r>
          <rPr>
            <sz val="9"/>
            <rFont val="Tahoma"/>
            <family val="2"/>
          </rPr>
          <t xml:space="preserve">
O hafta sinemalara en fazla film programlayan şirketlere 0,75 puan verilir</t>
        </r>
      </text>
    </comment>
    <comment ref="J30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0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0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0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0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0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0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0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0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0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0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0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0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<sst xmlns="http://schemas.openxmlformats.org/spreadsheetml/2006/main" count="6772" uniqueCount="938">
  <si>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</si>
  <si>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</si>
  <si>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</si>
  <si>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</si>
  <si>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</si>
  <si>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</si>
  <si>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</si>
  <si>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</si>
  <si>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</si>
  <si>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</si>
  <si>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</si>
  <si>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</si>
  <si>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</si>
  <si>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</si>
  <si>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</si>
  <si>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</si>
  <si>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</si>
  <si>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</si>
  <si>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</si>
  <si>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</si>
  <si>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</si>
  <si>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</si>
  <si>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</si>
  <si>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</si>
  <si>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</si>
  <si>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</si>
  <si>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</si>
  <si>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</si>
  <si>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</si>
  <si>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</si>
  <si>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</si>
  <si>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</si>
  <si>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</si>
  <si>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</si>
  <si>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</si>
  <si>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</si>
  <si>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</si>
  <si>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</si>
  <si>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</si>
  <si>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</si>
  <si>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</si>
  <si>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</si>
  <si>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</si>
  <si>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</si>
  <si>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</si>
  <si>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</si>
  <si>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</si>
  <si>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</si>
  <si>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</si>
  <si>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</si>
  <si>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</si>
  <si>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</si>
  <si>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</si>
  <si>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</si>
  <si>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</si>
  <si>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</si>
  <si>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</si>
  <si>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</si>
  <si>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</si>
  <si>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</si>
  <si>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</si>
  <si>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</si>
  <si>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</si>
  <si>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</si>
  <si>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</si>
  <si>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</si>
  <si>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</si>
  <si>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</si>
  <si>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</si>
  <si>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</si>
  <si>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</si>
  <si>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</si>
  <si>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</si>
  <si>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</si>
  <si>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</si>
  <si>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</si>
  <si>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</si>
  <si>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</si>
  <si>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</si>
  <si>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</si>
  <si>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</si>
  <si>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</si>
  <si>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</si>
  <si>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</si>
  <si>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</si>
  <si>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</si>
  <si>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</si>
  <si>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</si>
  <si>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Tiglon</t>
  </si>
  <si>
    <t>Paramount</t>
  </si>
  <si>
    <t>Walt Disney</t>
  </si>
  <si>
    <t>UIP Türkiye</t>
  </si>
  <si>
    <t>Warner Bros. Türkiye</t>
  </si>
  <si>
    <t>Import</t>
  </si>
  <si>
    <t>Medyavizyon</t>
  </si>
  <si>
    <t>A DANGEROUS METHOD</t>
  </si>
  <si>
    <t>TEHLİKELİ İLİŞKİ</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</si>
  <si>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</si>
  <si>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</si>
  <si>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</si>
  <si>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</si>
  <si>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</si>
  <si>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</si>
  <si>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</si>
  <si>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</si>
  <si>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</si>
  <si>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</si>
  <si>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</si>
  <si>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</si>
  <si>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</si>
  <si>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</si>
  <si>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</si>
  <si>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KAZANMA SANATI</t>
  </si>
  <si>
    <t>AY BÜYÜRKEN UYUYAMAM</t>
  </si>
  <si>
    <t>CINE FILM</t>
  </si>
  <si>
    <t>MG Production</t>
  </si>
  <si>
    <t>Galata Film</t>
  </si>
  <si>
    <t>Tmc  Film</t>
  </si>
  <si>
    <t>Fox</t>
  </si>
  <si>
    <t>Kuzey Film</t>
  </si>
  <si>
    <t>Bir Film</t>
  </si>
  <si>
    <t>Studio Canal</t>
  </si>
  <si>
    <t>ACI TATLI TESADÜFLER</t>
  </si>
  <si>
    <t>LET ME IN</t>
  </si>
  <si>
    <t>ALMANYA'YA HOŞGELDİNİZ</t>
  </si>
  <si>
    <t>WILLKOMMEN IN DEUTSCHLAND</t>
  </si>
  <si>
    <t>GİR KANIMA</t>
  </si>
  <si>
    <t>CARNAGE</t>
  </si>
  <si>
    <t>Özen Film</t>
  </si>
  <si>
    <t>ACIMASIZ TANRI</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</si>
  <si>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</si>
  <si>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</si>
  <si>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</si>
  <si>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</si>
  <si>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</si>
  <si>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</si>
  <si>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</si>
  <si>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</si>
  <si>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</si>
  <si>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</si>
  <si>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</si>
  <si>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</si>
  <si>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</si>
  <si>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</si>
  <si>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</si>
  <si>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</si>
  <si>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</si>
  <si>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</si>
  <si>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</si>
  <si>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</si>
  <si>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</si>
  <si>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</si>
  <si>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</si>
  <si>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AŞKIN FORMÜLÜ YOK</t>
  </si>
  <si>
    <t>THE HOLE 3D</t>
  </si>
  <si>
    <t>THE DEVIL'S DOUBLE</t>
  </si>
  <si>
    <t>MAHZEN</t>
  </si>
  <si>
    <t>ŞEYTANIN İKİZİ</t>
  </si>
  <si>
    <t>CELAL TAN VE AİLESİNİN ACIKLI HİKAYESİ</t>
  </si>
  <si>
    <t>THE STORY OF LEO</t>
  </si>
  <si>
    <t xml:space="preserve">CATCHER: CAT CITY 2 </t>
  </si>
  <si>
    <t>HORRID HENRY</t>
  </si>
  <si>
    <t>ASLAN KRAL'IN OĞLU LEO</t>
  </si>
  <si>
    <t>KEDİLER ŞEHRİ</t>
  </si>
  <si>
    <t>FELAKET HENRY</t>
  </si>
  <si>
    <t>SİHİRLİ OYUNCAKLAR</t>
  </si>
  <si>
    <t>ÖLÜMSÜZLER: TANRILARIN SAVAŞI</t>
  </si>
  <si>
    <t>Goldcrest Post Production</t>
  </si>
  <si>
    <t>Eflatun Film</t>
  </si>
  <si>
    <t xml:space="preserve">Pinema </t>
  </si>
  <si>
    <t>RED STATE</t>
  </si>
  <si>
    <t>İÇİNDE YAŞADIĞIM DERİ</t>
  </si>
  <si>
    <t>ŞEYTANIN İNİ</t>
  </si>
  <si>
    <t>ABDUCTION</t>
  </si>
  <si>
    <t>REAL STEEL</t>
  </si>
  <si>
    <t>RANGO</t>
  </si>
  <si>
    <t>WINNIE THE POOH</t>
  </si>
  <si>
    <t>THE IDES OF MARCH</t>
  </si>
  <si>
    <t>ÇELİK YUMRUKLAR</t>
  </si>
  <si>
    <t>CONAN</t>
  </si>
  <si>
    <t>KAÇIŞ</t>
  </si>
  <si>
    <t>ZİRVEYE GİDEN YOL</t>
  </si>
  <si>
    <t>D Productions</t>
  </si>
  <si>
    <t>Gotham Group</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</si>
  <si>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</si>
  <si>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</si>
  <si>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</si>
  <si>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</si>
  <si>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</si>
  <si>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</si>
  <si>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</si>
  <si>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</si>
  <si>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</si>
  <si>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</si>
  <si>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</si>
  <si>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</si>
  <si>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</si>
  <si>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</si>
  <si>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</si>
  <si>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</si>
  <si>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</si>
  <si>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</si>
  <si>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</si>
  <si>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</si>
  <si>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</si>
  <si>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</si>
  <si>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</si>
  <si>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</si>
  <si>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</si>
  <si>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</si>
  <si>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</si>
  <si>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</si>
  <si>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</si>
  <si>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</si>
  <si>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</si>
  <si>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</si>
  <si>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</si>
  <si>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MADE IN DAGENHAM - WE WANT SEX</t>
  </si>
  <si>
    <t>DE HELAASHEID DER DINGEN - THE MISFORTUNATES</t>
  </si>
  <si>
    <t>GOETHE</t>
  </si>
  <si>
    <t>GOETHE'NİN İLK AŞKI</t>
  </si>
  <si>
    <t>TAMBIEN LA ILUVIA - EVEN THE RAIN</t>
  </si>
  <si>
    <t>JOAEIYE NADER AZ SIMIN - A SEPARATION</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</si>
  <si>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</si>
  <si>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</si>
  <si>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</si>
  <si>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</si>
  <si>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</si>
  <si>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</si>
  <si>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</si>
  <si>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</si>
  <si>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</si>
  <si>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</si>
  <si>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</si>
  <si>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</si>
  <si>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</si>
  <si>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</si>
  <si>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DUBLAJLI FİLMLER</t>
  </si>
  <si>
    <t>BU HAFTA İLK KEZ GÖSTERİLENLER</t>
  </si>
  <si>
    <t>Etiketler</t>
  </si>
  <si>
    <t>Posts</t>
  </si>
  <si>
    <t>SAKLI RUH</t>
  </si>
  <si>
    <t>HIDDEN 3D</t>
  </si>
  <si>
    <t>Hokus Fokus</t>
  </si>
  <si>
    <t>Zeyno Film</t>
  </si>
  <si>
    <t>SON GECE</t>
  </si>
  <si>
    <t>ÜÇ SİLAHŞÖRLER</t>
  </si>
  <si>
    <t>KATİLİN YÜZÜ</t>
  </si>
  <si>
    <t>ALFA VE OMEGA: EVE DÖNÜŞ MACERASI</t>
  </si>
  <si>
    <t>ONE DAY</t>
  </si>
  <si>
    <t>S</t>
  </si>
  <si>
    <t>DEVAM VE SERİ FİLMLER</t>
  </si>
  <si>
    <t>Etiketlerin açıklamaları</t>
  </si>
  <si>
    <t>BİR GÜN</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</si>
  <si>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</si>
  <si>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</si>
  <si>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</si>
  <si>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</si>
  <si>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</si>
  <si>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</si>
  <si>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</si>
  <si>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</si>
  <si>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</si>
  <si>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</si>
  <si>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</si>
  <si>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</si>
  <si>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</si>
  <si>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</si>
  <si>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</si>
  <si>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</si>
  <si>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</si>
  <si>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</si>
  <si>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</si>
  <si>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</si>
  <si>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</si>
  <si>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</si>
  <si>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</si>
  <si>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</si>
  <si>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</si>
  <si>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</si>
  <si>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</si>
  <si>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</si>
  <si>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</si>
  <si>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</si>
  <si>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</si>
  <si>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</si>
  <si>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</si>
  <si>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</si>
  <si>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</si>
  <si>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</si>
  <si>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</si>
  <si>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</si>
  <si>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</si>
  <si>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</si>
  <si>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</si>
  <si>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</si>
  <si>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</si>
  <si>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</si>
  <si>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</si>
  <si>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</si>
  <si>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</si>
  <si>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</si>
  <si>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</si>
  <si>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</si>
  <si>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</si>
  <si>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</si>
  <si>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</si>
  <si>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</si>
  <si>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</si>
  <si>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</si>
  <si>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</si>
  <si>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</si>
  <si>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</si>
  <si>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</si>
  <si>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</si>
  <si>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</si>
  <si>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</si>
  <si>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</si>
  <si>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</si>
  <si>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</si>
  <si>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</si>
  <si>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Zuzi Film</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</si>
  <si>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</si>
  <si>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</si>
  <si>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</si>
  <si>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</si>
  <si>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</si>
  <si>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</si>
  <si>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</si>
  <si>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</si>
  <si>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</si>
  <si>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</si>
  <si>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</si>
  <si>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</si>
  <si>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</si>
  <si>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</si>
  <si>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</si>
  <si>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</si>
  <si>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</si>
  <si>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</si>
  <si>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</si>
  <si>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</si>
  <si>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</si>
  <si>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</si>
  <si>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</si>
  <si>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</si>
  <si>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</si>
  <si>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DEMİR LEYDİ</t>
  </si>
  <si>
    <t>Film 4</t>
  </si>
  <si>
    <t>KAYBEDENLER KULÜBÜ</t>
  </si>
  <si>
    <t>JANE EYRE</t>
  </si>
  <si>
    <t>GULLIVER'S TRAVEL</t>
  </si>
  <si>
    <t>DREI - THREE - 3</t>
  </si>
  <si>
    <t>ÜÇ</t>
  </si>
  <si>
    <t>GULLIVER'İN GEZİLERİ</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</si>
  <si>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</si>
  <si>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</si>
  <si>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</si>
  <si>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</si>
  <si>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</si>
  <si>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</si>
  <si>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</si>
  <si>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</si>
  <si>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</si>
  <si>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</si>
  <si>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</si>
  <si>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</si>
  <si>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</si>
  <si>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</si>
  <si>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</si>
  <si>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</si>
  <si>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</si>
  <si>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HAFTALIK</t>
  </si>
  <si>
    <t>FİLMİN ADI</t>
  </si>
  <si>
    <t>TRANSFORMERS 3: DARK OF THE MOON</t>
  </si>
  <si>
    <t>İÇİMDEKİ ŞEYTAN</t>
  </si>
  <si>
    <t>WEE BOUGHT A ZOO</t>
  </si>
  <si>
    <t>DÜŞLER BAHÇESİ</t>
  </si>
  <si>
    <t>TRANSFORMERS: AY'IN KARANLIK YÜZÜ</t>
  </si>
  <si>
    <t>HAPPY FEET TWO</t>
  </si>
  <si>
    <t>NEŞELİ AYAKLAR 2</t>
  </si>
  <si>
    <t>THE DEVIL INSIDE</t>
  </si>
  <si>
    <t>THE MIDNIGHT IN PARIS</t>
  </si>
  <si>
    <t>PARİS'TE GECEYARISI</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</si>
  <si>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</si>
  <si>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</si>
  <si>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</si>
  <si>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</si>
  <si>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</si>
  <si>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</si>
  <si>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</si>
  <si>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</si>
  <si>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</si>
  <si>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</si>
  <si>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</si>
  <si>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AŞKIN BÜYÜSÜ</t>
  </si>
  <si>
    <t>BABAMIN PENGUENLERİ</t>
  </si>
  <si>
    <t>NİKO: YILDIZLARA YOLCULUK</t>
  </si>
  <si>
    <t>CÜCELER DEVLERE KARŞI: GİZLİ ODA</t>
  </si>
  <si>
    <t>BUZ DEVRİ: DİNOZORLARIN ŞAFAĞI</t>
  </si>
  <si>
    <t>AŞKIN SESSİZLİĞİ</t>
  </si>
  <si>
    <t>İSTANBUL</t>
  </si>
  <si>
    <t>20th Century</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</si>
  <si>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</si>
  <si>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</si>
  <si>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</si>
  <si>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</si>
  <si>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</si>
  <si>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</si>
  <si>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</si>
  <si>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</si>
  <si>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</si>
  <si>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</si>
  <si>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</si>
  <si>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</si>
  <si>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</si>
  <si>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</si>
  <si>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</si>
  <si>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</si>
  <si>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</si>
  <si>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</si>
  <si>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</si>
  <si>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</si>
  <si>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</si>
  <si>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</si>
  <si>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</si>
  <si>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</si>
  <si>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</si>
  <si>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</si>
  <si>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</si>
  <si>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</si>
  <si>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</si>
  <si>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</si>
  <si>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</si>
  <si>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</si>
  <si>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</si>
  <si>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</si>
  <si>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</si>
  <si>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</si>
  <si>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</si>
  <si>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</si>
  <si>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</si>
  <si>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</si>
  <si>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</si>
  <si>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</si>
  <si>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</si>
  <si>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</si>
  <si>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</si>
  <si>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</si>
  <si>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</si>
  <si>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</si>
  <si>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</si>
  <si>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</si>
  <si>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</si>
  <si>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</si>
  <si>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</si>
  <si>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</si>
  <si>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</si>
  <si>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</si>
  <si>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</si>
  <si>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</si>
  <si>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</si>
  <si>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</si>
  <si>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</si>
  <si>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</si>
  <si>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</si>
  <si>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</si>
  <si>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65</t>
  </si>
  <si>
    <t>67</t>
  </si>
  <si>
    <t>71</t>
  </si>
  <si>
    <t>THE CHRONICLES OF NARNIA: THE VOVAYE OF THE DAWN TREADER</t>
  </si>
  <si>
    <t>NİZAM EREN İLETİŞİM</t>
  </si>
  <si>
    <t>CAPTAN AMERICA: THE FIRST AVENGER</t>
  </si>
  <si>
    <t>İLK YENİLMEZ: KAPTAN AMERİKA</t>
  </si>
  <si>
    <t>BİZİM BÜYÜK ÇARESİZLİĞİMİZ</t>
  </si>
  <si>
    <t>Bulut Film</t>
  </si>
  <si>
    <t>SOMEWHERE</t>
  </si>
  <si>
    <t>BAŞKA BİR YERDE</t>
  </si>
  <si>
    <t>KARANLIKTAN KORKMA</t>
  </si>
  <si>
    <t>DON'T BE AFRAID OF THE DARK</t>
  </si>
  <si>
    <t>HOODWINKED TOO! HOOD VS. EVIL</t>
  </si>
  <si>
    <t>KIRMIZI BAŞLIKLI KIZ KÖTÜLERE KARŞI</t>
  </si>
  <si>
    <t>THE ARTIST</t>
  </si>
  <si>
    <t>ARTİST</t>
  </si>
  <si>
    <t>BERLİN KAPLANI</t>
  </si>
  <si>
    <t>84</t>
  </si>
  <si>
    <t>OCAK</t>
  </si>
  <si>
    <t>İNCİR REÇELİ</t>
  </si>
  <si>
    <t>AA Film</t>
  </si>
  <si>
    <t>KURTLAR VADİSİ FİLİSTİN</t>
  </si>
  <si>
    <t>SHAME</t>
  </si>
  <si>
    <t>WE NEED TALK ABOUT KEVIN</t>
  </si>
  <si>
    <t>GÜZEL GÜNLER GÖRECEĞİZ</t>
  </si>
  <si>
    <t>WAR HORSE</t>
  </si>
  <si>
    <t>Disney</t>
  </si>
  <si>
    <t>SAVAŞ ATI</t>
  </si>
  <si>
    <t>UNDERWORLD: AWAKENING</t>
  </si>
  <si>
    <t>UTANÇ</t>
  </si>
  <si>
    <t>KEVIN HAKKINDA KONUŞMALIYIZ</t>
  </si>
  <si>
    <t>Onaltıdokuz</t>
  </si>
  <si>
    <t xml:space="preserve">Ladybirds </t>
  </si>
  <si>
    <t>Screen Games</t>
  </si>
  <si>
    <t>KARANLIKLAR ÜLKESİ: UYANIŞ</t>
  </si>
  <si>
    <t>ÜNYE DE FATSA ARASI</t>
  </si>
  <si>
    <t>Esra Alkan</t>
  </si>
  <si>
    <t>NIGHT AT MUSEUM: BATTLE OF THE SMITHSONIAN</t>
  </si>
  <si>
    <t>MÜZEDE BİR GECE 2</t>
  </si>
  <si>
    <t>ZEFİR</t>
  </si>
  <si>
    <t>Filmik</t>
  </si>
  <si>
    <t>EŞRUHUMUN EŞZAMANI</t>
  </si>
  <si>
    <t>AŞK TESADÜFLERİ SEVER</t>
  </si>
  <si>
    <t>KÖSTEBEK</t>
  </si>
  <si>
    <t>TINKER TAILOR SOLDIER SPY</t>
  </si>
  <si>
    <t>DRIVE</t>
  </si>
  <si>
    <t>SÜRÜCÜ</t>
  </si>
  <si>
    <t>MY WEEK WITH MARILY</t>
  </si>
  <si>
    <t>SAFE HOUSE</t>
  </si>
  <si>
    <t>THE HELP</t>
  </si>
  <si>
    <t>DÜŞMANINI KORURKEN</t>
  </si>
  <si>
    <t>DUYGULARIN RENGİ</t>
  </si>
  <si>
    <t>Intrepid Pictures</t>
  </si>
  <si>
    <t>MARILYN İLE BİR HAFTA</t>
  </si>
  <si>
    <t>JACK AND JILL</t>
  </si>
  <si>
    <t>JACK VE JILL</t>
  </si>
  <si>
    <t>YILDIZ SAVAŞLARI: BÖLÜM 1 - GİZLİ TEHLİKE</t>
  </si>
  <si>
    <t>STAR WARS: EPISODE I - THE PHANTOM MENACE</t>
  </si>
  <si>
    <t>ŞUBAT</t>
  </si>
  <si>
    <t>NEVER LET ME GO</t>
  </si>
  <si>
    <t>MICROPHONE</t>
  </si>
  <si>
    <t>LET THE RIGHT ONE IN</t>
  </si>
  <si>
    <t>OPEN SEASON 3</t>
  </si>
  <si>
    <t>WIN WIN</t>
  </si>
  <si>
    <t>PRESS</t>
  </si>
  <si>
    <t>BENİ ASLA BIRAKMA</t>
  </si>
  <si>
    <t>ÇILGIN DOSTLAR 3</t>
  </si>
  <si>
    <t>KAZANANLAR KLÜBÜ</t>
  </si>
  <si>
    <t>Karıncalar Yapım</t>
  </si>
  <si>
    <t>MİKROFON</t>
  </si>
  <si>
    <t>THE MUPPETS</t>
  </si>
  <si>
    <t>MUPPETS</t>
  </si>
  <si>
    <t>FETİH 1453</t>
  </si>
  <si>
    <t>Aksoy Film</t>
  </si>
  <si>
    <t>GHOST RIDER: THE SPIRIT OF VENGEANCE</t>
  </si>
  <si>
    <t>HAYALET SÜRÜCÜ 2</t>
  </si>
  <si>
    <t>72. KOĞUŞ</t>
  </si>
  <si>
    <t>THE GOLDEN COMPASS</t>
  </si>
  <si>
    <t>BAŞKA DİLDE AŞK</t>
  </si>
  <si>
    <t>Prr Prodüksiyon</t>
  </si>
  <si>
    <t>Sasin</t>
  </si>
  <si>
    <t>Altın Pusula</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</si>
  <si>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</si>
  <si>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</si>
  <si>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</si>
  <si>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</si>
  <si>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</si>
  <si>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</si>
  <si>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</si>
  <si>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</si>
  <si>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</si>
  <si>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</si>
  <si>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KILLER ELITE</t>
  </si>
  <si>
    <t>SEÇKİN TETİKÇİLER</t>
  </si>
  <si>
    <t>ALTIN PUSULA</t>
  </si>
  <si>
    <t>HUGO</t>
  </si>
  <si>
    <t>HUGO CABRET</t>
  </si>
  <si>
    <t>THE DESCENDANTS</t>
  </si>
  <si>
    <t>SENDEN BANA KALAN</t>
  </si>
  <si>
    <t>THE NEXT THREE DAYS</t>
  </si>
  <si>
    <t>KAÇIŞ PLANI</t>
  </si>
  <si>
    <t>THE EAGLE</t>
  </si>
  <si>
    <t>DEVRİMDEN SONRA</t>
  </si>
  <si>
    <t>ORLA FROSNAPPER - FREDDIE FROGFACE</t>
  </si>
  <si>
    <t>AFACAN VE KURBAĞA SURAT</t>
  </si>
  <si>
    <t>KARTAL</t>
  </si>
  <si>
    <t>Nazım Hikmet K. M.</t>
  </si>
  <si>
    <t>YA SONRA</t>
  </si>
  <si>
    <t>278</t>
  </si>
  <si>
    <t>216</t>
  </si>
  <si>
    <t>Posta Film</t>
  </si>
  <si>
    <t>ASTERİKS VE OBURİKS: GÖREVİMİZ KLEOPATRA</t>
  </si>
  <si>
    <t>ASTERIX &amp; OBELIX: MISSION CLEOPATRA</t>
  </si>
  <si>
    <t>THIS MEANS WAR</t>
  </si>
  <si>
    <t>İYİ OLAN KAZANSIN</t>
  </si>
  <si>
    <t>SEN KİMSİN?</t>
  </si>
  <si>
    <t>J. EDGAR</t>
  </si>
  <si>
    <t>MART</t>
  </si>
  <si>
    <t>I AM LOVE</t>
  </si>
  <si>
    <t>BENİM ADIM AŞK</t>
  </si>
  <si>
    <t>THE STONING OF SORAYA M.</t>
  </si>
  <si>
    <t>SORAYA'YI TAŞLAMAK</t>
  </si>
  <si>
    <t>PANDORANIN KUTUSU</t>
  </si>
  <si>
    <t>SAKLI HAYATLAR</t>
  </si>
  <si>
    <t>ANOTHER YEAR</t>
  </si>
  <si>
    <t>ÖMRÜMÜZDEN BİR SENE</t>
  </si>
  <si>
    <t>JOURNEY 2: THE MEYSTERIOUS ISLAND</t>
  </si>
  <si>
    <t>GİZEMLİ ADAYA YOLCULUK</t>
  </si>
  <si>
    <t>Koliba</t>
  </si>
  <si>
    <t>TÜRKAN</t>
  </si>
  <si>
    <t>ELVEDA İLK AŞK</t>
  </si>
  <si>
    <t>SENİNKİ KAÇ PARA?</t>
  </si>
  <si>
    <t>THE WOMAN IN BLACK</t>
  </si>
  <si>
    <t>SİYAHLI KADIN</t>
  </si>
  <si>
    <t>DGB Medya</t>
  </si>
  <si>
    <t>MAX MACERALARI: KRALIN DOĞUŞU</t>
  </si>
  <si>
    <t>PADDLE POP ADVENTURES - MAX BEGINS</t>
  </si>
  <si>
    <t>TEKSAS ÖLÜM TARLALARI</t>
  </si>
  <si>
    <t>JOHN CARTER</t>
  </si>
  <si>
    <t>JOHN CARTER İKİ DÜNYA ARASINDA</t>
  </si>
  <si>
    <t>UN AMOUR DE JEUNESSE - GOODBYE FIRST LOVE</t>
  </si>
  <si>
    <t>ÇINAR AĞACI</t>
  </si>
  <si>
    <t>Yeni Yapım</t>
  </si>
  <si>
    <t>TEXAS KILLING FIELDS</t>
  </si>
  <si>
    <t>KOLPAÇİNO BOMBA</t>
  </si>
  <si>
    <t>3 AY</t>
  </si>
  <si>
    <t>LE SKYLAB</t>
  </si>
  <si>
    <t>GÖKTEN BİR UYDU DÜŞTÜ</t>
  </si>
  <si>
    <t>SÜPERTÜRK</t>
  </si>
  <si>
    <t>İz Prodüksiyon</t>
  </si>
  <si>
    <t>PATLAK SOKAKLAR: GERZOMAT</t>
  </si>
  <si>
    <t>AŞKIM BENİM</t>
  </si>
  <si>
    <t>BEL AMI</t>
  </si>
  <si>
    <t>Ans</t>
  </si>
  <si>
    <t>UMUT SANAT</t>
  </si>
  <si>
    <t>OLDEUBOI - OLDBOY</t>
  </si>
  <si>
    <t>İHTİYAR DELİKANLI</t>
  </si>
  <si>
    <t>DIARIOS DE MOTOCICLETA - THE MOTORCYCLE DIARIES</t>
  </si>
  <si>
    <t>CONTRABAND</t>
  </si>
  <si>
    <t>SON VURGUN</t>
  </si>
  <si>
    <t>TAKE SHELTER</t>
  </si>
  <si>
    <t>SIĞINAK</t>
  </si>
  <si>
    <t>ÖLÜMCÜL ÇÖZÜM</t>
  </si>
  <si>
    <t>LE COUPERET - THE AX</t>
  </si>
  <si>
    <t>MOTOSİKLET GÜNLÜĞÜ</t>
  </si>
  <si>
    <t>GELİBOLU</t>
  </si>
  <si>
    <t>UNSTOPPABLE</t>
  </si>
  <si>
    <t>DIARY OF A WIMPY KID</t>
  </si>
  <si>
    <t>DURDURULAMAZ</t>
  </si>
  <si>
    <t>SAFTİRİK GREG'İN GÜNLÜĞÜ</t>
  </si>
  <si>
    <t>HWANGHAE - THE YELLOW SEA</t>
  </si>
  <si>
    <t>ÖLÜM DENİZİ</t>
  </si>
  <si>
    <t>THE GREY</t>
  </si>
  <si>
    <t>GRİ KURT</t>
  </si>
  <si>
    <t>EL YAZISI</t>
  </si>
  <si>
    <t>Terminal</t>
  </si>
  <si>
    <t>NENE HATUN</t>
  </si>
  <si>
    <t>NEN HATUN</t>
  </si>
  <si>
    <t>Kat Prodüksiyon</t>
  </si>
  <si>
    <t>APOLLO 18</t>
  </si>
  <si>
    <t>BİR SES BÖLER GECEYİ</t>
  </si>
  <si>
    <t>AÇLIK OYUNLARI</t>
  </si>
  <si>
    <t>Şaman Film</t>
  </si>
  <si>
    <t>THE HUNGER GAMES</t>
  </si>
  <si>
    <t>THE CONSPIRATOR</t>
  </si>
  <si>
    <t>12 ROUNDS</t>
  </si>
  <si>
    <t>SUİKAST</t>
  </si>
  <si>
    <t>12 TUZAK</t>
  </si>
  <si>
    <t>64</t>
  </si>
  <si>
    <t>66</t>
  </si>
  <si>
    <t>68</t>
  </si>
  <si>
    <t>69</t>
  </si>
  <si>
    <t>HÜR ADAM</t>
  </si>
  <si>
    <t>Feza Film</t>
  </si>
  <si>
    <t>50/50</t>
  </si>
  <si>
    <t>MIRROR MIRROR</t>
  </si>
  <si>
    <t>ŞANSA BAK</t>
  </si>
  <si>
    <t>PAMUK PRENSES'İN MACERALARI</t>
  </si>
  <si>
    <t>BLUE VALANTINE</t>
  </si>
  <si>
    <t>AŞK VE KÜLLER</t>
  </si>
  <si>
    <t>KAOS: ÖRÜMCEK AĞI</t>
  </si>
  <si>
    <t>BIG MIRACLE</t>
  </si>
  <si>
    <t>BÜYÜK MUCİZE</t>
  </si>
  <si>
    <t>WRATH OF THE TITANS</t>
  </si>
  <si>
    <t>TİTANLARIN ÖFKESİ</t>
  </si>
  <si>
    <t>NİSAN</t>
  </si>
  <si>
    <t>IRREVERSIBLE</t>
  </si>
  <si>
    <t>DÖNÜŞ YOK</t>
  </si>
  <si>
    <t>KARANLIKTA DANS</t>
  </si>
  <si>
    <t>AMELIE</t>
  </si>
  <si>
    <t>DANCER IN THE DARK</t>
  </si>
  <si>
    <t>LE FABULEUX DESTIN D'AMELIE POULAIN</t>
  </si>
  <si>
    <t>70</t>
  </si>
  <si>
    <t>72</t>
  </si>
  <si>
    <t>76</t>
  </si>
  <si>
    <t>77</t>
  </si>
  <si>
    <t>78</t>
  </si>
  <si>
    <t>MEVSİM ÇİÇEK AÇTI</t>
  </si>
  <si>
    <t>YALINAYAK</t>
  </si>
  <si>
    <t>AMERICAN REUNION</t>
  </si>
  <si>
    <t>AMERİKAN PASTASI: BULUŞMA</t>
  </si>
  <si>
    <t>ÜLKÜCÜLER</t>
  </si>
  <si>
    <t>SİYAH TÜRK</t>
  </si>
  <si>
    <t>TİTANİK 3D</t>
  </si>
  <si>
    <t>TITANIC 3D</t>
  </si>
  <si>
    <t>MAGNIFICA PRESENZA</t>
  </si>
  <si>
    <t>ŞAHANE MİSAFİR</t>
  </si>
  <si>
    <t>RİO</t>
  </si>
  <si>
    <t>OĞUL</t>
  </si>
  <si>
    <t>AŞKIN HALLERİ</t>
  </si>
  <si>
    <t>LE NOM DES GENS - THE NAMES OF LOVE</t>
  </si>
  <si>
    <t>Maya</t>
  </si>
  <si>
    <t>COPACABANA</t>
  </si>
  <si>
    <t>INCENDIES</t>
  </si>
  <si>
    <t>ASLI GİBİDİR</t>
  </si>
  <si>
    <t>MK2</t>
  </si>
  <si>
    <t>COPIE CONFORME</t>
  </si>
  <si>
    <t>Avenue</t>
  </si>
  <si>
    <t>DÜĞÜN HEDİYESİ</t>
  </si>
  <si>
    <t>İÇİMDEKİ YANGIN</t>
  </si>
  <si>
    <t>81</t>
  </si>
  <si>
    <t>Week Total</t>
  </si>
  <si>
    <t>DR.SEUSS' THE LORAX</t>
  </si>
  <si>
    <t>DR. SEUSS LORAX</t>
  </si>
  <si>
    <t>CHRONICLE</t>
  </si>
  <si>
    <t>DOĞAÜSTÜ</t>
  </si>
  <si>
    <t>THE VOW</t>
  </si>
  <si>
    <t>AŞK YEMİNİ</t>
  </si>
  <si>
    <t>ÇARPRAZ ATEŞ</t>
  </si>
  <si>
    <t>YERALTI</t>
  </si>
  <si>
    <t>THE HOWLING REBORN</t>
  </si>
  <si>
    <t>YENİDEN DOĞUŞ</t>
  </si>
  <si>
    <t>HIGHWIRE</t>
  </si>
  <si>
    <t>LISSI UND DER WILDE KAISER</t>
  </si>
  <si>
    <t>PRENSES LISSI VE KAR ADAMI YETİ</t>
  </si>
  <si>
    <t>TANRILAR VE İNSANLAR</t>
  </si>
  <si>
    <t>DES HOMMES ET DES DIEUX- OF GODS AND MEN</t>
  </si>
  <si>
    <t>4 AY</t>
  </si>
  <si>
    <t>MEZARINA TÜKÜRECEĞİM</t>
  </si>
  <si>
    <t>MAR</t>
  </si>
  <si>
    <t>I SPIT ON YOUR GRAVE</t>
  </si>
  <si>
    <t>BATTLESHIP</t>
  </si>
  <si>
    <t>THE PIRATES! BAND OF MISFITS</t>
  </si>
  <si>
    <t>KORSANLAR!</t>
  </si>
  <si>
    <t>THE OUTBACK</t>
  </si>
  <si>
    <t>Digiart</t>
  </si>
  <si>
    <t>SEVİMLİ KAHRAMAN</t>
  </si>
  <si>
    <t>THE AWEKENING</t>
  </si>
  <si>
    <t>ÖBÜR DÜNYADAB</t>
  </si>
  <si>
    <t>Liddell Entertainment</t>
  </si>
  <si>
    <t>Chantier Films</t>
  </si>
  <si>
    <t>Gravier Productions</t>
  </si>
  <si>
    <t>Ashgar Farhadi</t>
  </si>
  <si>
    <t>DIE FREMDE</t>
  </si>
  <si>
    <t>AYRILIK</t>
  </si>
  <si>
    <t>Relativity</t>
  </si>
  <si>
    <t>R Film, Mars Production</t>
  </si>
  <si>
    <t>GAKE NO UE NO PONYO</t>
  </si>
  <si>
    <t>KÜÇÜK DENİZ KIZI PONYO</t>
  </si>
  <si>
    <t>WINX CLUB 3D: MAGICAL ADVENTURE</t>
  </si>
  <si>
    <t>WINX CLUB: SİHİRLİ MACERA</t>
  </si>
  <si>
    <t>312</t>
  </si>
  <si>
    <t>251</t>
  </si>
  <si>
    <t>247</t>
  </si>
  <si>
    <t>RAVEN</t>
  </si>
  <si>
    <t>KUZGUN</t>
  </si>
  <si>
    <t>BLACK GOLD</t>
  </si>
  <si>
    <t>KARA ALTIN</t>
  </si>
  <si>
    <t>LA DELICATESSE</t>
  </si>
  <si>
    <t>AŞKIN RENKLERİ</t>
  </si>
  <si>
    <t>FLYPAPER</t>
  </si>
  <si>
    <t>Mars Entertainment</t>
  </si>
  <si>
    <t>ÇİFTE SOYGUN</t>
  </si>
  <si>
    <t>CABIN IN THE WOODS</t>
  </si>
  <si>
    <t>Mars Entertainment, R Film.</t>
  </si>
  <si>
    <t>DEHŞET KAPANI</t>
  </si>
  <si>
    <t>PAZARLARI HİÇ SEVMEM</t>
  </si>
  <si>
    <t>THE BEST EXOTIC MARIGOLD HOTEL</t>
  </si>
  <si>
    <t>Shark Film</t>
  </si>
  <si>
    <t>HAYATIMIN TATİLİ</t>
  </si>
  <si>
    <t>BABYCALL</t>
  </si>
  <si>
    <t>ÖLÜMÜN SESİ</t>
  </si>
  <si>
    <t>EKÜMENPOLİS</t>
  </si>
  <si>
    <t>Kibrit Film</t>
  </si>
  <si>
    <t>SEEFOOD</t>
  </si>
  <si>
    <t>SEVİMLİ BALIK PUPİ</t>
  </si>
  <si>
    <t>DUKA FİLM</t>
  </si>
  <si>
    <t>ATEŞİN DÜŞTÜĞÜ YER</t>
  </si>
  <si>
    <t>İgf &amp; Sarmaşık Sanatlar</t>
  </si>
  <si>
    <t>YENİLMEZ</t>
  </si>
  <si>
    <t>VÜCUT</t>
  </si>
  <si>
    <t>PARİS'TE ÇILGIN MACERA</t>
  </si>
  <si>
    <t>Ran Film</t>
  </si>
  <si>
    <t>Europacorp</t>
  </si>
  <si>
    <t>EKÜMENPOLİS: UCU OLMAYAN ŞEHİR</t>
  </si>
  <si>
    <t>A MONSTER IN PARIS</t>
  </si>
  <si>
    <t>79</t>
  </si>
  <si>
    <t>80</t>
  </si>
  <si>
    <t>82</t>
  </si>
  <si>
    <t>83</t>
  </si>
  <si>
    <t>88</t>
  </si>
  <si>
    <t>89</t>
  </si>
  <si>
    <t>90</t>
  </si>
  <si>
    <t>91</t>
  </si>
  <si>
    <t>92</t>
  </si>
  <si>
    <t>94</t>
  </si>
  <si>
    <t>95</t>
  </si>
  <si>
    <r>
      <t xml:space="preserve">DAĞITIMCI ŞİRKETLER PERFORMANS LİGİ - </t>
    </r>
    <r>
      <rPr>
        <b/>
        <sz val="12"/>
        <color indexed="10"/>
        <rFont val="Arial"/>
        <family val="2"/>
      </rPr>
      <t>4</t>
    </r>
    <r>
      <rPr>
        <b/>
        <sz val="12"/>
        <color indexed="10"/>
        <rFont val="Arial"/>
        <family val="2"/>
      </rPr>
      <t>. HAFTA (KAPANIŞ) 20-26.01.2012</t>
    </r>
  </si>
  <si>
    <r>
      <t xml:space="preserve">DAĞITIMCI ŞİRKETLER PERFORMANS LİGİ - </t>
    </r>
    <r>
      <rPr>
        <b/>
        <sz val="12"/>
        <color indexed="10"/>
        <rFont val="Arial"/>
        <family val="2"/>
      </rPr>
      <t>5</t>
    </r>
    <r>
      <rPr>
        <b/>
        <sz val="12"/>
        <color indexed="10"/>
        <rFont val="Arial"/>
        <family val="2"/>
      </rPr>
      <t>. HAFTA (KAPANIŞ) 27.01.-02.02.2012</t>
    </r>
  </si>
  <si>
    <r>
      <t xml:space="preserve">DAĞITIMCI ŞİRKETLER PERFORMANS LİGİ - </t>
    </r>
    <r>
      <rPr>
        <b/>
        <sz val="12"/>
        <color indexed="10"/>
        <rFont val="Arial"/>
        <family val="2"/>
      </rPr>
      <t>6</t>
    </r>
    <r>
      <rPr>
        <b/>
        <sz val="12"/>
        <color indexed="10"/>
        <rFont val="Arial"/>
        <family val="2"/>
      </rPr>
      <t>. HAFTA (KAPANIŞ) 03 - 09.02.2012</t>
    </r>
  </si>
  <si>
    <r>
      <t xml:space="preserve">DAĞITIMCI ŞİRKETLER PERFORMANS LİGİ - </t>
    </r>
    <r>
      <rPr>
        <b/>
        <sz val="12"/>
        <color indexed="10"/>
        <rFont val="Arial"/>
        <family val="2"/>
      </rPr>
      <t>7</t>
    </r>
    <r>
      <rPr>
        <b/>
        <sz val="12"/>
        <color indexed="10"/>
        <rFont val="Arial"/>
        <family val="2"/>
      </rPr>
      <t>. HAFTA (KAPANIŞ) 10 - 16.02.2012</t>
    </r>
  </si>
  <si>
    <r>
      <t xml:space="preserve">DAĞITIMCI ŞİRKETLER PERFORMANS LİGİ - </t>
    </r>
    <r>
      <rPr>
        <b/>
        <sz val="12"/>
        <color indexed="10"/>
        <rFont val="Arial"/>
        <family val="2"/>
      </rPr>
      <t>8</t>
    </r>
    <r>
      <rPr>
        <b/>
        <sz val="12"/>
        <color indexed="10"/>
        <rFont val="Arial"/>
        <family val="2"/>
      </rPr>
      <t>. HAFTA (KAPANIŞ) 17-23.02.2012</t>
    </r>
  </si>
  <si>
    <r>
      <t xml:space="preserve">DAĞITIMCI ŞİRKETLER PERFORMANS LİGİ - </t>
    </r>
    <r>
      <rPr>
        <b/>
        <sz val="12"/>
        <color indexed="10"/>
        <rFont val="Arial"/>
        <family val="2"/>
      </rPr>
      <t>9</t>
    </r>
    <r>
      <rPr>
        <b/>
        <sz val="12"/>
        <color indexed="10"/>
        <rFont val="Arial"/>
        <family val="2"/>
      </rPr>
      <t>. HAFTA (KAPANIŞ) 24.02-01.03.2012</t>
    </r>
  </si>
  <si>
    <r>
      <t xml:space="preserve">DAĞITIMCI ŞİRKETLER PERFORMANS LİGİ - </t>
    </r>
    <r>
      <rPr>
        <b/>
        <sz val="12"/>
        <color indexed="10"/>
        <rFont val="Arial"/>
        <family val="2"/>
      </rPr>
      <t>10</t>
    </r>
    <r>
      <rPr>
        <b/>
        <sz val="12"/>
        <color indexed="10"/>
        <rFont val="Arial"/>
        <family val="2"/>
      </rPr>
      <t>. HAFTA (KAPANIŞ) 02.03-08.03.2012</t>
    </r>
  </si>
  <si>
    <r>
      <t xml:space="preserve">DAĞITIMCI ŞİRKETLER PERFORMANS LİGİ - </t>
    </r>
    <r>
      <rPr>
        <b/>
        <sz val="12"/>
        <color indexed="10"/>
        <rFont val="Arial"/>
        <family val="2"/>
      </rPr>
      <t>11</t>
    </r>
    <r>
      <rPr>
        <b/>
        <sz val="12"/>
        <color indexed="10"/>
        <rFont val="Arial"/>
        <family val="2"/>
      </rPr>
      <t>. HAFTA (KAPANIŞ) 09.03.-15.03.2012</t>
    </r>
  </si>
  <si>
    <r>
      <t xml:space="preserve">DAĞITIMCI ŞİRKETLER PERFORMANS LİGİ - </t>
    </r>
    <r>
      <rPr>
        <b/>
        <sz val="12"/>
        <color indexed="10"/>
        <rFont val="Arial"/>
        <family val="2"/>
      </rPr>
      <t>12</t>
    </r>
    <r>
      <rPr>
        <b/>
        <sz val="12"/>
        <color indexed="10"/>
        <rFont val="Arial"/>
        <family val="2"/>
      </rPr>
      <t>. HAFTA (KAPANIŞ) 16.03-22.03.2012</t>
    </r>
  </si>
  <si>
    <r>
      <t xml:space="preserve">DAĞITIMCI ŞİRKETLER PERFORMANS LİGİ - </t>
    </r>
    <r>
      <rPr>
        <b/>
        <sz val="12"/>
        <color indexed="10"/>
        <rFont val="Arial"/>
        <family val="2"/>
      </rPr>
      <t>13</t>
    </r>
    <r>
      <rPr>
        <b/>
        <sz val="12"/>
        <color indexed="10"/>
        <rFont val="Arial"/>
        <family val="2"/>
      </rPr>
      <t>. HAFTA (KAPANIŞ) 23.03.-29.03.2012</t>
    </r>
  </si>
  <si>
    <r>
      <t xml:space="preserve">DAĞITIMCI ŞİRKETLER PERFORMANS LİGİ - </t>
    </r>
    <r>
      <rPr>
        <b/>
        <sz val="12"/>
        <color indexed="10"/>
        <rFont val="Arial"/>
        <family val="2"/>
      </rPr>
      <t>14</t>
    </r>
    <r>
      <rPr>
        <b/>
        <sz val="12"/>
        <color indexed="10"/>
        <rFont val="Arial"/>
        <family val="2"/>
      </rPr>
      <t>. HAFTA (KAPANIŞ) 30.03.-05.04.2012</t>
    </r>
  </si>
  <si>
    <r>
      <t xml:space="preserve">DAĞITIMCI ŞİRKETLER PERFORMANS LİGİ - </t>
    </r>
    <r>
      <rPr>
        <b/>
        <sz val="12"/>
        <color indexed="10"/>
        <rFont val="Arial"/>
        <family val="2"/>
      </rPr>
      <t>15</t>
    </r>
    <r>
      <rPr>
        <b/>
        <sz val="12"/>
        <color indexed="10"/>
        <rFont val="Arial"/>
        <family val="2"/>
      </rPr>
      <t>. HAFTA (KAPANIŞ) 06.04.-12.04.2012</t>
    </r>
  </si>
  <si>
    <r>
      <t xml:space="preserve">DAĞITIMCI ŞİRKETLER PERFORMANS LİGİ - </t>
    </r>
    <r>
      <rPr>
        <b/>
        <sz val="12"/>
        <color indexed="10"/>
        <rFont val="Arial"/>
        <family val="2"/>
      </rPr>
      <t>16</t>
    </r>
    <r>
      <rPr>
        <b/>
        <sz val="12"/>
        <color indexed="10"/>
        <rFont val="Arial"/>
        <family val="2"/>
      </rPr>
      <t>. HAFTA (KAPANIŞ) 13.04.-19.04.2012</t>
    </r>
  </si>
  <si>
    <r>
      <t xml:space="preserve">DAĞITIMCI ŞİRKETLER PERFORMANS LİGİ - </t>
    </r>
    <r>
      <rPr>
        <b/>
        <sz val="12"/>
        <color indexed="10"/>
        <rFont val="Arial"/>
        <family val="2"/>
      </rPr>
      <t>17</t>
    </r>
    <r>
      <rPr>
        <b/>
        <sz val="12"/>
        <color indexed="10"/>
        <rFont val="Arial"/>
        <family val="2"/>
      </rPr>
      <t>. HAFTA (KAPANIŞ) 20.04.-26.04.2012</t>
    </r>
  </si>
  <si>
    <r>
      <t xml:space="preserve">DAĞITIMCI ŞİRKETLER PERFORMANS LİGİ - </t>
    </r>
    <r>
      <rPr>
        <b/>
        <sz val="12"/>
        <color indexed="10"/>
        <rFont val="Arial"/>
        <family val="2"/>
      </rPr>
      <t>18</t>
    </r>
    <r>
      <rPr>
        <b/>
        <sz val="12"/>
        <color indexed="10"/>
        <rFont val="Arial"/>
        <family val="2"/>
      </rPr>
      <t>. HAFTA (KAPANIŞ) 27.04.-03.05.2012</t>
    </r>
  </si>
  <si>
    <t>HIZLI VE ÖFKELİ 5: RİO SOYGUNU</t>
  </si>
  <si>
    <t>362</t>
  </si>
  <si>
    <t>Yeniden Film</t>
  </si>
  <si>
    <t>NBC Film</t>
  </si>
  <si>
    <t>Studio Ghibli</t>
  </si>
  <si>
    <t>MAYIS</t>
  </si>
  <si>
    <t>5 AY</t>
  </si>
  <si>
    <r>
      <t xml:space="preserve">DAĞITIMCI ŞİRKETLER PERFORMANS LİGİ - </t>
    </r>
    <r>
      <rPr>
        <b/>
        <sz val="12"/>
        <color indexed="10"/>
        <rFont val="Arial"/>
        <family val="2"/>
      </rPr>
      <t>19. HAFTA (KAPANIŞ) 03.05.-10.05.2012</t>
    </r>
  </si>
  <si>
    <t>BIUTIFUL</t>
  </si>
  <si>
    <t>Cinetel Films</t>
  </si>
  <si>
    <t>Yalınayak</t>
  </si>
  <si>
    <t>Sierra</t>
  </si>
  <si>
    <t>Bsk Yapım</t>
  </si>
  <si>
    <t>Pathe</t>
  </si>
  <si>
    <t>Onaltıdokuz Film</t>
  </si>
  <si>
    <t>THE AVENGERS</t>
  </si>
  <si>
    <t>Kurmaca</t>
  </si>
  <si>
    <t>ULTRA MEGA SÜPER KAHRAMAN</t>
  </si>
  <si>
    <t>GRIFF THE INVISIBLE</t>
  </si>
  <si>
    <t>I SKONI TOU HRONOU - THE DUST OF TIME</t>
  </si>
  <si>
    <t>ZAMANIN TOZU</t>
  </si>
  <si>
    <t>YENİLMEZLER</t>
  </si>
  <si>
    <t>Ares Medya</t>
  </si>
  <si>
    <t>CAN</t>
  </si>
  <si>
    <t>Defne</t>
  </si>
  <si>
    <t>İnter Medya</t>
  </si>
  <si>
    <t>ANADOLU ATEŞİ</t>
  </si>
  <si>
    <t>SAFE</t>
  </si>
  <si>
    <t>KORUYUCU</t>
  </si>
  <si>
    <t>THE INTOUCCHABLES</t>
  </si>
  <si>
    <t>CAN DOSTUM</t>
  </si>
  <si>
    <t>EKÜMENOPOLİS</t>
  </si>
  <si>
    <t>İKİZLER FİRARDA</t>
  </si>
  <si>
    <t>Dev Yapım</t>
  </si>
  <si>
    <t>ONE FOR THE MONEY</t>
  </si>
  <si>
    <t>AŞK VE PARA</t>
  </si>
  <si>
    <t>R Film</t>
  </si>
  <si>
    <t>Lakeshore</t>
  </si>
  <si>
    <r>
      <t xml:space="preserve">Weekend / </t>
    </r>
    <r>
      <rPr>
        <b/>
        <sz val="20"/>
        <color indexed="9"/>
        <rFont val="Candara"/>
        <family val="2"/>
      </rPr>
      <t>20</t>
    </r>
    <r>
      <rPr>
        <b/>
        <sz val="20"/>
        <rFont val="Candara"/>
        <family val="2"/>
      </rPr>
      <t xml:space="preserve"> / Haftasonu: 11.-13</t>
    </r>
    <r>
      <rPr>
        <b/>
        <u val="single"/>
        <sz val="20"/>
        <rFont val="Candara"/>
        <family val="2"/>
      </rPr>
      <t>.05.2012</t>
    </r>
  </si>
  <si>
    <r>
      <t xml:space="preserve">Week / </t>
    </r>
    <r>
      <rPr>
        <b/>
        <sz val="20"/>
        <color indexed="9"/>
        <rFont val="Candara"/>
        <family val="2"/>
      </rPr>
      <t>20</t>
    </r>
    <r>
      <rPr>
        <b/>
        <sz val="20"/>
        <rFont val="Candara"/>
        <family val="2"/>
      </rPr>
      <t xml:space="preserve"> / Hafta: </t>
    </r>
    <r>
      <rPr>
        <b/>
        <u val="single"/>
        <sz val="20"/>
        <rFont val="Candara"/>
        <family val="2"/>
      </rPr>
      <t>11.-17.05.2012</t>
    </r>
  </si>
  <si>
    <t>93</t>
  </si>
  <si>
    <r>
      <t xml:space="preserve">DAĞITIMCI ŞİRKETLER PERFORMANS LİGİ - </t>
    </r>
    <r>
      <rPr>
        <b/>
        <sz val="12"/>
        <color indexed="10"/>
        <rFont val="Arial"/>
        <family val="2"/>
      </rPr>
      <t>20. HAFTA (KAPANIŞ) 11.05-17.05.2012</t>
    </r>
  </si>
  <si>
    <r>
      <t xml:space="preserve">DAĞITIMCI ŞİRKETLER PERFORMANS LİGİ - </t>
    </r>
    <r>
      <rPr>
        <b/>
        <sz val="12"/>
        <color indexed="10"/>
        <rFont val="Arial"/>
        <family val="2"/>
      </rPr>
      <t>21. HAFTA (AÇILIŞ) 18.05.2012</t>
    </r>
  </si>
  <si>
    <t>İrfan Film</t>
  </si>
  <si>
    <t>KANIMA GİR</t>
  </si>
  <si>
    <t>Umut Sanat</t>
  </si>
  <si>
    <t>Vertigo</t>
  </si>
  <si>
    <t>Strike Entertainment</t>
  </si>
  <si>
    <t>HW Two</t>
  </si>
  <si>
    <t>Film Pop</t>
  </si>
  <si>
    <t>Cinemateque</t>
  </si>
  <si>
    <t>Transmission</t>
  </si>
  <si>
    <t>Filmfabrik</t>
  </si>
  <si>
    <t>TELEPOOL</t>
  </si>
  <si>
    <t>Tiglom</t>
  </si>
  <si>
    <t>Naive</t>
  </si>
  <si>
    <t>Constantin</t>
  </si>
  <si>
    <t>Mars</t>
  </si>
  <si>
    <t>Imagine</t>
  </si>
  <si>
    <t>Union General</t>
  </si>
  <si>
    <t>Fox Automatic</t>
  </si>
  <si>
    <t>Everest Entertainment</t>
  </si>
  <si>
    <t>Sigma Films</t>
  </si>
  <si>
    <t>Recorded Picture</t>
  </si>
  <si>
    <t>Efti</t>
  </si>
  <si>
    <t>Ustaoğlu Film</t>
  </si>
  <si>
    <t>Drama İstanbul</t>
  </si>
  <si>
    <t>,</t>
  </si>
  <si>
    <t>Fidelite</t>
  </si>
  <si>
    <t>Lions Gate</t>
  </si>
  <si>
    <t>Toledo</t>
  </si>
  <si>
    <t>Imprint Entertainment</t>
  </si>
  <si>
    <t>Fox 2000</t>
  </si>
  <si>
    <t>Rhombus</t>
  </si>
  <si>
    <t>DNA Films</t>
  </si>
  <si>
    <t>New Regency Pictures</t>
  </si>
  <si>
    <t>Forecast</t>
  </si>
  <si>
    <t>The Harvey Boys</t>
  </si>
  <si>
    <t>Focus</t>
  </si>
  <si>
    <t>L'AGE DE RAISON</t>
  </si>
  <si>
    <t>Nord-Ouest</t>
  </si>
  <si>
    <t>AŞKA FIRSAT VER</t>
  </si>
  <si>
    <t>Ilion Animation</t>
  </si>
  <si>
    <t>Studio Gibli</t>
  </si>
  <si>
    <t>X-Filme Creative</t>
  </si>
  <si>
    <t>Caramel</t>
  </si>
  <si>
    <t>THE KIDS ARE ALL RIGHT</t>
  </si>
  <si>
    <t>Mandalay</t>
  </si>
  <si>
    <t>İKİ KADIN BİR ERKEK</t>
  </si>
  <si>
    <t>Goumont</t>
  </si>
  <si>
    <t>Marvel Enterprise</t>
  </si>
  <si>
    <t>Cross Creek Pictures</t>
  </si>
  <si>
    <t>Endgame</t>
  </si>
  <si>
    <t>Walt Disney Animation Studios</t>
  </si>
  <si>
    <t>DW Films</t>
  </si>
  <si>
    <t>Angry Films</t>
  </si>
  <si>
    <t>Nu Image Films</t>
  </si>
  <si>
    <t>Sinetel</t>
  </si>
  <si>
    <t>Exception</t>
  </si>
  <si>
    <t>Tf1</t>
  </si>
  <si>
    <t>Film Four</t>
  </si>
  <si>
    <t>Trust Film</t>
  </si>
  <si>
    <t>Egg Films</t>
  </si>
  <si>
    <t>K.G. Productions</t>
  </si>
  <si>
    <t>Re Prodüksiyon</t>
  </si>
  <si>
    <t>Columbia</t>
  </si>
  <si>
    <t>Michael De Luca Productions</t>
  </si>
  <si>
    <t>Color Fors</t>
  </si>
  <si>
    <t>Jellystone Films</t>
  </si>
  <si>
    <t>CONTAGION</t>
  </si>
  <si>
    <t>Warner Bros. Pictures</t>
  </si>
  <si>
    <t>SALGIN</t>
  </si>
  <si>
    <t>Mars Prodüksiyon</t>
  </si>
  <si>
    <t>STAKE LAND</t>
  </si>
  <si>
    <t>VAMPİR CEHENNEMİ</t>
  </si>
  <si>
    <t>Week / 20 / Hafta: 11.-17.05.2012</t>
  </si>
  <si>
    <r>
      <t xml:space="preserve">TÜRKİYE'S </t>
    </r>
    <r>
      <rPr>
        <b/>
        <u val="single"/>
        <sz val="18"/>
        <rFont val="Corbel"/>
        <family val="2"/>
      </rPr>
      <t>WEEKLY</t>
    </r>
    <r>
      <rPr>
        <b/>
        <sz val="18"/>
        <rFont val="Corbel"/>
        <family val="2"/>
      </rPr>
      <t xml:space="preserve"> MARKET DATA</t>
    </r>
  </si>
  <si>
    <t>X-MEN: FIRST CLASS</t>
  </si>
  <si>
    <t>MOTHER AND CHILD</t>
  </si>
  <si>
    <t>ANNELER VE KIZLARI</t>
  </si>
  <si>
    <t>Everest</t>
  </si>
  <si>
    <t>X-Men Birinci Sınıf</t>
  </si>
  <si>
    <t>1</t>
  </si>
  <si>
    <t>74</t>
  </si>
  <si>
    <t>75</t>
  </si>
  <si>
    <t>2012'S EX YEARS RELASES - 2012'DE GÖSTERİLEN ÖNCEKİ YILLARIN VİZYON FİLMLERİ 30.12.2011 -  17.05.2012</t>
  </si>
  <si>
    <t>2012 ALL NEW FILMS - 2012'DE BÜTÜN YENİ FİLMLER 30.12.2011 -  17.05.2012</t>
  </si>
  <si>
    <t>2012'DE TÜRKİYE YAPIMLARI GENEL SIRALAMA 30.12.2011 -  17.05.2012</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</si>
</sst>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175">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sz val="1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sz val="20"/>
      <name val="Candara"/>
      <family val="2"/>
    </font>
    <font>
      <b/>
      <i/>
      <sz val="10"/>
      <name val="Calibri"/>
      <family val="2"/>
    </font>
    <font>
      <b/>
      <sz val="14"/>
      <name val="Calibri"/>
      <family val="2"/>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Verdana"/>
      <family val="2"/>
    </font>
    <font>
      <b/>
      <sz val="18"/>
      <name val="Garamond"/>
      <family val="1"/>
    </font>
    <font>
      <b/>
      <u val="single"/>
      <sz val="20"/>
      <name val="Candara"/>
      <family val="2"/>
    </font>
    <font>
      <b/>
      <sz val="28"/>
      <color indexed="10"/>
      <name val="Calibri"/>
      <family val="2"/>
    </font>
    <font>
      <b/>
      <u val="single"/>
      <sz val="28"/>
      <name val="Calibri"/>
      <family val="2"/>
    </font>
    <font>
      <b/>
      <i/>
      <sz val="10"/>
      <color indexed="10"/>
      <name val="Calibri"/>
      <family val="2"/>
    </font>
    <font>
      <b/>
      <sz val="10"/>
      <name val="Arial"/>
      <family val="2"/>
    </font>
    <font>
      <b/>
      <sz val="12"/>
      <name val="Calibri"/>
      <family val="2"/>
    </font>
    <font>
      <sz val="12"/>
      <name val="Century Gothic"/>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sz val="12"/>
      <name val="Arial"/>
      <family val="2"/>
    </font>
    <font>
      <sz val="12"/>
      <name val="Calibri"/>
      <family val="2"/>
    </font>
    <font>
      <b/>
      <sz val="14"/>
      <color indexed="10"/>
      <name val="Calibri"/>
      <family val="2"/>
    </font>
    <font>
      <b/>
      <sz val="11"/>
      <name val="Calibri"/>
      <family val="2"/>
    </font>
    <font>
      <sz val="9"/>
      <name val="Calibri"/>
      <family val="2"/>
    </font>
    <font>
      <sz val="14"/>
      <name val="Calibri"/>
      <family val="2"/>
    </font>
    <font>
      <sz val="10"/>
      <color indexed="9"/>
      <name val="Arial"/>
      <family val="2"/>
    </font>
    <font>
      <b/>
      <sz val="10"/>
      <color indexed="9"/>
      <name val="Arial"/>
      <family val="2"/>
    </font>
    <font>
      <b/>
      <sz val="14"/>
      <color indexed="49"/>
      <name val="Webdings"/>
      <family val="1"/>
    </font>
    <font>
      <b/>
      <sz val="14"/>
      <color indexed="10"/>
      <name val="Webdings"/>
      <family val="1"/>
    </font>
    <font>
      <b/>
      <sz val="12"/>
      <color indexed="54"/>
      <name val="Calibri"/>
      <family val="2"/>
    </font>
    <font>
      <sz val="14"/>
      <color indexed="9"/>
      <name val="Calibri"/>
      <family val="2"/>
    </font>
    <font>
      <sz val="14"/>
      <color indexed="10"/>
      <name val="Calibri"/>
      <family val="2"/>
    </font>
    <font>
      <sz val="14"/>
      <color indexed="8"/>
      <name val="Calibri"/>
      <family val="2"/>
    </font>
    <font>
      <b/>
      <sz val="100"/>
      <color indexed="15"/>
      <name val="Calibri"/>
      <family val="2"/>
    </font>
    <font>
      <b/>
      <sz val="14"/>
      <color indexed="30"/>
      <name val="Calibri"/>
      <family val="2"/>
    </font>
    <font>
      <b/>
      <sz val="10"/>
      <color indexed="30"/>
      <name val="Arial"/>
      <family val="2"/>
    </font>
    <font>
      <b/>
      <sz val="10"/>
      <color indexed="10"/>
      <name val="Arial"/>
      <family val="2"/>
    </font>
    <font>
      <b/>
      <sz val="14"/>
      <color indexed="62"/>
      <name val="Calibri"/>
      <family val="2"/>
    </font>
    <font>
      <b/>
      <sz val="10"/>
      <color indexed="62"/>
      <name val="Arial"/>
      <family val="2"/>
    </font>
    <font>
      <b/>
      <sz val="12"/>
      <color indexed="23"/>
      <name val="Arial"/>
      <family val="2"/>
    </font>
    <font>
      <sz val="12"/>
      <color indexed="23"/>
      <name val="Arial"/>
      <family val="2"/>
    </font>
    <font>
      <b/>
      <sz val="10"/>
      <name val="Webdings"/>
      <family val="1"/>
    </font>
    <font>
      <b/>
      <sz val="12"/>
      <color indexed="8"/>
      <name val="Berlin Sans FB"/>
      <family val="2"/>
    </font>
    <font>
      <b/>
      <sz val="12"/>
      <name val="Berlin Sans FB"/>
      <family val="2"/>
    </font>
    <font>
      <b/>
      <sz val="9"/>
      <name val="Arial"/>
      <family val="2"/>
    </font>
    <font>
      <b/>
      <sz val="10"/>
      <name val="Tahoma"/>
      <family val="2"/>
    </font>
    <font>
      <b/>
      <sz val="9"/>
      <name val="Corbel"/>
      <family val="2"/>
    </font>
    <font>
      <sz val="9"/>
      <name val="Corbel"/>
      <family val="2"/>
    </font>
    <font>
      <sz val="8"/>
      <name val="Corbel"/>
      <family val="2"/>
    </font>
    <font>
      <b/>
      <sz val="18"/>
      <name val="Corbel"/>
      <family val="2"/>
    </font>
    <font>
      <b/>
      <u val="single"/>
      <sz val="18"/>
      <name val="Corbel"/>
      <family val="2"/>
    </font>
    <font>
      <b/>
      <i/>
      <sz val="12"/>
      <name val="Corbel"/>
      <family val="2"/>
    </font>
    <font>
      <b/>
      <sz val="12"/>
      <name val="Corbel"/>
      <family val="2"/>
    </font>
    <font>
      <b/>
      <u val="single"/>
      <sz val="12"/>
      <name val="Corbel"/>
      <family val="2"/>
    </font>
    <font>
      <u val="single"/>
      <sz val="12"/>
      <name val="Corbel"/>
      <family val="2"/>
    </font>
    <font>
      <i/>
      <sz val="12"/>
      <name val="Corbel"/>
      <family val="2"/>
    </font>
    <font>
      <i/>
      <sz val="8"/>
      <name val="Corbel"/>
      <family val="2"/>
    </font>
    <font>
      <b/>
      <sz val="9"/>
      <color indexed="8"/>
      <name val="Corbel"/>
      <family val="2"/>
    </font>
    <font>
      <b/>
      <sz val="8"/>
      <name val="Corbe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8"/>
      <name val="Calibri"/>
      <family val="2"/>
    </font>
    <font>
      <b/>
      <sz val="9"/>
      <name val="Calibri"/>
      <family val="2"/>
    </font>
    <font>
      <b/>
      <sz val="8"/>
      <name val="Calibri"/>
      <family val="2"/>
    </font>
    <font>
      <b/>
      <sz val="10"/>
      <name val="Calibri"/>
      <family val="2"/>
    </font>
    <font>
      <b/>
      <sz val="10"/>
      <color indexed="10"/>
      <name val="Calibri"/>
      <family val="2"/>
    </font>
    <font>
      <sz val="8"/>
      <color indexed="10"/>
      <name val="Calibri"/>
      <family val="2"/>
    </font>
    <font>
      <b/>
      <sz val="12"/>
      <color indexed="10"/>
      <name val="Calibri"/>
      <family val="2"/>
    </font>
    <font>
      <sz val="8"/>
      <color indexed="8"/>
      <name val="Calibri"/>
      <family val="2"/>
    </font>
    <font>
      <b/>
      <sz val="10"/>
      <color indexed="8"/>
      <name val="Calibri"/>
      <family val="2"/>
    </font>
    <font>
      <b/>
      <sz val="9"/>
      <color indexed="8"/>
      <name val="Calibri"/>
      <family val="2"/>
    </font>
    <font>
      <b/>
      <sz val="8"/>
      <color indexed="10"/>
      <name val="Calibri"/>
      <family val="2"/>
    </font>
    <font>
      <b/>
      <sz val="14"/>
      <color indexed="34"/>
      <name val="Webdings"/>
      <family val="1"/>
    </font>
    <font>
      <b/>
      <sz val="50"/>
      <color indexed="49"/>
      <name val="Arial Black"/>
      <family val="2"/>
    </font>
    <font>
      <sz val="50"/>
      <color indexed="49"/>
      <name val="Arial"/>
      <family val="2"/>
    </font>
    <font>
      <b/>
      <sz val="50"/>
      <color indexed="9"/>
      <name val="Arial Black"/>
      <family val="2"/>
    </font>
    <font>
      <sz val="50"/>
      <color indexed="9"/>
      <name val="Arial"/>
      <family val="2"/>
    </font>
    <font>
      <b/>
      <sz val="14"/>
      <color indexed="29"/>
      <name val="Calibri"/>
      <family val="2"/>
    </font>
    <font>
      <sz val="14"/>
      <color indexed="29"/>
      <name val="Arial"/>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cidSansRegular"/>
      <family val="0"/>
    </font>
    <font>
      <b/>
      <sz val="16"/>
      <color indexed="8"/>
      <name val="Arial"/>
      <family val="2"/>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FF0000"/>
      <name val="Webdings"/>
      <family val="1"/>
    </font>
    <font>
      <b/>
      <sz val="10"/>
      <color rgb="FFFF0000"/>
      <name val="Calibri"/>
      <family val="2"/>
    </font>
    <font>
      <sz val="8"/>
      <color rgb="FFFF0000"/>
      <name val="Calibri"/>
      <family val="2"/>
    </font>
    <font>
      <b/>
      <sz val="12"/>
      <color rgb="FFFF0000"/>
      <name val="Calibri"/>
      <family val="2"/>
    </font>
    <font>
      <b/>
      <sz val="10"/>
      <color theme="1"/>
      <name val="Calibri"/>
      <family val="2"/>
    </font>
    <font>
      <b/>
      <sz val="14"/>
      <color rgb="FFFFFF00"/>
      <name val="Webdings"/>
      <family val="1"/>
    </font>
    <font>
      <b/>
      <sz val="50"/>
      <color theme="8" tint="-0.24997000396251678"/>
      <name val="Arial Black"/>
      <family val="2"/>
    </font>
    <font>
      <sz val="50"/>
      <color theme="8" tint="-0.24997000396251678"/>
      <name val="Arial"/>
      <family val="2"/>
    </font>
    <font>
      <b/>
      <sz val="50"/>
      <color theme="0"/>
      <name val="Arial Black"/>
      <family val="2"/>
    </font>
    <font>
      <sz val="50"/>
      <color theme="0"/>
      <name val="Arial"/>
      <family val="2"/>
    </font>
    <font>
      <b/>
      <sz val="14"/>
      <color theme="5" tint="0.39998000860214233"/>
      <name val="Calibri"/>
      <family val="2"/>
    </font>
    <font>
      <sz val="14"/>
      <color theme="5" tint="0.39998000860214233"/>
      <name val="Arial"/>
      <family val="2"/>
    </font>
    <font>
      <b/>
      <sz val="14"/>
      <color rgb="FF0070C0"/>
      <name val="Calibri"/>
      <family val="2"/>
    </font>
    <font>
      <b/>
      <sz val="10"/>
      <color rgb="FF0070C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26"/>
        <bgColor indexed="64"/>
      </patternFill>
    </fill>
    <fill>
      <patternFill patternType="solid">
        <fgColor indexed="19"/>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indexed="23"/>
        <bgColor indexed="64"/>
      </patternFill>
    </fill>
    <fill>
      <patternFill patternType="solid">
        <fgColor indexed="63"/>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theme="0"/>
        <bgColor indexed="64"/>
      </patternFill>
    </fill>
    <fill>
      <patternFill patternType="solid">
        <fgColor indexed="8"/>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medium"/>
      <right style="thin"/>
      <top style="medium"/>
      <bottom style="thin"/>
    </border>
    <border>
      <left style="hair"/>
      <right style="hair"/>
      <top style="hair"/>
      <bottom style="hair"/>
    </border>
    <border>
      <left style="hair"/>
      <right style="hair"/>
      <top style="hair"/>
      <bottom style="medium"/>
    </border>
    <border>
      <left style="thin"/>
      <right style="thin"/>
      <top style="medium"/>
      <bottom style="thin"/>
    </border>
    <border>
      <left style="medium"/>
      <right>
        <color indexed="63"/>
      </right>
      <top style="hair"/>
      <bottom style="hair"/>
    </border>
    <border>
      <left style="medium"/>
      <right>
        <color indexed="63"/>
      </right>
      <top style="hair"/>
      <bottom style="medium"/>
    </border>
    <border>
      <left style="hair"/>
      <right style="medium"/>
      <top style="hair"/>
      <bottom style="hair"/>
    </border>
    <border>
      <left style="hair"/>
      <right style="medium"/>
      <top style="hair"/>
      <bottom style="medium"/>
    </border>
    <border>
      <left style="medium"/>
      <right>
        <color indexed="63"/>
      </right>
      <top>
        <color indexed="63"/>
      </top>
      <bottom style="hair"/>
    </border>
    <border>
      <left style="hair"/>
      <right style="hair"/>
      <top>
        <color indexed="63"/>
      </top>
      <bottom style="hair"/>
    </border>
    <border>
      <left style="hair"/>
      <right style="medium"/>
      <top>
        <color indexed="63"/>
      </top>
      <bottom style="hair"/>
    </border>
    <border>
      <left style="thin"/>
      <right style="medium"/>
      <top style="thin"/>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1" applyNumberFormat="0" applyFill="0" applyAlignment="0" applyProtection="0"/>
    <xf numFmtId="0" fontId="148" fillId="0" borderId="2" applyNumberFormat="0" applyFill="0" applyAlignment="0" applyProtection="0"/>
    <xf numFmtId="0" fontId="149" fillId="0" borderId="3" applyNumberFormat="0" applyFill="0" applyAlignment="0" applyProtection="0"/>
    <xf numFmtId="0" fontId="150" fillId="0" borderId="4" applyNumberFormat="0" applyFill="0" applyAlignment="0" applyProtection="0"/>
    <xf numFmtId="0" fontId="1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1" fillId="20" borderId="5" applyNumberFormat="0" applyAlignment="0" applyProtection="0"/>
    <xf numFmtId="0" fontId="152" fillId="21" borderId="6" applyNumberFormat="0" applyAlignment="0" applyProtection="0"/>
    <xf numFmtId="0" fontId="153" fillId="20" borderId="6" applyNumberFormat="0" applyAlignment="0" applyProtection="0"/>
    <xf numFmtId="0" fontId="154" fillId="22" borderId="7" applyNumberFormat="0" applyAlignment="0" applyProtection="0"/>
    <xf numFmtId="0" fontId="15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56"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8" fillId="0" borderId="9" applyNumberFormat="0" applyFill="0" applyAlignment="0" applyProtection="0"/>
    <xf numFmtId="0" fontId="159" fillId="0" borderId="0" applyNumberFormat="0" applyFill="0" applyBorder="0" applyAlignment="0" applyProtection="0"/>
    <xf numFmtId="0" fontId="144" fillId="27" borderId="0" applyNumberFormat="0" applyBorder="0" applyAlignment="0" applyProtection="0"/>
    <xf numFmtId="0" fontId="144" fillId="28" borderId="0" applyNumberFormat="0" applyBorder="0" applyAlignment="0" applyProtection="0"/>
    <xf numFmtId="0" fontId="144" fillId="29" borderId="0" applyNumberFormat="0" applyBorder="0" applyAlignment="0" applyProtection="0"/>
    <xf numFmtId="0" fontId="144" fillId="30" borderId="0" applyNumberFormat="0" applyBorder="0" applyAlignment="0" applyProtection="0"/>
    <xf numFmtId="0" fontId="144" fillId="31" borderId="0" applyNumberFormat="0" applyBorder="0" applyAlignment="0" applyProtection="0"/>
    <xf numFmtId="0" fontId="144"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635">
    <xf numFmtId="0" fontId="0" fillId="0" borderId="0" xfId="0" applyAlignment="1">
      <alignment/>
    </xf>
    <xf numFmtId="0" fontId="13"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43" fontId="13" fillId="33" borderId="12" xfId="4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1" fontId="14" fillId="33" borderId="13" xfId="0" applyNumberFormat="1" applyFont="1" applyFill="1" applyBorder="1" applyAlignment="1" applyProtection="1">
      <alignment horizontal="center" vertical="center" wrapText="1"/>
      <protection/>
    </xf>
    <xf numFmtId="1" fontId="13" fillId="33" borderId="14" xfId="0" applyNumberFormat="1" applyFont="1" applyFill="1" applyBorder="1" applyAlignment="1" applyProtection="1">
      <alignment horizontal="center" vertical="center" wrapText="1"/>
      <protection/>
    </xf>
    <xf numFmtId="1" fontId="13" fillId="33" borderId="15" xfId="0" applyNumberFormat="1" applyFont="1" applyFill="1" applyBorder="1" applyAlignment="1" applyProtection="1">
      <alignment horizontal="center" vertical="center" wrapText="1"/>
      <protection/>
    </xf>
    <xf numFmtId="43" fontId="13" fillId="0" borderId="12" xfId="4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4" fontId="33" fillId="8" borderId="17" xfId="0" applyNumberFormat="1" applyFont="1" applyFill="1" applyBorder="1" applyAlignment="1">
      <alignment vertical="center"/>
    </xf>
    <xf numFmtId="4" fontId="33" fillId="8" borderId="18" xfId="0" applyNumberFormat="1" applyFont="1" applyFill="1" applyBorder="1" applyAlignment="1">
      <alignment vertical="center"/>
    </xf>
    <xf numFmtId="0" fontId="13" fillId="33" borderId="19" xfId="0" applyFont="1" applyFill="1" applyBorder="1" applyAlignment="1" applyProtection="1">
      <alignment horizontal="center"/>
      <protection/>
    </xf>
    <xf numFmtId="0" fontId="13" fillId="0" borderId="19" xfId="0" applyFont="1" applyFill="1" applyBorder="1" applyAlignment="1" applyProtection="1">
      <alignment horizontal="center"/>
      <protection/>
    </xf>
    <xf numFmtId="0" fontId="15" fillId="34" borderId="20" xfId="0" applyFont="1" applyFill="1" applyBorder="1" applyAlignment="1" applyProtection="1">
      <alignment vertical="center"/>
      <protection/>
    </xf>
    <xf numFmtId="0" fontId="15" fillId="34" borderId="21" xfId="0" applyFont="1" applyFill="1" applyBorder="1" applyAlignment="1" applyProtection="1">
      <alignment vertical="center"/>
      <protection/>
    </xf>
    <xf numFmtId="3" fontId="33" fillId="8" borderId="22" xfId="0" applyNumberFormat="1" applyFont="1" applyFill="1" applyBorder="1" applyAlignment="1">
      <alignment vertical="center"/>
    </xf>
    <xf numFmtId="3" fontId="33" fillId="8" borderId="23" xfId="0" applyNumberFormat="1" applyFont="1" applyFill="1" applyBorder="1" applyAlignment="1">
      <alignment vertical="center"/>
    </xf>
    <xf numFmtId="0" fontId="32" fillId="0" borderId="0" xfId="0" applyFont="1" applyAlignment="1">
      <alignment horizontal="center"/>
    </xf>
    <xf numFmtId="49" fontId="32" fillId="0" borderId="0" xfId="0" applyNumberFormat="1" applyFont="1" applyAlignment="1">
      <alignment horizontal="center"/>
    </xf>
    <xf numFmtId="2" fontId="32" fillId="0" borderId="0" xfId="0" applyNumberFormat="1" applyFont="1" applyAlignment="1">
      <alignment horizontal="center"/>
    </xf>
    <xf numFmtId="2" fontId="32" fillId="0" borderId="0" xfId="0" applyNumberFormat="1" applyFont="1" applyAlignment="1">
      <alignment horizontal="right"/>
    </xf>
    <xf numFmtId="0" fontId="32" fillId="0" borderId="0" xfId="0" applyFont="1" applyAlignment="1">
      <alignment horizontal="right"/>
    </xf>
    <xf numFmtId="0" fontId="32" fillId="0" borderId="0" xfId="0" applyFont="1" applyAlignment="1">
      <alignment/>
    </xf>
    <xf numFmtId="0" fontId="32" fillId="0" borderId="11" xfId="0" applyFont="1" applyBorder="1" applyAlignment="1">
      <alignment/>
    </xf>
    <xf numFmtId="0" fontId="38" fillId="0" borderId="0" xfId="0" applyFont="1" applyAlignment="1">
      <alignment/>
    </xf>
    <xf numFmtId="2" fontId="0" fillId="0" borderId="0" xfId="0" applyNumberFormat="1" applyFont="1" applyAlignment="1">
      <alignment/>
    </xf>
    <xf numFmtId="0" fontId="32" fillId="0" borderId="0" xfId="0" applyFont="1" applyBorder="1" applyAlignment="1">
      <alignment/>
    </xf>
    <xf numFmtId="0" fontId="38" fillId="0" borderId="0" xfId="0" applyFont="1" applyBorder="1" applyAlignment="1">
      <alignment/>
    </xf>
    <xf numFmtId="0" fontId="0" fillId="0" borderId="0" xfId="0"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2" fontId="0" fillId="0" borderId="0" xfId="0" applyNumberFormat="1" applyBorder="1" applyAlignment="1">
      <alignment/>
    </xf>
    <xf numFmtId="0" fontId="0" fillId="0" borderId="0" xfId="0" applyFont="1" applyFill="1" applyBorder="1" applyAlignment="1">
      <alignment horizontal="center"/>
    </xf>
    <xf numFmtId="0" fontId="32" fillId="0" borderId="0" xfId="0" applyFont="1" applyFill="1" applyAlignment="1">
      <alignment/>
    </xf>
    <xf numFmtId="0" fontId="15" fillId="34" borderId="24" xfId="0" applyFont="1" applyFill="1" applyBorder="1" applyAlignment="1" applyProtection="1">
      <alignment vertical="center"/>
      <protection/>
    </xf>
    <xf numFmtId="4" fontId="33" fillId="8" borderId="25" xfId="0" applyNumberFormat="1" applyFont="1" applyFill="1" applyBorder="1" applyAlignment="1">
      <alignment vertical="center"/>
    </xf>
    <xf numFmtId="3" fontId="33" fillId="8" borderId="26" xfId="0" applyNumberFormat="1" applyFont="1" applyFill="1" applyBorder="1" applyAlignment="1">
      <alignment vertical="center"/>
    </xf>
    <xf numFmtId="0" fontId="13" fillId="33" borderId="27" xfId="0" applyFont="1" applyFill="1" applyBorder="1" applyAlignment="1" applyProtection="1">
      <alignment horizontal="center" vertical="center" wrapText="1"/>
      <protection/>
    </xf>
    <xf numFmtId="0" fontId="32" fillId="0" borderId="0" xfId="0" applyFont="1" applyFill="1" applyBorder="1" applyAlignment="1">
      <alignment/>
    </xf>
    <xf numFmtId="2" fontId="0" fillId="0" borderId="0" xfId="0" applyNumberFormat="1" applyFont="1" applyAlignment="1">
      <alignment horizontal="right"/>
    </xf>
    <xf numFmtId="2" fontId="0" fillId="0" borderId="11" xfId="0" applyNumberFormat="1" applyFont="1" applyBorder="1" applyAlignment="1">
      <alignment horizontal="right"/>
    </xf>
    <xf numFmtId="0" fontId="46" fillId="7" borderId="25" xfId="0" applyFont="1" applyFill="1" applyBorder="1" applyAlignment="1">
      <alignment vertical="center"/>
    </xf>
    <xf numFmtId="0" fontId="46" fillId="7" borderId="17" xfId="0" applyFont="1" applyFill="1" applyBorder="1" applyAlignment="1" applyProtection="1">
      <alignment vertical="center"/>
      <protection/>
    </xf>
    <xf numFmtId="0" fontId="46" fillId="7" borderId="17" xfId="0" applyNumberFormat="1" applyFont="1" applyFill="1" applyBorder="1" applyAlignment="1" applyProtection="1">
      <alignment vertical="center"/>
      <protection/>
    </xf>
    <xf numFmtId="0" fontId="46" fillId="7" borderId="17" xfId="0" applyFont="1" applyFill="1" applyBorder="1" applyAlignment="1">
      <alignment vertical="center"/>
    </xf>
    <xf numFmtId="204" fontId="46" fillId="7" borderId="17" xfId="0" applyNumberFormat="1" applyFont="1" applyFill="1" applyBorder="1" applyAlignment="1">
      <alignment vertical="center"/>
    </xf>
    <xf numFmtId="0" fontId="46" fillId="7" borderId="17" xfId="0" applyNumberFormat="1" applyFont="1" applyFill="1" applyBorder="1" applyAlignment="1" applyProtection="1">
      <alignment vertical="center"/>
      <protection locked="0"/>
    </xf>
    <xf numFmtId="0" fontId="46" fillId="7" borderId="17" xfId="0" applyNumberFormat="1" applyFont="1" applyFill="1" applyBorder="1" applyAlignment="1">
      <alignment vertical="center"/>
    </xf>
    <xf numFmtId="0" fontId="158" fillId="7" borderId="17" xfId="0" applyFont="1" applyFill="1" applyBorder="1" applyAlignment="1">
      <alignment vertical="center"/>
    </xf>
    <xf numFmtId="0" fontId="45" fillId="7" borderId="17" xfId="0" applyNumberFormat="1" applyFont="1" applyFill="1" applyBorder="1" applyAlignment="1">
      <alignment vertical="center"/>
    </xf>
    <xf numFmtId="0" fontId="45" fillId="7" borderId="17" xfId="0" applyFont="1" applyFill="1" applyBorder="1" applyAlignment="1">
      <alignment vertical="center"/>
    </xf>
    <xf numFmtId="0" fontId="45" fillId="7" borderId="17" xfId="0" applyNumberFormat="1" applyFont="1" applyFill="1" applyBorder="1" applyAlignment="1" applyProtection="1">
      <alignment vertical="center"/>
      <protection locked="0"/>
    </xf>
    <xf numFmtId="204" fontId="45" fillId="7" borderId="17" xfId="0" applyNumberFormat="1" applyFont="1" applyFill="1" applyBorder="1" applyAlignment="1">
      <alignment vertical="center"/>
    </xf>
    <xf numFmtId="204" fontId="45" fillId="7" borderId="25" xfId="0" applyNumberFormat="1" applyFont="1" applyFill="1" applyBorder="1" applyAlignment="1">
      <alignment vertical="center"/>
    </xf>
    <xf numFmtId="204" fontId="46" fillId="7" borderId="25" xfId="0" applyNumberFormat="1" applyFont="1" applyFill="1" applyBorder="1" applyAlignment="1">
      <alignment vertical="center"/>
    </xf>
    <xf numFmtId="0" fontId="32" fillId="33" borderId="0" xfId="0" applyFont="1" applyFill="1" applyAlignment="1">
      <alignment/>
    </xf>
    <xf numFmtId="0" fontId="64" fillId="33" borderId="0" xfId="0" applyFont="1" applyFill="1" applyAlignment="1">
      <alignment/>
    </xf>
    <xf numFmtId="0" fontId="38" fillId="33" borderId="0" xfId="0" applyFont="1" applyFill="1" applyAlignment="1">
      <alignment/>
    </xf>
    <xf numFmtId="0" fontId="0" fillId="33" borderId="0" xfId="0" applyFill="1" applyAlignment="1">
      <alignment/>
    </xf>
    <xf numFmtId="0" fontId="38" fillId="33" borderId="0" xfId="0" applyFont="1" applyFill="1" applyAlignment="1">
      <alignment horizontal="center"/>
    </xf>
    <xf numFmtId="0" fontId="49" fillId="35" borderId="0" xfId="0" applyFont="1" applyFill="1" applyAlignment="1">
      <alignment horizontal="center" vertical="center"/>
    </xf>
    <xf numFmtId="0" fontId="48" fillId="35" borderId="0" xfId="0" applyFont="1" applyFill="1" applyAlignment="1">
      <alignment horizontal="center" vertical="center"/>
    </xf>
    <xf numFmtId="0" fontId="48" fillId="35" borderId="0" xfId="0" applyFont="1" applyFill="1" applyAlignment="1">
      <alignment horizontal="center"/>
    </xf>
    <xf numFmtId="0" fontId="32" fillId="33" borderId="11" xfId="0" applyFont="1" applyFill="1" applyBorder="1" applyAlignment="1">
      <alignment/>
    </xf>
    <xf numFmtId="0" fontId="64" fillId="33" borderId="11" xfId="0" applyFont="1" applyFill="1" applyBorder="1" applyAlignment="1">
      <alignment/>
    </xf>
    <xf numFmtId="0" fontId="38" fillId="33" borderId="11" xfId="0" applyFont="1" applyFill="1" applyBorder="1" applyAlignment="1">
      <alignment horizontal="center"/>
    </xf>
    <xf numFmtId="0" fontId="49" fillId="35" borderId="11" xfId="0" applyFont="1" applyFill="1" applyBorder="1" applyAlignment="1">
      <alignment horizontal="center" vertical="center"/>
    </xf>
    <xf numFmtId="2" fontId="32" fillId="36" borderId="11" xfId="0" applyNumberFormat="1" applyFont="1" applyFill="1" applyBorder="1" applyAlignment="1">
      <alignment/>
    </xf>
    <xf numFmtId="0" fontId="48" fillId="35" borderId="11" xfId="0" applyFont="1" applyFill="1" applyBorder="1" applyAlignment="1">
      <alignment horizontal="center" vertical="center"/>
    </xf>
    <xf numFmtId="0" fontId="48" fillId="35" borderId="11" xfId="0" applyFont="1" applyFill="1" applyBorder="1" applyAlignment="1">
      <alignment horizontal="center"/>
    </xf>
    <xf numFmtId="0" fontId="32" fillId="37" borderId="0" xfId="0" applyFont="1" applyFill="1" applyAlignment="1">
      <alignment/>
    </xf>
    <xf numFmtId="0" fontId="64" fillId="37" borderId="0" xfId="0" applyFont="1" applyFill="1" applyAlignment="1">
      <alignment/>
    </xf>
    <xf numFmtId="0" fontId="65" fillId="37" borderId="0" xfId="0" applyFont="1" applyFill="1" applyAlignment="1">
      <alignment horizontal="left"/>
    </xf>
    <xf numFmtId="2" fontId="49" fillId="35" borderId="0" xfId="0" applyNumberFormat="1" applyFont="1" applyFill="1" applyAlignment="1">
      <alignment horizontal="right"/>
    </xf>
    <xf numFmtId="0" fontId="0" fillId="0" borderId="0" xfId="0" applyFont="1" applyAlignment="1">
      <alignment horizontal="center"/>
    </xf>
    <xf numFmtId="0" fontId="64" fillId="0" borderId="0" xfId="0" applyFont="1" applyAlignment="1">
      <alignment/>
    </xf>
    <xf numFmtId="0" fontId="65" fillId="33" borderId="0" xfId="0" applyFont="1" applyFill="1" applyAlignment="1">
      <alignment horizontal="left"/>
    </xf>
    <xf numFmtId="2" fontId="0" fillId="0" borderId="0" xfId="0" applyNumberFormat="1" applyFont="1" applyBorder="1" applyAlignment="1">
      <alignment horizontal="right"/>
    </xf>
    <xf numFmtId="0" fontId="65" fillId="37" borderId="0" xfId="0" applyFont="1" applyFill="1" applyAlignment="1" applyProtection="1">
      <alignment horizontal="left" vertical="center"/>
      <protection locked="0"/>
    </xf>
    <xf numFmtId="0" fontId="65" fillId="33" borderId="11" xfId="0" applyFont="1" applyFill="1" applyBorder="1" applyAlignment="1">
      <alignment horizontal="left"/>
    </xf>
    <xf numFmtId="2" fontId="49" fillId="35" borderId="11" xfId="0" applyNumberFormat="1" applyFont="1" applyFill="1" applyBorder="1" applyAlignment="1">
      <alignment horizontal="right"/>
    </xf>
    <xf numFmtId="2" fontId="0" fillId="0" borderId="11" xfId="0" applyNumberFormat="1" applyFont="1" applyBorder="1" applyAlignment="1">
      <alignment/>
    </xf>
    <xf numFmtId="0" fontId="0" fillId="0" borderId="11" xfId="0" applyFont="1" applyBorder="1" applyAlignment="1">
      <alignment horizontal="center"/>
    </xf>
    <xf numFmtId="0" fontId="49" fillId="0" borderId="0" xfId="0" applyFont="1" applyAlignment="1">
      <alignment horizontal="right"/>
    </xf>
    <xf numFmtId="0" fontId="50" fillId="37" borderId="0" xfId="0" applyFont="1" applyFill="1" applyAlignment="1">
      <alignment/>
    </xf>
    <xf numFmtId="0" fontId="66" fillId="37" borderId="0" xfId="0" applyFont="1" applyFill="1" applyAlignment="1">
      <alignment horizontal="left"/>
    </xf>
    <xf numFmtId="0" fontId="50" fillId="0" borderId="0" xfId="0" applyFont="1" applyAlignment="1">
      <alignment/>
    </xf>
    <xf numFmtId="0" fontId="66" fillId="33" borderId="0" xfId="0" applyFont="1" applyFill="1" applyAlignment="1">
      <alignment horizontal="left"/>
    </xf>
    <xf numFmtId="0" fontId="51" fillId="37" borderId="0" xfId="0" applyFont="1" applyFill="1" applyAlignment="1">
      <alignment/>
    </xf>
    <xf numFmtId="0" fontId="66" fillId="37" borderId="0" xfId="0" applyFont="1" applyFill="1" applyAlignment="1" applyProtection="1">
      <alignment horizontal="left" vertical="center"/>
      <protection locked="0"/>
    </xf>
    <xf numFmtId="0" fontId="50" fillId="33" borderId="0" xfId="0" applyFont="1" applyFill="1" applyAlignment="1">
      <alignment/>
    </xf>
    <xf numFmtId="0" fontId="51" fillId="0" borderId="11" xfId="0" applyFont="1" applyBorder="1" applyAlignment="1">
      <alignment/>
    </xf>
    <xf numFmtId="0" fontId="66" fillId="33" borderId="11" xfId="0" applyFont="1" applyFill="1" applyBorder="1" applyAlignment="1">
      <alignment horizontal="left"/>
    </xf>
    <xf numFmtId="0" fontId="49" fillId="0" borderId="0" xfId="0" applyFont="1" applyAlignment="1">
      <alignment/>
    </xf>
    <xf numFmtId="2" fontId="49" fillId="35" borderId="0" xfId="0" applyNumberFormat="1" applyFont="1" applyFill="1" applyAlignment="1">
      <alignment/>
    </xf>
    <xf numFmtId="0" fontId="51" fillId="33" borderId="0" xfId="0" applyFont="1" applyFill="1" applyAlignment="1">
      <alignment/>
    </xf>
    <xf numFmtId="0" fontId="66" fillId="33" borderId="0" xfId="0" applyFont="1" applyFill="1" applyBorder="1" applyAlignment="1">
      <alignment horizontal="left"/>
    </xf>
    <xf numFmtId="0" fontId="0" fillId="0" borderId="0" xfId="0" applyFont="1" applyBorder="1" applyAlignment="1">
      <alignment horizontal="center"/>
    </xf>
    <xf numFmtId="0" fontId="32" fillId="37" borderId="11" xfId="0" applyFont="1" applyFill="1" applyBorder="1" applyAlignment="1">
      <alignment/>
    </xf>
    <xf numFmtId="0" fontId="50" fillId="37" borderId="11" xfId="0" applyFont="1" applyFill="1" applyBorder="1" applyAlignment="1">
      <alignment/>
    </xf>
    <xf numFmtId="0" fontId="66" fillId="37" borderId="11" xfId="0" applyFont="1" applyFill="1" applyBorder="1" applyAlignment="1">
      <alignment horizontal="left"/>
    </xf>
    <xf numFmtId="2" fontId="49" fillId="35" borderId="11" xfId="0" applyNumberFormat="1" applyFont="1" applyFill="1" applyBorder="1" applyAlignment="1">
      <alignment/>
    </xf>
    <xf numFmtId="0" fontId="64" fillId="0" borderId="0" xfId="0" applyFont="1" applyBorder="1" applyAlignment="1">
      <alignment/>
    </xf>
    <xf numFmtId="0" fontId="49" fillId="0" borderId="0" xfId="0" applyFont="1" applyBorder="1" applyAlignment="1">
      <alignment/>
    </xf>
    <xf numFmtId="0" fontId="66" fillId="0" borderId="0" xfId="0" applyFont="1" applyFill="1" applyAlignment="1" applyProtection="1">
      <alignment horizontal="left" vertical="center"/>
      <protection locked="0"/>
    </xf>
    <xf numFmtId="0" fontId="32" fillId="33" borderId="0" xfId="0" applyFont="1" applyFill="1" applyBorder="1" applyAlignment="1">
      <alignment/>
    </xf>
    <xf numFmtId="2" fontId="49" fillId="35" borderId="0" xfId="0" applyNumberFormat="1" applyFont="1" applyFill="1" applyBorder="1" applyAlignment="1">
      <alignment/>
    </xf>
    <xf numFmtId="0" fontId="51" fillId="0" borderId="0" xfId="0" applyFont="1" applyFill="1" applyAlignment="1">
      <alignment/>
    </xf>
    <xf numFmtId="0" fontId="65" fillId="0" borderId="0" xfId="0" applyFont="1" applyFill="1" applyAlignment="1">
      <alignment horizontal="left"/>
    </xf>
    <xf numFmtId="0" fontId="32" fillId="37" borderId="0" xfId="0" applyFont="1" applyFill="1" applyBorder="1" applyAlignment="1">
      <alignment/>
    </xf>
    <xf numFmtId="0" fontId="66" fillId="37" borderId="0" xfId="0" applyFont="1" applyFill="1" applyBorder="1" applyAlignment="1">
      <alignment horizontal="left"/>
    </xf>
    <xf numFmtId="0" fontId="50" fillId="33" borderId="11" xfId="0" applyFont="1" applyFill="1" applyBorder="1" applyAlignment="1">
      <alignment/>
    </xf>
    <xf numFmtId="0" fontId="50" fillId="0" borderId="0" xfId="0" applyFont="1" applyFill="1" applyAlignment="1">
      <alignment/>
    </xf>
    <xf numFmtId="0" fontId="66" fillId="0" borderId="0" xfId="0" applyFont="1" applyFill="1" applyAlignment="1">
      <alignment horizontal="left"/>
    </xf>
    <xf numFmtId="0" fontId="66" fillId="0" borderId="0" xfId="0" applyFont="1" applyFill="1" applyBorder="1" applyAlignment="1">
      <alignment horizontal="left"/>
    </xf>
    <xf numFmtId="0" fontId="160" fillId="37" borderId="0" xfId="0" applyFont="1" applyFill="1" applyAlignment="1">
      <alignment/>
    </xf>
    <xf numFmtId="0" fontId="32" fillId="0" borderId="11" xfId="0" applyFont="1" applyFill="1" applyBorder="1" applyAlignment="1">
      <alignment/>
    </xf>
    <xf numFmtId="0" fontId="51" fillId="0" borderId="11" xfId="0" applyFont="1" applyFill="1" applyBorder="1" applyAlignment="1">
      <alignment/>
    </xf>
    <xf numFmtId="0" fontId="66" fillId="0" borderId="11" xfId="0" applyFont="1" applyFill="1" applyBorder="1" applyAlignment="1">
      <alignment horizontal="left"/>
    </xf>
    <xf numFmtId="0" fontId="47" fillId="0" borderId="0" xfId="0" applyFont="1" applyAlignment="1">
      <alignment horizontal="right"/>
    </xf>
    <xf numFmtId="0" fontId="19" fillId="34" borderId="28" xfId="0" applyFont="1" applyFill="1" applyBorder="1" applyAlignment="1">
      <alignment horizontal="center"/>
    </xf>
    <xf numFmtId="190" fontId="19" fillId="34" borderId="28" xfId="0" applyNumberFormat="1" applyFont="1" applyFill="1" applyBorder="1" applyAlignment="1">
      <alignment horizontal="center"/>
    </xf>
    <xf numFmtId="49" fontId="19" fillId="34" borderId="28" xfId="0" applyNumberFormat="1" applyFont="1" applyFill="1" applyBorder="1" applyAlignment="1">
      <alignment horizontal="center"/>
    </xf>
    <xf numFmtId="4" fontId="19" fillId="34" borderId="28" xfId="0" applyNumberFormat="1" applyFont="1" applyFill="1" applyBorder="1" applyAlignment="1">
      <alignment horizontal="center"/>
    </xf>
    <xf numFmtId="3" fontId="19" fillId="34" borderId="28" xfId="0" applyNumberFormat="1" applyFont="1" applyFill="1" applyBorder="1" applyAlignment="1">
      <alignment horizontal="center"/>
    </xf>
    <xf numFmtId="0" fontId="47" fillId="0" borderId="0" xfId="0" applyFont="1" applyAlignment="1">
      <alignment horizontal="center"/>
    </xf>
    <xf numFmtId="0" fontId="19" fillId="34" borderId="12" xfId="0" applyFont="1" applyFill="1" applyBorder="1" applyAlignment="1">
      <alignment horizontal="center"/>
    </xf>
    <xf numFmtId="190" fontId="19" fillId="34" borderId="12" xfId="0" applyNumberFormat="1" applyFont="1" applyFill="1" applyBorder="1" applyAlignment="1">
      <alignment horizontal="center"/>
    </xf>
    <xf numFmtId="49" fontId="19" fillId="34" borderId="12" xfId="0" applyNumberFormat="1" applyFont="1" applyFill="1" applyBorder="1" applyAlignment="1">
      <alignment horizontal="center"/>
    </xf>
    <xf numFmtId="4" fontId="19" fillId="34" borderId="12" xfId="0" applyNumberFormat="1" applyFont="1" applyFill="1" applyBorder="1" applyAlignment="1">
      <alignment horizontal="center"/>
    </xf>
    <xf numFmtId="3" fontId="19" fillId="34" borderId="12" xfId="0" applyNumberFormat="1" applyFont="1" applyFill="1" applyBorder="1" applyAlignment="1">
      <alignment horizontal="center"/>
    </xf>
    <xf numFmtId="0" fontId="47" fillId="0" borderId="10" xfId="0" applyFont="1" applyBorder="1" applyAlignment="1">
      <alignment horizontal="right"/>
    </xf>
    <xf numFmtId="190" fontId="47" fillId="0" borderId="10" xfId="0" applyNumberFormat="1" applyFont="1" applyBorder="1" applyAlignment="1">
      <alignment horizontal="right"/>
    </xf>
    <xf numFmtId="49" fontId="47" fillId="0" borderId="10" xfId="0" applyNumberFormat="1" applyFont="1" applyBorder="1" applyAlignment="1">
      <alignment horizontal="right"/>
    </xf>
    <xf numFmtId="4" fontId="47" fillId="0" borderId="10" xfId="0" applyNumberFormat="1" applyFont="1" applyBorder="1" applyAlignment="1">
      <alignment horizontal="right"/>
    </xf>
    <xf numFmtId="3" fontId="47" fillId="0" borderId="29" xfId="0" applyNumberFormat="1" applyFont="1" applyBorder="1" applyAlignment="1">
      <alignment horizontal="right"/>
    </xf>
    <xf numFmtId="4" fontId="47" fillId="0" borderId="30" xfId="0" applyNumberFormat="1" applyFont="1" applyBorder="1" applyAlignment="1">
      <alignment horizontal="right"/>
    </xf>
    <xf numFmtId="3" fontId="47" fillId="0" borderId="10" xfId="0" applyNumberFormat="1" applyFont="1" applyBorder="1" applyAlignment="1">
      <alignment horizontal="right"/>
    </xf>
    <xf numFmtId="9" fontId="47" fillId="0" borderId="10" xfId="0" applyNumberFormat="1" applyFont="1" applyBorder="1" applyAlignment="1">
      <alignment horizontal="right"/>
    </xf>
    <xf numFmtId="0" fontId="54" fillId="0" borderId="10" xfId="0" applyFont="1" applyBorder="1" applyAlignment="1">
      <alignment horizontal="center"/>
    </xf>
    <xf numFmtId="0" fontId="47" fillId="38" borderId="28" xfId="0" applyFont="1" applyFill="1" applyBorder="1" applyAlignment="1">
      <alignment horizontal="right"/>
    </xf>
    <xf numFmtId="190" fontId="47" fillId="38" borderId="28" xfId="0" applyNumberFormat="1" applyFont="1" applyFill="1" applyBorder="1" applyAlignment="1">
      <alignment horizontal="right"/>
    </xf>
    <xf numFmtId="49" fontId="47" fillId="38" borderId="28" xfId="0" applyNumberFormat="1" applyFont="1" applyFill="1" applyBorder="1" applyAlignment="1">
      <alignment horizontal="right"/>
    </xf>
    <xf numFmtId="4" fontId="47" fillId="38" borderId="28" xfId="0" applyNumberFormat="1" applyFont="1" applyFill="1" applyBorder="1" applyAlignment="1">
      <alignment horizontal="right"/>
    </xf>
    <xf numFmtId="3" fontId="47" fillId="38" borderId="31" xfId="0" applyNumberFormat="1" applyFont="1" applyFill="1" applyBorder="1" applyAlignment="1">
      <alignment horizontal="right"/>
    </xf>
    <xf numFmtId="4" fontId="47" fillId="38" borderId="32" xfId="0" applyNumberFormat="1" applyFont="1" applyFill="1" applyBorder="1" applyAlignment="1">
      <alignment horizontal="right"/>
    </xf>
    <xf numFmtId="3" fontId="47" fillId="38" borderId="28" xfId="0" applyNumberFormat="1" applyFont="1" applyFill="1" applyBorder="1" applyAlignment="1">
      <alignment horizontal="right"/>
    </xf>
    <xf numFmtId="9" fontId="47" fillId="38" borderId="28" xfId="0" applyNumberFormat="1" applyFont="1" applyFill="1" applyBorder="1" applyAlignment="1">
      <alignment horizontal="right"/>
    </xf>
    <xf numFmtId="0" fontId="54" fillId="38" borderId="28" xfId="0" applyFont="1" applyFill="1" applyBorder="1" applyAlignment="1">
      <alignment horizontal="center"/>
    </xf>
    <xf numFmtId="190" fontId="47" fillId="0" borderId="0" xfId="0" applyNumberFormat="1" applyFont="1" applyAlignment="1">
      <alignment horizontal="right"/>
    </xf>
    <xf numFmtId="49" fontId="47" fillId="0" borderId="0" xfId="0" applyNumberFormat="1" applyFont="1" applyAlignment="1">
      <alignment horizontal="right"/>
    </xf>
    <xf numFmtId="4" fontId="47" fillId="0" borderId="0" xfId="0" applyNumberFormat="1" applyFont="1" applyAlignment="1">
      <alignment horizontal="right"/>
    </xf>
    <xf numFmtId="3" fontId="47" fillId="0" borderId="0" xfId="0" applyNumberFormat="1" applyFont="1" applyAlignment="1">
      <alignment horizontal="right"/>
    </xf>
    <xf numFmtId="0" fontId="47" fillId="0" borderId="28" xfId="0" applyFont="1" applyBorder="1" applyAlignment="1">
      <alignment horizontal="right"/>
    </xf>
    <xf numFmtId="190" fontId="47" fillId="0" borderId="28" xfId="0" applyNumberFormat="1" applyFont="1" applyBorder="1" applyAlignment="1">
      <alignment horizontal="right"/>
    </xf>
    <xf numFmtId="49" fontId="47" fillId="0" borderId="28" xfId="0" applyNumberFormat="1" applyFont="1" applyBorder="1" applyAlignment="1">
      <alignment horizontal="right"/>
    </xf>
    <xf numFmtId="4" fontId="47" fillId="0" borderId="28" xfId="0" applyNumberFormat="1" applyFont="1" applyBorder="1" applyAlignment="1">
      <alignment horizontal="right"/>
    </xf>
    <xf numFmtId="3" fontId="47" fillId="0" borderId="28" xfId="0" applyNumberFormat="1" applyFont="1" applyBorder="1" applyAlignment="1">
      <alignment horizontal="right"/>
    </xf>
    <xf numFmtId="9" fontId="47" fillId="0" borderId="28" xfId="0" applyNumberFormat="1" applyFont="1" applyBorder="1" applyAlignment="1">
      <alignment horizontal="right"/>
    </xf>
    <xf numFmtId="0" fontId="54" fillId="0" borderId="28" xfId="0" applyFont="1" applyBorder="1" applyAlignment="1">
      <alignment horizontal="center"/>
    </xf>
    <xf numFmtId="0" fontId="47" fillId="0" borderId="28" xfId="0" applyFont="1" applyBorder="1" applyAlignment="1">
      <alignment horizontal="center"/>
    </xf>
    <xf numFmtId="0" fontId="47" fillId="35" borderId="0" xfId="0" applyFont="1" applyFill="1" applyAlignment="1">
      <alignment horizontal="right"/>
    </xf>
    <xf numFmtId="190" fontId="47" fillId="35" borderId="0" xfId="0" applyNumberFormat="1" applyFont="1" applyFill="1" applyAlignment="1">
      <alignment horizontal="right"/>
    </xf>
    <xf numFmtId="49" fontId="47" fillId="35" borderId="0" xfId="0" applyNumberFormat="1" applyFont="1" applyFill="1" applyAlignment="1">
      <alignment horizontal="right"/>
    </xf>
    <xf numFmtId="4" fontId="47" fillId="35" borderId="0" xfId="0" applyNumberFormat="1" applyFont="1" applyFill="1" applyAlignment="1">
      <alignment horizontal="right"/>
    </xf>
    <xf numFmtId="3" fontId="47" fillId="35" borderId="0" xfId="0" applyNumberFormat="1" applyFont="1" applyFill="1" applyAlignment="1">
      <alignment horizontal="right"/>
    </xf>
    <xf numFmtId="0" fontId="47" fillId="35" borderId="0" xfId="0" applyFont="1" applyFill="1" applyAlignment="1">
      <alignment horizontal="center"/>
    </xf>
    <xf numFmtId="0" fontId="47" fillId="39" borderId="28" xfId="0" applyFont="1" applyFill="1" applyBorder="1" applyAlignment="1">
      <alignment horizontal="right"/>
    </xf>
    <xf numFmtId="190" fontId="47" fillId="39" borderId="28" xfId="0" applyNumberFormat="1" applyFont="1" applyFill="1" applyBorder="1" applyAlignment="1">
      <alignment horizontal="right"/>
    </xf>
    <xf numFmtId="49" fontId="47" fillId="39" borderId="28" xfId="0" applyNumberFormat="1" applyFont="1" applyFill="1" applyBorder="1" applyAlignment="1">
      <alignment horizontal="right"/>
    </xf>
    <xf numFmtId="4" fontId="47" fillId="39" borderId="28" xfId="0" applyNumberFormat="1" applyFont="1" applyFill="1" applyBorder="1" applyAlignment="1">
      <alignment horizontal="right"/>
    </xf>
    <xf numFmtId="3" fontId="47" fillId="39" borderId="28" xfId="0" applyNumberFormat="1" applyFont="1" applyFill="1" applyBorder="1" applyAlignment="1">
      <alignment horizontal="right"/>
    </xf>
    <xf numFmtId="0" fontId="47" fillId="39" borderId="28" xfId="0" applyFont="1" applyFill="1" applyBorder="1" applyAlignment="1">
      <alignment horizontal="center"/>
    </xf>
    <xf numFmtId="0" fontId="53" fillId="37" borderId="28" xfId="0" applyFont="1" applyFill="1" applyBorder="1" applyAlignment="1">
      <alignment horizontal="right"/>
    </xf>
    <xf numFmtId="190" fontId="53" fillId="37" borderId="28" xfId="0" applyNumberFormat="1" applyFont="1" applyFill="1" applyBorder="1" applyAlignment="1">
      <alignment horizontal="right"/>
    </xf>
    <xf numFmtId="49" fontId="53" fillId="37" borderId="28" xfId="0" applyNumberFormat="1" applyFont="1" applyFill="1" applyBorder="1" applyAlignment="1">
      <alignment horizontal="right"/>
    </xf>
    <xf numFmtId="4" fontId="53" fillId="37" borderId="28" xfId="0" applyNumberFormat="1" applyFont="1" applyFill="1" applyBorder="1" applyAlignment="1">
      <alignment horizontal="right"/>
    </xf>
    <xf numFmtId="3" fontId="53" fillId="37" borderId="28" xfId="0" applyNumberFormat="1" applyFont="1" applyFill="1" applyBorder="1" applyAlignment="1">
      <alignment horizontal="right"/>
    </xf>
    <xf numFmtId="0" fontId="53" fillId="37" borderId="28" xfId="0" applyFont="1" applyFill="1" applyBorder="1" applyAlignment="1">
      <alignment horizontal="center"/>
    </xf>
    <xf numFmtId="49" fontId="0" fillId="35" borderId="0" xfId="0" applyNumberFormat="1" applyFill="1" applyAlignment="1">
      <alignment horizontal="right"/>
    </xf>
    <xf numFmtId="0" fontId="19" fillId="40" borderId="28" xfId="0" applyFont="1" applyFill="1" applyBorder="1" applyAlignment="1">
      <alignment horizontal="center"/>
    </xf>
    <xf numFmtId="190" fontId="19" fillId="40" borderId="28" xfId="0" applyNumberFormat="1" applyFont="1" applyFill="1" applyBorder="1" applyAlignment="1">
      <alignment horizontal="center"/>
    </xf>
    <xf numFmtId="49" fontId="19" fillId="40" borderId="28" xfId="0" applyNumberFormat="1" applyFont="1" applyFill="1" applyBorder="1" applyAlignment="1">
      <alignment horizontal="center"/>
    </xf>
    <xf numFmtId="4" fontId="19" fillId="40" borderId="28" xfId="0" applyNumberFormat="1" applyFont="1" applyFill="1" applyBorder="1" applyAlignment="1">
      <alignment horizontal="center"/>
    </xf>
    <xf numFmtId="3" fontId="19" fillId="40" borderId="28" xfId="0" applyNumberFormat="1" applyFont="1" applyFill="1" applyBorder="1" applyAlignment="1">
      <alignment horizontal="center"/>
    </xf>
    <xf numFmtId="0" fontId="19" fillId="40" borderId="12" xfId="0" applyFont="1" applyFill="1" applyBorder="1" applyAlignment="1">
      <alignment horizontal="center"/>
    </xf>
    <xf numFmtId="190" fontId="19" fillId="40" borderId="12" xfId="0" applyNumberFormat="1" applyFont="1" applyFill="1" applyBorder="1" applyAlignment="1">
      <alignment horizontal="center"/>
    </xf>
    <xf numFmtId="49" fontId="19" fillId="40" borderId="12" xfId="0" applyNumberFormat="1" applyFont="1" applyFill="1" applyBorder="1" applyAlignment="1">
      <alignment horizontal="center"/>
    </xf>
    <xf numFmtId="4" fontId="19" fillId="40" borderId="12" xfId="0" applyNumberFormat="1" applyFont="1" applyFill="1" applyBorder="1" applyAlignment="1">
      <alignment horizontal="center"/>
    </xf>
    <xf numFmtId="3" fontId="19" fillId="40" borderId="12" xfId="0" applyNumberFormat="1" applyFont="1" applyFill="1" applyBorder="1" applyAlignment="1">
      <alignment horizontal="center"/>
    </xf>
    <xf numFmtId="0" fontId="55" fillId="0" borderId="28" xfId="0" applyFont="1" applyBorder="1" applyAlignment="1">
      <alignment horizontal="center"/>
    </xf>
    <xf numFmtId="0" fontId="53" fillId="41" borderId="0" xfId="0" applyFont="1" applyFill="1" applyAlignment="1">
      <alignment horizontal="right"/>
    </xf>
    <xf numFmtId="190" fontId="53" fillId="41" borderId="0" xfId="0" applyNumberFormat="1" applyFont="1" applyFill="1" applyAlignment="1">
      <alignment horizontal="right"/>
    </xf>
    <xf numFmtId="49" fontId="53" fillId="41" borderId="0" xfId="0" applyNumberFormat="1" applyFont="1" applyFill="1" applyAlignment="1">
      <alignment horizontal="right"/>
    </xf>
    <xf numFmtId="4" fontId="53" fillId="41" borderId="0" xfId="0" applyNumberFormat="1" applyFont="1" applyFill="1" applyAlignment="1">
      <alignment horizontal="right"/>
    </xf>
    <xf numFmtId="3" fontId="53" fillId="41" borderId="0" xfId="0" applyNumberFormat="1" applyFont="1" applyFill="1" applyAlignment="1">
      <alignment horizontal="right"/>
    </xf>
    <xf numFmtId="0" fontId="53" fillId="41" borderId="0" xfId="0" applyFont="1" applyFill="1" applyAlignment="1">
      <alignment horizontal="center"/>
    </xf>
    <xf numFmtId="0" fontId="53" fillId="42" borderId="0" xfId="0" applyFont="1" applyFill="1" applyAlignment="1">
      <alignment horizontal="right"/>
    </xf>
    <xf numFmtId="190" fontId="53" fillId="42" borderId="0" xfId="0" applyNumberFormat="1" applyFont="1" applyFill="1" applyAlignment="1">
      <alignment horizontal="right"/>
    </xf>
    <xf numFmtId="49" fontId="53" fillId="42" borderId="0" xfId="0" applyNumberFormat="1" applyFont="1" applyFill="1" applyAlignment="1">
      <alignment horizontal="right"/>
    </xf>
    <xf numFmtId="4" fontId="53" fillId="42" borderId="0" xfId="0" applyNumberFormat="1" applyFont="1" applyFill="1" applyAlignment="1">
      <alignment horizontal="right"/>
    </xf>
    <xf numFmtId="3" fontId="53" fillId="42" borderId="0" xfId="0" applyNumberFormat="1" applyFont="1" applyFill="1" applyAlignment="1">
      <alignment horizontal="right"/>
    </xf>
    <xf numFmtId="0" fontId="53" fillId="42" borderId="0" xfId="0" applyFont="1" applyFill="1" applyAlignment="1">
      <alignment horizontal="center"/>
    </xf>
    <xf numFmtId="0" fontId="47" fillId="38" borderId="28" xfId="0" applyFont="1" applyFill="1" applyBorder="1" applyAlignment="1">
      <alignment horizontal="center"/>
    </xf>
    <xf numFmtId="0" fontId="47" fillId="0" borderId="0" xfId="0" applyFont="1" applyFill="1" applyBorder="1" applyAlignment="1">
      <alignment horizontal="right"/>
    </xf>
    <xf numFmtId="190" fontId="47" fillId="0" borderId="0" xfId="0" applyNumberFormat="1" applyFont="1" applyFill="1" applyBorder="1" applyAlignment="1">
      <alignment horizontal="right"/>
    </xf>
    <xf numFmtId="49" fontId="47" fillId="0" borderId="0" xfId="0" applyNumberFormat="1" applyFont="1" applyFill="1" applyBorder="1" applyAlignment="1">
      <alignment horizontal="right"/>
    </xf>
    <xf numFmtId="4" fontId="47" fillId="0" borderId="0" xfId="0" applyNumberFormat="1" applyFont="1" applyFill="1" applyBorder="1" applyAlignment="1">
      <alignment horizontal="right"/>
    </xf>
    <xf numFmtId="3" fontId="47" fillId="0" borderId="0" xfId="0" applyNumberFormat="1" applyFont="1" applyFill="1" applyBorder="1" applyAlignment="1">
      <alignment horizontal="right"/>
    </xf>
    <xf numFmtId="9" fontId="59" fillId="0" borderId="0" xfId="0" applyNumberFormat="1" applyFont="1" applyFill="1" applyBorder="1" applyAlignment="1">
      <alignment horizontal="center" vertical="center" wrapText="1"/>
    </xf>
    <xf numFmtId="9" fontId="47" fillId="0" borderId="0" xfId="0" applyNumberFormat="1" applyFont="1" applyFill="1" applyBorder="1" applyAlignment="1">
      <alignment horizontal="right"/>
    </xf>
    <xf numFmtId="0" fontId="47" fillId="0" borderId="0" xfId="0" applyFont="1" applyFill="1" applyBorder="1" applyAlignment="1">
      <alignment horizontal="center"/>
    </xf>
    <xf numFmtId="0" fontId="47" fillId="0" borderId="0" xfId="0" applyFont="1" applyFill="1" applyAlignment="1">
      <alignment horizontal="right"/>
    </xf>
    <xf numFmtId="0" fontId="158" fillId="14" borderId="17" xfId="0" applyFont="1" applyFill="1" applyBorder="1" applyAlignment="1">
      <alignment vertical="center"/>
    </xf>
    <xf numFmtId="0" fontId="46" fillId="14" borderId="17" xfId="0" applyFont="1" applyFill="1" applyBorder="1" applyAlignment="1">
      <alignment vertical="center"/>
    </xf>
    <xf numFmtId="0" fontId="46" fillId="14" borderId="17" xfId="0" applyNumberFormat="1" applyFont="1" applyFill="1" applyBorder="1" applyAlignment="1" applyProtection="1">
      <alignment vertical="center"/>
      <protection/>
    </xf>
    <xf numFmtId="0" fontId="45" fillId="14" borderId="17" xfId="0" applyFont="1" applyFill="1" applyBorder="1" applyAlignment="1">
      <alignment vertical="center"/>
    </xf>
    <xf numFmtId="0" fontId="46" fillId="14" borderId="17" xfId="0" applyFont="1" applyFill="1" applyBorder="1" applyAlignment="1" applyProtection="1">
      <alignment vertical="center"/>
      <protection/>
    </xf>
    <xf numFmtId="0" fontId="46" fillId="14" borderId="17" xfId="0" applyNumberFormat="1" applyFont="1" applyFill="1" applyBorder="1" applyAlignment="1" applyProtection="1">
      <alignment vertical="center"/>
      <protection locked="0"/>
    </xf>
    <xf numFmtId="0" fontId="45" fillId="14" borderId="17" xfId="0" applyNumberFormat="1" applyFont="1" applyFill="1" applyBorder="1" applyAlignment="1" applyProtection="1">
      <alignment vertical="center"/>
      <protection/>
    </xf>
    <xf numFmtId="0" fontId="27" fillId="43" borderId="0" xfId="0" applyFont="1" applyFill="1" applyBorder="1" applyAlignment="1" applyProtection="1">
      <alignment horizontal="center" vertical="center" wrapText="1"/>
      <protection/>
    </xf>
    <xf numFmtId="0" fontId="9" fillId="43" borderId="0" xfId="0" applyFont="1" applyFill="1" applyBorder="1" applyAlignment="1" applyProtection="1">
      <alignment horizontal="left" vertical="center"/>
      <protection/>
    </xf>
    <xf numFmtId="0" fontId="10" fillId="43" borderId="0" xfId="0" applyNumberFormat="1" applyFont="1" applyFill="1" applyBorder="1" applyAlignment="1">
      <alignment vertical="center"/>
    </xf>
    <xf numFmtId="0" fontId="4" fillId="43" borderId="0" xfId="0" applyFont="1" applyFill="1" applyBorder="1" applyAlignment="1" applyProtection="1">
      <alignment vertical="center"/>
      <protection locked="0"/>
    </xf>
    <xf numFmtId="0" fontId="99" fillId="43" borderId="0" xfId="0" applyNumberFormat="1" applyFont="1" applyFill="1" applyBorder="1" applyAlignment="1" applyProtection="1">
      <alignment horizontal="center" vertical="center"/>
      <protection/>
    </xf>
    <xf numFmtId="0" fontId="43" fillId="43" borderId="0" xfId="0" applyNumberFormat="1" applyFont="1" applyFill="1" applyBorder="1" applyAlignment="1" applyProtection="1">
      <alignment vertical="center"/>
      <protection/>
    </xf>
    <xf numFmtId="0" fontId="10" fillId="43" borderId="0" xfId="0" applyNumberFormat="1" applyFont="1" applyFill="1" applyBorder="1" applyAlignment="1" applyProtection="1">
      <alignment vertical="center"/>
      <protection/>
    </xf>
    <xf numFmtId="190" fontId="10" fillId="43" borderId="0" xfId="0" applyNumberFormat="1" applyFont="1" applyFill="1" applyBorder="1" applyAlignment="1" applyProtection="1">
      <alignment horizontal="center" vertical="center"/>
      <protection/>
    </xf>
    <xf numFmtId="49" fontId="10" fillId="43" borderId="0" xfId="0" applyNumberFormat="1" applyFont="1" applyFill="1" applyBorder="1" applyAlignment="1" applyProtection="1">
      <alignment vertical="center"/>
      <protection/>
    </xf>
    <xf numFmtId="0" fontId="10" fillId="43" borderId="0" xfId="0" applyFont="1" applyFill="1" applyBorder="1" applyAlignment="1">
      <alignment vertical="center"/>
    </xf>
    <xf numFmtId="4" fontId="10" fillId="43" borderId="0" xfId="40" applyNumberFormat="1" applyFont="1" applyFill="1" applyBorder="1" applyAlignment="1">
      <alignment vertical="center"/>
    </xf>
    <xf numFmtId="3" fontId="10" fillId="43" borderId="0" xfId="40" applyNumberFormat="1" applyFont="1" applyFill="1" applyBorder="1" applyAlignment="1">
      <alignment vertical="center"/>
    </xf>
    <xf numFmtId="4" fontId="45" fillId="43" borderId="0" xfId="40" applyNumberFormat="1" applyFont="1" applyFill="1" applyBorder="1" applyAlignment="1">
      <alignment vertical="center"/>
    </xf>
    <xf numFmtId="3" fontId="45" fillId="43" borderId="0" xfId="40" applyNumberFormat="1" applyFont="1" applyFill="1" applyBorder="1" applyAlignment="1">
      <alignment vertical="center"/>
    </xf>
    <xf numFmtId="3" fontId="33" fillId="43" borderId="0" xfId="71" applyNumberFormat="1" applyFont="1" applyFill="1" applyBorder="1" applyAlignment="1" applyProtection="1">
      <alignment vertical="center"/>
      <protection/>
    </xf>
    <xf numFmtId="4" fontId="33" fillId="43" borderId="0" xfId="71" applyNumberFormat="1" applyFont="1" applyFill="1" applyBorder="1" applyAlignment="1" applyProtection="1">
      <alignment vertical="center"/>
      <protection/>
    </xf>
    <xf numFmtId="4" fontId="33" fillId="43" borderId="0" xfId="40" applyNumberFormat="1" applyFont="1" applyFill="1" applyBorder="1" applyAlignment="1">
      <alignment vertical="center"/>
    </xf>
    <xf numFmtId="192" fontId="33" fillId="43" borderId="0" xfId="71" applyNumberFormat="1" applyFont="1" applyFill="1" applyBorder="1" applyAlignment="1" applyProtection="1">
      <alignment vertical="center"/>
      <protection/>
    </xf>
    <xf numFmtId="192" fontId="10" fillId="43" borderId="0" xfId="71" applyNumberFormat="1" applyFont="1" applyFill="1" applyBorder="1" applyAlignment="1" applyProtection="1">
      <alignment vertical="center"/>
      <protection/>
    </xf>
    <xf numFmtId="3" fontId="10" fillId="43" borderId="0" xfId="71" applyNumberFormat="1" applyFont="1" applyFill="1" applyBorder="1" applyAlignment="1" applyProtection="1">
      <alignment vertical="center"/>
      <protection/>
    </xf>
    <xf numFmtId="4" fontId="10" fillId="43" borderId="0" xfId="71" applyNumberFormat="1" applyFont="1" applyFill="1" applyBorder="1" applyAlignment="1" applyProtection="1">
      <alignment vertical="center"/>
      <protection/>
    </xf>
    <xf numFmtId="186" fontId="34" fillId="43" borderId="0" xfId="43" applyNumberFormat="1" applyFont="1" applyFill="1" applyBorder="1" applyAlignment="1" applyProtection="1">
      <alignment vertical="center"/>
      <protection/>
    </xf>
    <xf numFmtId="4" fontId="10" fillId="43" borderId="0" xfId="71" applyNumberFormat="1" applyFont="1" applyFill="1" applyBorder="1" applyAlignment="1" applyProtection="1">
      <alignment horizontal="center" vertical="center"/>
      <protection/>
    </xf>
    <xf numFmtId="0" fontId="15" fillId="43" borderId="0"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0" xfId="0" applyFont="1" applyFill="1" applyBorder="1" applyAlignment="1" applyProtection="1">
      <alignment horizontal="center" vertical="center"/>
      <protection/>
    </xf>
    <xf numFmtId="0" fontId="4" fillId="43" borderId="0" xfId="0" applyFont="1" applyFill="1" applyBorder="1" applyAlignment="1" applyProtection="1">
      <alignment horizontal="left" vertical="center"/>
      <protection/>
    </xf>
    <xf numFmtId="4" fontId="4" fillId="43" borderId="0" xfId="0" applyNumberFormat="1" applyFont="1" applyFill="1" applyBorder="1" applyAlignment="1" applyProtection="1">
      <alignment horizontal="right" vertical="center"/>
      <protection/>
    </xf>
    <xf numFmtId="3" fontId="4" fillId="43" borderId="0" xfId="0" applyNumberFormat="1" applyFont="1" applyFill="1" applyBorder="1" applyAlignment="1" applyProtection="1">
      <alignment horizontal="right" vertical="center"/>
      <protection/>
    </xf>
    <xf numFmtId="4" fontId="5" fillId="43" borderId="0" xfId="0" applyNumberFormat="1" applyFont="1" applyFill="1" applyBorder="1" applyAlignment="1" applyProtection="1">
      <alignment horizontal="right" vertical="center"/>
      <protection/>
    </xf>
    <xf numFmtId="3" fontId="5" fillId="43" borderId="0" xfId="0" applyNumberFormat="1" applyFont="1" applyFill="1" applyBorder="1" applyAlignment="1" applyProtection="1">
      <alignment horizontal="right" vertical="center"/>
      <protection/>
    </xf>
    <xf numFmtId="4" fontId="26" fillId="43" borderId="0" xfId="0" applyNumberFormat="1" applyFont="1" applyFill="1" applyBorder="1" applyAlignment="1" applyProtection="1">
      <alignment horizontal="right" vertical="center"/>
      <protection/>
    </xf>
    <xf numFmtId="3" fontId="26" fillId="43" borderId="0" xfId="0" applyNumberFormat="1" applyFont="1" applyFill="1" applyBorder="1" applyAlignment="1" applyProtection="1">
      <alignment horizontal="right" vertical="center"/>
      <protection/>
    </xf>
    <xf numFmtId="3" fontId="7" fillId="43" borderId="0" xfId="0" applyNumberFormat="1" applyFont="1" applyFill="1" applyBorder="1" applyAlignment="1" applyProtection="1">
      <alignment horizontal="right" vertical="center"/>
      <protection/>
    </xf>
    <xf numFmtId="4" fontId="7" fillId="43" borderId="0" xfId="0" applyNumberFormat="1" applyFont="1" applyFill="1" applyBorder="1" applyAlignment="1" applyProtection="1">
      <alignment horizontal="right" vertical="center"/>
      <protection/>
    </xf>
    <xf numFmtId="192" fontId="7" fillId="43" borderId="0" xfId="0" applyNumberFormat="1" applyFont="1" applyFill="1" applyBorder="1" applyAlignment="1" applyProtection="1">
      <alignment horizontal="right" vertical="center"/>
      <protection/>
    </xf>
    <xf numFmtId="4" fontId="5" fillId="43" borderId="0" xfId="0" applyNumberFormat="1" applyFont="1" applyFill="1" applyBorder="1" applyAlignment="1" applyProtection="1">
      <alignment vertical="center"/>
      <protection/>
    </xf>
    <xf numFmtId="3" fontId="5" fillId="43" borderId="0" xfId="0" applyNumberFormat="1" applyFont="1" applyFill="1" applyBorder="1" applyAlignment="1" applyProtection="1">
      <alignment vertical="center"/>
      <protection/>
    </xf>
    <xf numFmtId="192" fontId="4" fillId="43" borderId="0" xfId="0" applyNumberFormat="1" applyFont="1" applyFill="1" applyBorder="1" applyAlignment="1" applyProtection="1">
      <alignment vertical="center"/>
      <protection/>
    </xf>
    <xf numFmtId="3" fontId="4" fillId="43" borderId="0" xfId="0" applyNumberFormat="1" applyFont="1" applyFill="1" applyBorder="1" applyAlignment="1" applyProtection="1">
      <alignment vertical="center"/>
      <protection/>
    </xf>
    <xf numFmtId="4" fontId="4" fillId="43" borderId="0" xfId="0" applyNumberFormat="1" applyFont="1" applyFill="1" applyBorder="1" applyAlignment="1" applyProtection="1">
      <alignment vertical="center"/>
      <protection/>
    </xf>
    <xf numFmtId="0" fontId="68" fillId="43" borderId="0" xfId="0" applyFont="1" applyFill="1" applyBorder="1" applyAlignment="1" applyProtection="1">
      <alignment horizontal="center" vertical="center"/>
      <protection/>
    </xf>
    <xf numFmtId="4" fontId="33" fillId="43" borderId="0" xfId="0" applyNumberFormat="1" applyFont="1" applyFill="1" applyBorder="1" applyAlignment="1">
      <alignment vertical="center"/>
    </xf>
    <xf numFmtId="3" fontId="33" fillId="43" borderId="0" xfId="0" applyNumberFormat="1" applyFont="1" applyFill="1" applyBorder="1" applyAlignment="1">
      <alignment vertical="center"/>
    </xf>
    <xf numFmtId="0" fontId="0" fillId="43" borderId="0" xfId="0" applyFont="1" applyFill="1" applyBorder="1" applyAlignment="1" applyProtection="1">
      <alignment vertical="center"/>
      <protection/>
    </xf>
    <xf numFmtId="3" fontId="0" fillId="43" borderId="0" xfId="0" applyNumberFormat="1" applyFont="1" applyFill="1" applyBorder="1" applyAlignment="1" applyProtection="1">
      <alignment vertical="center"/>
      <protection/>
    </xf>
    <xf numFmtId="0" fontId="69" fillId="43" borderId="0" xfId="0" applyFont="1" applyFill="1" applyBorder="1" applyAlignment="1" applyProtection="1">
      <alignment horizontal="center" vertical="center" wrapText="1"/>
      <protection/>
    </xf>
    <xf numFmtId="0" fontId="70" fillId="43" borderId="0" xfId="0" applyFont="1" applyFill="1" applyBorder="1" applyAlignment="1" applyProtection="1">
      <alignment horizontal="center" vertical="center" wrapText="1"/>
      <protection/>
    </xf>
    <xf numFmtId="0" fontId="70" fillId="43" borderId="0" xfId="0" applyFont="1" applyFill="1" applyBorder="1" applyAlignment="1" applyProtection="1">
      <alignment horizontal="center"/>
      <protection/>
    </xf>
    <xf numFmtId="0" fontId="69" fillId="44" borderId="0" xfId="0" applyFont="1" applyFill="1" applyBorder="1" applyAlignment="1" applyProtection="1">
      <alignment horizontal="center" vertical="center" wrapText="1"/>
      <protection/>
    </xf>
    <xf numFmtId="0" fontId="69" fillId="44" borderId="0" xfId="0" applyFont="1" applyFill="1" applyBorder="1" applyAlignment="1" applyProtection="1">
      <alignment horizontal="center"/>
      <protection/>
    </xf>
    <xf numFmtId="190" fontId="69" fillId="44" borderId="0" xfId="0" applyNumberFormat="1" applyFont="1" applyFill="1" applyBorder="1" applyAlignment="1" applyProtection="1">
      <alignment horizontal="center"/>
      <protection/>
    </xf>
    <xf numFmtId="4" fontId="69" fillId="44" borderId="0" xfId="0" applyNumberFormat="1" applyFont="1" applyFill="1" applyBorder="1" applyAlignment="1" applyProtection="1">
      <alignment horizontal="center" vertical="center" wrapText="1"/>
      <protection/>
    </xf>
    <xf numFmtId="43" fontId="69" fillId="44" borderId="0" xfId="40" applyFont="1" applyFill="1" applyBorder="1" applyAlignment="1" applyProtection="1">
      <alignment horizontal="center"/>
      <protection/>
    </xf>
    <xf numFmtId="3" fontId="69" fillId="44" borderId="0" xfId="0" applyNumberFormat="1" applyFont="1" applyFill="1" applyBorder="1" applyAlignment="1" applyProtection="1">
      <alignment horizontal="center" vertical="center" wrapText="1"/>
      <protection/>
    </xf>
    <xf numFmtId="192" fontId="69" fillId="44" borderId="0" xfId="0" applyNumberFormat="1" applyFont="1" applyFill="1" applyBorder="1" applyAlignment="1" applyProtection="1">
      <alignment horizontal="center" vertical="center" wrapText="1"/>
      <protection/>
    </xf>
    <xf numFmtId="0" fontId="99" fillId="43" borderId="0" xfId="0" applyNumberFormat="1" applyFont="1" applyFill="1" applyBorder="1" applyAlignment="1" applyProtection="1">
      <alignment vertical="center"/>
      <protection/>
    </xf>
    <xf numFmtId="0" fontId="70" fillId="44" borderId="0" xfId="0" applyFont="1" applyFill="1" applyBorder="1" applyAlignment="1" applyProtection="1">
      <alignment horizontal="center" vertical="center" wrapText="1"/>
      <protection/>
    </xf>
    <xf numFmtId="1" fontId="100" fillId="44" borderId="0" xfId="0" applyNumberFormat="1" applyFont="1" applyFill="1" applyBorder="1" applyAlignment="1" applyProtection="1">
      <alignment horizontal="center" vertical="center" wrapText="1"/>
      <protection/>
    </xf>
    <xf numFmtId="0" fontId="46" fillId="44" borderId="0" xfId="0" applyFont="1" applyFill="1" applyBorder="1" applyAlignment="1" applyProtection="1">
      <alignment horizontal="center" vertical="center" wrapText="1"/>
      <protection/>
    </xf>
    <xf numFmtId="0" fontId="100" fillId="44" borderId="0" xfId="0" applyFont="1" applyFill="1" applyBorder="1" applyAlignment="1" applyProtection="1">
      <alignment horizontal="center"/>
      <protection/>
    </xf>
    <xf numFmtId="0" fontId="99" fillId="43" borderId="0" xfId="0" applyFont="1" applyFill="1" applyBorder="1" applyAlignment="1" applyProtection="1">
      <alignment horizontal="center" vertical="center"/>
      <protection/>
    </xf>
    <xf numFmtId="204" fontId="99" fillId="43" borderId="0" xfId="0" applyNumberFormat="1" applyFont="1" applyFill="1" applyBorder="1" applyAlignment="1" applyProtection="1">
      <alignment horizontal="center" vertical="center"/>
      <protection/>
    </xf>
    <xf numFmtId="49" fontId="101" fillId="43" borderId="0" xfId="0" applyNumberFormat="1" applyFont="1" applyFill="1" applyBorder="1" applyAlignment="1" applyProtection="1">
      <alignment horizontal="right" vertical="center"/>
      <protection/>
    </xf>
    <xf numFmtId="0" fontId="101" fillId="43" borderId="0" xfId="0" applyFont="1" applyFill="1" applyBorder="1" applyAlignment="1" applyProtection="1">
      <alignment horizontal="right" vertical="center"/>
      <protection/>
    </xf>
    <xf numFmtId="190" fontId="99" fillId="43" borderId="0" xfId="0" applyNumberFormat="1" applyFont="1" applyFill="1" applyBorder="1" applyAlignment="1" applyProtection="1">
      <alignment horizontal="center" vertical="center"/>
      <protection/>
    </xf>
    <xf numFmtId="0" fontId="72" fillId="43" borderId="0" xfId="0" applyNumberFormat="1" applyFont="1" applyFill="1" applyBorder="1" applyAlignment="1" applyProtection="1">
      <alignment horizontal="center" vertical="center"/>
      <protection/>
    </xf>
    <xf numFmtId="0" fontId="20" fillId="43" borderId="0" xfId="0" applyFont="1" applyFill="1" applyBorder="1" applyAlignment="1" applyProtection="1">
      <alignment horizontal="center" vertical="center" wrapText="1"/>
      <protection/>
    </xf>
    <xf numFmtId="0" fontId="20" fillId="43" borderId="0" xfId="0" applyNumberFormat="1" applyFont="1" applyFill="1" applyBorder="1" applyAlignment="1" applyProtection="1">
      <alignment horizontal="center" vertical="center"/>
      <protection/>
    </xf>
    <xf numFmtId="0" fontId="20" fillId="43" borderId="0" xfId="0" applyFont="1" applyFill="1" applyBorder="1" applyAlignment="1" applyProtection="1">
      <alignment horizontal="center" vertical="center"/>
      <protection/>
    </xf>
    <xf numFmtId="3" fontId="75" fillId="43" borderId="0" xfId="0" applyNumberFormat="1" applyFont="1" applyFill="1" applyBorder="1" applyAlignment="1" applyProtection="1">
      <alignment horizontal="center" vertical="center" wrapText="1"/>
      <protection/>
    </xf>
    <xf numFmtId="1" fontId="77" fillId="43" borderId="0" xfId="51" applyNumberFormat="1" applyFont="1" applyFill="1" applyBorder="1" applyAlignment="1" applyProtection="1">
      <alignment horizontal="center" vertical="center"/>
      <protection/>
    </xf>
    <xf numFmtId="4" fontId="78" fillId="43" borderId="0" xfId="0" applyNumberFormat="1" applyFont="1" applyFill="1" applyBorder="1" applyAlignment="1" applyProtection="1">
      <alignment horizontal="right" vertical="center"/>
      <protection/>
    </xf>
    <xf numFmtId="4" fontId="78" fillId="43" borderId="0" xfId="0" applyNumberFormat="1" applyFont="1" applyFill="1" applyBorder="1" applyAlignment="1" applyProtection="1">
      <alignment horizontal="center" vertical="center"/>
      <protection/>
    </xf>
    <xf numFmtId="3" fontId="78" fillId="43" borderId="0" xfId="0" applyNumberFormat="1" applyFont="1" applyFill="1" applyBorder="1" applyAlignment="1" applyProtection="1">
      <alignment horizontal="center" vertical="center"/>
      <protection/>
    </xf>
    <xf numFmtId="4" fontId="75" fillId="43" borderId="0" xfId="0" applyNumberFormat="1" applyFont="1" applyFill="1" applyBorder="1" applyAlignment="1" applyProtection="1">
      <alignment horizontal="center" vertical="center"/>
      <protection/>
    </xf>
    <xf numFmtId="3" fontId="75" fillId="43" borderId="0" xfId="0" applyNumberFormat="1" applyFont="1" applyFill="1" applyBorder="1" applyAlignment="1" applyProtection="1">
      <alignment horizontal="center" vertical="center"/>
      <protection/>
    </xf>
    <xf numFmtId="2" fontId="76" fillId="43" borderId="0" xfId="0" applyNumberFormat="1" applyFont="1" applyFill="1" applyBorder="1" applyAlignment="1">
      <alignment horizontal="right" vertical="center" wrapText="1" indent="1"/>
    </xf>
    <xf numFmtId="0" fontId="20" fillId="43" borderId="0" xfId="0" applyFont="1" applyFill="1" applyBorder="1" applyAlignment="1">
      <alignment horizontal="right" indent="1"/>
    </xf>
    <xf numFmtId="0" fontId="99" fillId="43" borderId="0" xfId="0" applyFont="1" applyFill="1" applyBorder="1" applyAlignment="1">
      <alignment/>
    </xf>
    <xf numFmtId="0" fontId="99" fillId="43" borderId="0" xfId="0" applyFont="1" applyFill="1" applyBorder="1" applyAlignment="1">
      <alignment vertical="center"/>
    </xf>
    <xf numFmtId="0" fontId="99" fillId="43" borderId="0" xfId="0" applyFont="1" applyFill="1" applyBorder="1" applyAlignment="1">
      <alignment horizontal="right" vertical="center"/>
    </xf>
    <xf numFmtId="4" fontId="99" fillId="43" borderId="0" xfId="53" applyNumberFormat="1" applyFont="1" applyFill="1" applyBorder="1" applyAlignment="1" applyProtection="1">
      <alignment horizontal="right" vertical="center"/>
      <protection/>
    </xf>
    <xf numFmtId="3" fontId="99" fillId="43" borderId="0" xfId="53" applyNumberFormat="1" applyFont="1" applyFill="1" applyBorder="1" applyAlignment="1" applyProtection="1">
      <alignment horizontal="right" vertical="center"/>
      <protection/>
    </xf>
    <xf numFmtId="4" fontId="99" fillId="43" borderId="0" xfId="43" applyNumberFormat="1" applyFont="1" applyFill="1" applyBorder="1" applyAlignment="1">
      <alignment horizontal="right" vertical="center"/>
    </xf>
    <xf numFmtId="4" fontId="99" fillId="43" borderId="0" xfId="43" applyNumberFormat="1" applyFont="1" applyFill="1" applyBorder="1" applyAlignment="1" applyProtection="1">
      <alignment horizontal="right" vertical="center"/>
      <protection locked="0"/>
    </xf>
    <xf numFmtId="2" fontId="99" fillId="43" borderId="0" xfId="0" applyNumberFormat="1" applyFont="1" applyFill="1" applyBorder="1" applyAlignment="1" applyProtection="1">
      <alignment horizontal="right" vertical="center"/>
      <protection/>
    </xf>
    <xf numFmtId="0" fontId="99" fillId="43" borderId="0" xfId="0" applyFont="1" applyFill="1" applyBorder="1" applyAlignment="1" applyProtection="1">
      <alignment vertical="center"/>
      <protection/>
    </xf>
    <xf numFmtId="190" fontId="99" fillId="43" borderId="0" xfId="0" applyNumberFormat="1" applyFont="1" applyFill="1" applyBorder="1" applyAlignment="1" applyProtection="1">
      <alignment horizontal="center" vertical="center"/>
      <protection locked="0"/>
    </xf>
    <xf numFmtId="4" fontId="99" fillId="43" borderId="0" xfId="53" applyNumberFormat="1" applyFont="1" applyFill="1" applyBorder="1" applyAlignment="1" applyProtection="1">
      <alignment vertical="center"/>
      <protection/>
    </xf>
    <xf numFmtId="3" fontId="99" fillId="43" borderId="0" xfId="53" applyNumberFormat="1" applyFont="1" applyFill="1" applyBorder="1" applyAlignment="1" applyProtection="1">
      <alignment vertical="center"/>
      <protection/>
    </xf>
    <xf numFmtId="3" fontId="99" fillId="43" borderId="0" xfId="71" applyNumberFormat="1" applyFont="1" applyFill="1" applyBorder="1" applyAlignment="1" applyProtection="1">
      <alignment vertical="center"/>
      <protection/>
    </xf>
    <xf numFmtId="2" fontId="99" fillId="43" borderId="0" xfId="71" applyNumberFormat="1" applyFont="1" applyFill="1" applyBorder="1" applyAlignment="1" applyProtection="1">
      <alignment vertical="center"/>
      <protection/>
    </xf>
    <xf numFmtId="4" fontId="99" fillId="43" borderId="0" xfId="43" applyNumberFormat="1" applyFont="1" applyFill="1" applyBorder="1" applyAlignment="1">
      <alignment vertical="center"/>
    </xf>
    <xf numFmtId="9" fontId="99" fillId="43" borderId="0" xfId="71" applyNumberFormat="1" applyFont="1" applyFill="1" applyBorder="1" applyAlignment="1" applyProtection="1">
      <alignment vertical="center"/>
      <protection/>
    </xf>
    <xf numFmtId="4" fontId="99" fillId="43" borderId="0" xfId="71" applyNumberFormat="1" applyFont="1" applyFill="1" applyBorder="1" applyAlignment="1" applyProtection="1">
      <alignment vertical="center"/>
      <protection/>
    </xf>
    <xf numFmtId="4" fontId="99" fillId="43" borderId="0" xfId="43" applyNumberFormat="1" applyFont="1" applyFill="1" applyBorder="1" applyAlignment="1" applyProtection="1">
      <alignment vertical="center"/>
      <protection locked="0"/>
    </xf>
    <xf numFmtId="2" fontId="99" fillId="43" borderId="0" xfId="0" applyNumberFormat="1" applyFont="1" applyFill="1" applyBorder="1" applyAlignment="1" applyProtection="1">
      <alignment vertical="center"/>
      <protection/>
    </xf>
    <xf numFmtId="4" fontId="99" fillId="43" borderId="0" xfId="43" applyNumberFormat="1" applyFont="1" applyFill="1" applyBorder="1" applyAlignment="1" applyProtection="1">
      <alignment vertical="center"/>
      <protection/>
    </xf>
    <xf numFmtId="0" fontId="99" fillId="43" borderId="0" xfId="0" applyFont="1" applyFill="1" applyBorder="1" applyAlignment="1" applyProtection="1">
      <alignment vertical="center"/>
      <protection locked="0"/>
    </xf>
    <xf numFmtId="4" fontId="99" fillId="43" borderId="0" xfId="40" applyNumberFormat="1" applyFont="1" applyFill="1" applyBorder="1" applyAlignment="1" applyProtection="1">
      <alignment vertical="center"/>
      <protection locked="0"/>
    </xf>
    <xf numFmtId="3" fontId="99" fillId="43" borderId="0" xfId="40" applyNumberFormat="1" applyFont="1" applyFill="1" applyBorder="1" applyAlignment="1" applyProtection="1">
      <alignment vertical="center"/>
      <protection locked="0"/>
    </xf>
    <xf numFmtId="4" fontId="99" fillId="43" borderId="0" xfId="0" applyNumberFormat="1" applyFont="1" applyFill="1" applyBorder="1" applyAlignment="1">
      <alignment vertical="center"/>
    </xf>
    <xf numFmtId="4" fontId="99" fillId="43" borderId="0" xfId="0" applyNumberFormat="1" applyFont="1" applyFill="1" applyBorder="1" applyAlignment="1">
      <alignment horizontal="right" vertical="center"/>
    </xf>
    <xf numFmtId="3" fontId="99" fillId="43" borderId="0" xfId="0" applyNumberFormat="1" applyFont="1" applyFill="1" applyBorder="1" applyAlignment="1">
      <alignment horizontal="right" vertical="center"/>
    </xf>
    <xf numFmtId="0" fontId="99" fillId="43" borderId="0" xfId="0" applyNumberFormat="1" applyFont="1" applyFill="1" applyBorder="1" applyAlignment="1">
      <alignment horizontal="right" vertical="center"/>
    </xf>
    <xf numFmtId="3" fontId="99" fillId="43" borderId="0" xfId="0" applyNumberFormat="1" applyFont="1" applyFill="1" applyBorder="1" applyAlignment="1">
      <alignment vertical="center"/>
    </xf>
    <xf numFmtId="204" fontId="99" fillId="43" borderId="0" xfId="0" applyNumberFormat="1" applyFont="1" applyFill="1" applyBorder="1" applyAlignment="1">
      <alignment vertical="center"/>
    </xf>
    <xf numFmtId="0" fontId="99" fillId="43" borderId="0" xfId="0" applyNumberFormat="1" applyFont="1" applyFill="1" applyBorder="1" applyAlignment="1" applyProtection="1">
      <alignment vertical="center"/>
      <protection locked="0"/>
    </xf>
    <xf numFmtId="0" fontId="99" fillId="43" borderId="0" xfId="0" applyNumberFormat="1" applyFont="1" applyFill="1" applyBorder="1" applyAlignment="1">
      <alignment vertical="center"/>
    </xf>
    <xf numFmtId="4" fontId="99" fillId="43" borderId="0" xfId="42" applyNumberFormat="1" applyFont="1" applyFill="1" applyBorder="1" applyAlignment="1" applyProtection="1">
      <alignment vertical="center"/>
      <protection locked="0"/>
    </xf>
    <xf numFmtId="3" fontId="99" fillId="43" borderId="0" xfId="42" applyNumberFormat="1" applyFont="1" applyFill="1" applyBorder="1" applyAlignment="1" applyProtection="1">
      <alignment vertical="center"/>
      <protection locked="0"/>
    </xf>
    <xf numFmtId="3" fontId="99" fillId="43" borderId="0" xfId="43" applyNumberFormat="1" applyFont="1" applyFill="1" applyBorder="1" applyAlignment="1" applyProtection="1">
      <alignment vertical="center"/>
      <protection locked="0"/>
    </xf>
    <xf numFmtId="1" fontId="99" fillId="43" borderId="0" xfId="0" applyNumberFormat="1" applyFont="1" applyFill="1" applyBorder="1" applyAlignment="1">
      <alignment horizontal="right" vertical="center"/>
    </xf>
    <xf numFmtId="1" fontId="99" fillId="43" borderId="0" xfId="0" applyNumberFormat="1" applyFont="1" applyFill="1" applyBorder="1" applyAlignment="1">
      <alignment vertical="center"/>
    </xf>
    <xf numFmtId="4" fontId="99" fillId="43" borderId="0" xfId="40" applyNumberFormat="1" applyFont="1" applyFill="1" applyBorder="1" applyAlignment="1">
      <alignment vertical="center"/>
    </xf>
    <xf numFmtId="3" fontId="99" fillId="43" borderId="0" xfId="40" applyNumberFormat="1" applyFont="1" applyFill="1" applyBorder="1" applyAlignment="1">
      <alignment vertical="center"/>
    </xf>
    <xf numFmtId="0" fontId="99" fillId="43" borderId="0" xfId="0" applyNumberFormat="1" applyFont="1" applyFill="1" applyBorder="1" applyAlignment="1" applyProtection="1">
      <alignment horizontal="left" vertical="center"/>
      <protection locked="0"/>
    </xf>
    <xf numFmtId="4" fontId="99" fillId="43" borderId="0" xfId="42" applyNumberFormat="1" applyFont="1" applyFill="1" applyBorder="1" applyAlignment="1">
      <alignment vertical="center"/>
    </xf>
    <xf numFmtId="3" fontId="99" fillId="43" borderId="0" xfId="42" applyNumberFormat="1" applyFont="1" applyFill="1" applyBorder="1" applyAlignment="1">
      <alignment vertical="center"/>
    </xf>
    <xf numFmtId="0" fontId="99" fillId="43" borderId="0" xfId="0" applyNumberFormat="1" applyFont="1" applyFill="1" applyBorder="1" applyAlignment="1" applyProtection="1">
      <alignment horizontal="right" vertical="center"/>
      <protection locked="0"/>
    </xf>
    <xf numFmtId="0" fontId="99" fillId="43" borderId="0" xfId="58" applyFont="1" applyFill="1" applyBorder="1" applyAlignment="1">
      <alignment vertical="center"/>
      <protection/>
    </xf>
    <xf numFmtId="0" fontId="99" fillId="43" borderId="0" xfId="53" applyNumberFormat="1" applyFont="1" applyFill="1" applyBorder="1" applyAlignment="1" applyProtection="1">
      <alignment vertical="center"/>
      <protection locked="0"/>
    </xf>
    <xf numFmtId="3" fontId="99" fillId="43" borderId="0" xfId="43" applyNumberFormat="1" applyFont="1" applyFill="1" applyBorder="1" applyAlignment="1">
      <alignment vertical="center"/>
    </xf>
    <xf numFmtId="3" fontId="99" fillId="43" borderId="0" xfId="43" applyNumberFormat="1" applyFont="1" applyFill="1" applyBorder="1" applyAlignment="1">
      <alignment horizontal="right" vertical="center"/>
    </xf>
    <xf numFmtId="185" fontId="99" fillId="43" borderId="0" xfId="43" applyNumberFormat="1" applyFont="1" applyFill="1" applyBorder="1" applyAlignment="1" applyProtection="1">
      <alignment vertical="center"/>
      <protection locked="0"/>
    </xf>
    <xf numFmtId="0" fontId="99" fillId="43" borderId="0" xfId="0" applyFont="1" applyFill="1" applyBorder="1" applyAlignment="1" applyProtection="1">
      <alignment horizontal="right" vertical="center"/>
      <protection locked="0"/>
    </xf>
    <xf numFmtId="190" fontId="99" fillId="43" borderId="0" xfId="0" applyNumberFormat="1" applyFont="1" applyFill="1" applyBorder="1" applyAlignment="1">
      <alignment horizontal="center" vertical="center"/>
    </xf>
    <xf numFmtId="0" fontId="102" fillId="43" borderId="0" xfId="0" applyNumberFormat="1" applyFont="1" applyFill="1" applyBorder="1" applyAlignment="1" applyProtection="1">
      <alignment vertical="center"/>
      <protection/>
    </xf>
    <xf numFmtId="0" fontId="102" fillId="43" borderId="0" xfId="0" applyFont="1" applyFill="1" applyBorder="1" applyAlignment="1">
      <alignment vertical="center"/>
    </xf>
    <xf numFmtId="0" fontId="102" fillId="43" borderId="0" xfId="0" applyNumberFormat="1" applyFont="1" applyFill="1" applyBorder="1" applyAlignment="1">
      <alignment vertical="center"/>
    </xf>
    <xf numFmtId="0" fontId="102" fillId="43" borderId="0" xfId="0" applyFont="1" applyFill="1" applyBorder="1" applyAlignment="1" applyProtection="1">
      <alignment vertical="center"/>
      <protection locked="0"/>
    </xf>
    <xf numFmtId="0" fontId="102" fillId="43" borderId="0" xfId="0" applyNumberFormat="1" applyFont="1" applyFill="1" applyBorder="1" applyAlignment="1" applyProtection="1">
      <alignment vertical="center"/>
      <protection locked="0"/>
    </xf>
    <xf numFmtId="0" fontId="102" fillId="43" borderId="0" xfId="0" applyNumberFormat="1" applyFont="1" applyFill="1" applyBorder="1" applyAlignment="1" applyProtection="1">
      <alignment horizontal="left" vertical="center"/>
      <protection locked="0"/>
    </xf>
    <xf numFmtId="204" fontId="102" fillId="43" borderId="0" xfId="0" applyNumberFormat="1" applyFont="1" applyFill="1" applyBorder="1" applyAlignment="1">
      <alignment vertical="center"/>
    </xf>
    <xf numFmtId="0" fontId="102" fillId="43" borderId="0" xfId="58" applyFont="1" applyFill="1" applyBorder="1" applyAlignment="1">
      <alignment vertical="center"/>
      <protection/>
    </xf>
    <xf numFmtId="3" fontId="99" fillId="43" borderId="0" xfId="43" applyNumberFormat="1" applyFont="1" applyFill="1" applyBorder="1" applyAlignment="1" applyProtection="1">
      <alignment horizontal="right" vertical="center"/>
      <protection locked="0"/>
    </xf>
    <xf numFmtId="190" fontId="99" fillId="43" borderId="0" xfId="0" applyNumberFormat="1" applyFont="1" applyFill="1" applyBorder="1" applyAlignment="1" applyProtection="1">
      <alignment vertical="center"/>
      <protection/>
    </xf>
    <xf numFmtId="190" fontId="99" fillId="43" borderId="0" xfId="0" applyNumberFormat="1" applyFont="1" applyFill="1" applyBorder="1" applyAlignment="1" applyProtection="1">
      <alignment vertical="center"/>
      <protection locked="0"/>
    </xf>
    <xf numFmtId="4" fontId="99" fillId="43" borderId="0" xfId="49" applyNumberFormat="1" applyFont="1" applyFill="1" applyBorder="1" applyAlignment="1">
      <alignment vertical="center"/>
    </xf>
    <xf numFmtId="3" fontId="99" fillId="43" borderId="0" xfId="49" applyNumberFormat="1" applyFont="1" applyFill="1" applyBorder="1" applyAlignment="1">
      <alignment vertical="center"/>
    </xf>
    <xf numFmtId="4" fontId="99" fillId="43" borderId="0" xfId="42" applyNumberFormat="1" applyFont="1" applyFill="1" applyBorder="1" applyAlignment="1" applyProtection="1">
      <alignment vertical="center"/>
      <protection/>
    </xf>
    <xf numFmtId="3" fontId="99" fillId="43" borderId="0" xfId="42" applyNumberFormat="1" applyFont="1" applyFill="1" applyBorder="1" applyAlignment="1" applyProtection="1">
      <alignment vertical="center"/>
      <protection/>
    </xf>
    <xf numFmtId="191" fontId="99" fillId="43" borderId="0" xfId="43" applyNumberFormat="1" applyFont="1" applyFill="1" applyBorder="1" applyAlignment="1" applyProtection="1">
      <alignment vertical="center"/>
      <protection locked="0"/>
    </xf>
    <xf numFmtId="188" fontId="99" fillId="43" borderId="0" xfId="43" applyNumberFormat="1" applyFont="1" applyFill="1" applyBorder="1" applyAlignment="1" applyProtection="1">
      <alignment vertical="center"/>
      <protection locked="0"/>
    </xf>
    <xf numFmtId="190" fontId="99" fillId="43" borderId="0" xfId="0" applyNumberFormat="1" applyFont="1" applyFill="1" applyBorder="1" applyAlignment="1">
      <alignment vertical="center"/>
    </xf>
    <xf numFmtId="4" fontId="102" fillId="43" borderId="0" xfId="0" applyNumberFormat="1" applyFont="1" applyFill="1" applyBorder="1" applyAlignment="1">
      <alignment vertical="center"/>
    </xf>
    <xf numFmtId="3" fontId="102" fillId="43" borderId="0" xfId="0" applyNumberFormat="1" applyFont="1" applyFill="1" applyBorder="1" applyAlignment="1">
      <alignment vertical="center"/>
    </xf>
    <xf numFmtId="4" fontId="102" fillId="43" borderId="0" xfId="42" applyNumberFormat="1" applyFont="1" applyFill="1" applyBorder="1" applyAlignment="1" applyProtection="1">
      <alignment vertical="center"/>
      <protection locked="0"/>
    </xf>
    <xf numFmtId="3" fontId="102" fillId="43" borderId="0" xfId="42" applyNumberFormat="1" applyFont="1" applyFill="1" applyBorder="1" applyAlignment="1" applyProtection="1">
      <alignment vertical="center"/>
      <protection locked="0"/>
    </xf>
    <xf numFmtId="4" fontId="102" fillId="43" borderId="0" xfId="43" applyNumberFormat="1" applyFont="1" applyFill="1" applyBorder="1" applyAlignment="1" applyProtection="1">
      <alignment vertical="center"/>
      <protection locked="0"/>
    </xf>
    <xf numFmtId="3" fontId="102" fillId="43" borderId="0" xfId="43" applyNumberFormat="1" applyFont="1" applyFill="1" applyBorder="1" applyAlignment="1" applyProtection="1">
      <alignment vertical="center"/>
      <protection locked="0"/>
    </xf>
    <xf numFmtId="4" fontId="102" fillId="43" borderId="0" xfId="40" applyNumberFormat="1" applyFont="1" applyFill="1" applyBorder="1" applyAlignment="1" applyProtection="1">
      <alignment vertical="center"/>
      <protection locked="0"/>
    </xf>
    <xf numFmtId="3" fontId="102" fillId="43" borderId="0" xfId="40" applyNumberFormat="1" applyFont="1" applyFill="1" applyBorder="1" applyAlignment="1" applyProtection="1">
      <alignment vertical="center"/>
      <protection locked="0"/>
    </xf>
    <xf numFmtId="4" fontId="102" fillId="43" borderId="0" xfId="53" applyNumberFormat="1" applyFont="1" applyFill="1" applyBorder="1" applyAlignment="1" applyProtection="1">
      <alignment vertical="center"/>
      <protection/>
    </xf>
    <xf numFmtId="3" fontId="102" fillId="43" borderId="0" xfId="53" applyNumberFormat="1" applyFont="1" applyFill="1" applyBorder="1" applyAlignment="1" applyProtection="1">
      <alignment vertical="center"/>
      <protection/>
    </xf>
    <xf numFmtId="49" fontId="101" fillId="45" borderId="0" xfId="0" applyNumberFormat="1" applyFont="1" applyFill="1" applyBorder="1" applyAlignment="1" applyProtection="1">
      <alignment horizontal="right" vertical="center"/>
      <protection/>
    </xf>
    <xf numFmtId="0" fontId="99" fillId="45" borderId="0" xfId="0" applyNumberFormat="1" applyFont="1" applyFill="1" applyBorder="1" applyAlignment="1" applyProtection="1">
      <alignment horizontal="center" vertical="center"/>
      <protection/>
    </xf>
    <xf numFmtId="0" fontId="99" fillId="45" borderId="0" xfId="0" applyFont="1" applyFill="1" applyBorder="1" applyAlignment="1">
      <alignment vertical="center"/>
    </xf>
    <xf numFmtId="0" fontId="99" fillId="45" borderId="0" xfId="0" applyNumberFormat="1" applyFont="1" applyFill="1" applyBorder="1" applyAlignment="1" applyProtection="1">
      <alignment vertical="center"/>
      <protection/>
    </xf>
    <xf numFmtId="204" fontId="99" fillId="45" borderId="0" xfId="0" applyNumberFormat="1" applyFont="1" applyFill="1" applyBorder="1" applyAlignment="1">
      <alignment vertical="center"/>
    </xf>
    <xf numFmtId="190" fontId="99" fillId="45" borderId="0" xfId="0" applyNumberFormat="1" applyFont="1" applyFill="1" applyBorder="1" applyAlignment="1" applyProtection="1">
      <alignment vertical="center"/>
      <protection locked="0"/>
    </xf>
    <xf numFmtId="4" fontId="99" fillId="45" borderId="0" xfId="40" applyNumberFormat="1" applyFont="1" applyFill="1" applyBorder="1" applyAlignment="1">
      <alignment vertical="center"/>
    </xf>
    <xf numFmtId="3" fontId="99" fillId="45" borderId="0" xfId="40" applyNumberFormat="1" applyFont="1" applyFill="1" applyBorder="1" applyAlignment="1">
      <alignment vertical="center"/>
    </xf>
    <xf numFmtId="4" fontId="99" fillId="45" borderId="0" xfId="0" applyNumberFormat="1" applyFont="1" applyFill="1" applyBorder="1" applyAlignment="1">
      <alignment vertical="center"/>
    </xf>
    <xf numFmtId="3" fontId="99" fillId="45" borderId="0" xfId="0" applyNumberFormat="1" applyFont="1" applyFill="1" applyBorder="1" applyAlignment="1">
      <alignment vertical="center"/>
    </xf>
    <xf numFmtId="3" fontId="99" fillId="45" borderId="0" xfId="71" applyNumberFormat="1" applyFont="1" applyFill="1" applyBorder="1" applyAlignment="1" applyProtection="1">
      <alignment vertical="center"/>
      <protection/>
    </xf>
    <xf numFmtId="2" fontId="99" fillId="45" borderId="0" xfId="71" applyNumberFormat="1" applyFont="1" applyFill="1" applyBorder="1" applyAlignment="1" applyProtection="1">
      <alignment vertical="center"/>
      <protection/>
    </xf>
    <xf numFmtId="4" fontId="99" fillId="45" borderId="0" xfId="43" applyNumberFormat="1" applyFont="1" applyFill="1" applyBorder="1" applyAlignment="1" applyProtection="1">
      <alignment vertical="center"/>
      <protection/>
    </xf>
    <xf numFmtId="9" fontId="99" fillId="45" borderId="0" xfId="71" applyNumberFormat="1" applyFont="1" applyFill="1" applyBorder="1" applyAlignment="1" applyProtection="1">
      <alignment vertical="center"/>
      <protection/>
    </xf>
    <xf numFmtId="4" fontId="99" fillId="45" borderId="0" xfId="71" applyNumberFormat="1" applyFont="1" applyFill="1" applyBorder="1" applyAlignment="1" applyProtection="1">
      <alignment vertical="center"/>
      <protection/>
    </xf>
    <xf numFmtId="4" fontId="102" fillId="45" borderId="0" xfId="0" applyNumberFormat="1" applyFont="1" applyFill="1" applyBorder="1" applyAlignment="1">
      <alignment vertical="center"/>
    </xf>
    <xf numFmtId="3" fontId="102" fillId="45" borderId="0" xfId="0" applyNumberFormat="1" applyFont="1" applyFill="1" applyBorder="1" applyAlignment="1">
      <alignment vertical="center"/>
    </xf>
    <xf numFmtId="2" fontId="99" fillId="45" borderId="0" xfId="0" applyNumberFormat="1" applyFont="1" applyFill="1" applyBorder="1" applyAlignment="1" applyProtection="1">
      <alignment vertical="center"/>
      <protection/>
    </xf>
    <xf numFmtId="190" fontId="99" fillId="45" borderId="0" xfId="0" applyNumberFormat="1" applyFont="1" applyFill="1" applyBorder="1" applyAlignment="1" applyProtection="1">
      <alignment horizontal="center" vertical="center"/>
      <protection/>
    </xf>
    <xf numFmtId="0" fontId="99" fillId="45" borderId="0" xfId="0" applyFont="1" applyFill="1" applyBorder="1" applyAlignment="1" applyProtection="1">
      <alignment horizontal="center" vertical="center"/>
      <protection/>
    </xf>
    <xf numFmtId="0" fontId="99" fillId="45" borderId="0" xfId="0" applyNumberFormat="1" applyFont="1" applyFill="1" applyBorder="1" applyAlignment="1" applyProtection="1">
      <alignment vertical="center"/>
      <protection locked="0"/>
    </xf>
    <xf numFmtId="1" fontId="99" fillId="45" borderId="0" xfId="0" applyNumberFormat="1" applyFont="1" applyFill="1" applyBorder="1" applyAlignment="1">
      <alignment vertical="center"/>
    </xf>
    <xf numFmtId="4" fontId="99" fillId="45" borderId="0" xfId="42" applyNumberFormat="1" applyFont="1" applyFill="1" applyBorder="1" applyAlignment="1" applyProtection="1">
      <alignment vertical="center"/>
      <protection locked="0"/>
    </xf>
    <xf numFmtId="3" fontId="99" fillId="45" borderId="0" xfId="42" applyNumberFormat="1" applyFont="1" applyFill="1" applyBorder="1" applyAlignment="1" applyProtection="1">
      <alignment vertical="center"/>
      <protection locked="0"/>
    </xf>
    <xf numFmtId="4" fontId="102" fillId="45" borderId="0" xfId="42" applyNumberFormat="1" applyFont="1" applyFill="1" applyBorder="1" applyAlignment="1" applyProtection="1">
      <alignment vertical="center"/>
      <protection locked="0"/>
    </xf>
    <xf numFmtId="3" fontId="102" fillId="45" borderId="0" xfId="42" applyNumberFormat="1" applyFont="1" applyFill="1" applyBorder="1" applyAlignment="1" applyProtection="1">
      <alignment vertical="center"/>
      <protection locked="0"/>
    </xf>
    <xf numFmtId="0" fontId="99" fillId="45" borderId="0" xfId="0" applyFont="1" applyFill="1" applyBorder="1" applyAlignment="1" applyProtection="1">
      <alignment vertical="center"/>
      <protection/>
    </xf>
    <xf numFmtId="4" fontId="99" fillId="45" borderId="0" xfId="43" applyNumberFormat="1" applyFont="1" applyFill="1" applyBorder="1" applyAlignment="1">
      <alignment vertical="center"/>
    </xf>
    <xf numFmtId="3" fontId="99" fillId="45" borderId="0" xfId="43" applyNumberFormat="1" applyFont="1" applyFill="1" applyBorder="1" applyAlignment="1">
      <alignment vertical="center"/>
    </xf>
    <xf numFmtId="4" fontId="102" fillId="45" borderId="0" xfId="43" applyNumberFormat="1" applyFont="1" applyFill="1" applyBorder="1" applyAlignment="1" applyProtection="1">
      <alignment vertical="center"/>
      <protection locked="0"/>
    </xf>
    <xf numFmtId="3" fontId="102" fillId="45" borderId="0" xfId="43" applyNumberFormat="1" applyFont="1" applyFill="1" applyBorder="1" applyAlignment="1" applyProtection="1">
      <alignment vertical="center"/>
      <protection locked="0"/>
    </xf>
    <xf numFmtId="4" fontId="99" fillId="45" borderId="0" xfId="43" applyNumberFormat="1" applyFont="1" applyFill="1" applyBorder="1" applyAlignment="1" applyProtection="1">
      <alignment vertical="center"/>
      <protection locked="0"/>
    </xf>
    <xf numFmtId="3" fontId="99" fillId="45" borderId="0" xfId="43" applyNumberFormat="1" applyFont="1" applyFill="1" applyBorder="1" applyAlignment="1" applyProtection="1">
      <alignment vertical="center"/>
      <protection locked="0"/>
    </xf>
    <xf numFmtId="190" fontId="99" fillId="45" borderId="0" xfId="0" applyNumberFormat="1" applyFont="1" applyFill="1" applyBorder="1" applyAlignment="1" applyProtection="1">
      <alignment vertical="center"/>
      <protection/>
    </xf>
    <xf numFmtId="4" fontId="52" fillId="43" borderId="0" xfId="0" applyNumberFormat="1" applyFont="1" applyFill="1" applyBorder="1" applyAlignment="1">
      <alignment vertical="center"/>
    </xf>
    <xf numFmtId="4" fontId="52" fillId="43" borderId="0" xfId="42" applyNumberFormat="1" applyFont="1" applyFill="1" applyBorder="1" applyAlignment="1" applyProtection="1">
      <alignment vertical="center"/>
      <protection locked="0"/>
    </xf>
    <xf numFmtId="4" fontId="52" fillId="43" borderId="0" xfId="42" applyNumberFormat="1" applyFont="1" applyFill="1" applyBorder="1" applyAlignment="1" applyProtection="1">
      <alignment vertical="center"/>
      <protection/>
    </xf>
    <xf numFmtId="4" fontId="52" fillId="43" borderId="0" xfId="43" applyNumberFormat="1" applyFont="1" applyFill="1" applyBorder="1" applyAlignment="1" applyProtection="1">
      <alignment vertical="center"/>
      <protection locked="0"/>
    </xf>
    <xf numFmtId="4" fontId="52" fillId="43" borderId="0" xfId="53" applyNumberFormat="1" applyFont="1" applyFill="1" applyBorder="1" applyAlignment="1" applyProtection="1">
      <alignment vertical="center"/>
      <protection/>
    </xf>
    <xf numFmtId="204" fontId="102" fillId="8" borderId="0" xfId="0" applyNumberFormat="1" applyFont="1" applyFill="1" applyBorder="1" applyAlignment="1">
      <alignment vertical="center"/>
    </xf>
    <xf numFmtId="0" fontId="99" fillId="8" borderId="0" xfId="0" applyFont="1" applyFill="1" applyBorder="1" applyAlignment="1">
      <alignment vertical="center"/>
    </xf>
    <xf numFmtId="204" fontId="99" fillId="8" borderId="0" xfId="0" applyNumberFormat="1" applyFont="1" applyFill="1" applyBorder="1" applyAlignment="1">
      <alignment vertical="center"/>
    </xf>
    <xf numFmtId="0" fontId="102" fillId="8" borderId="0" xfId="0" applyFont="1" applyFill="1" applyBorder="1" applyAlignment="1">
      <alignment vertical="center"/>
    </xf>
    <xf numFmtId="0" fontId="99" fillId="8" borderId="0" xfId="0" applyNumberFormat="1" applyFont="1" applyFill="1" applyBorder="1" applyAlignment="1" applyProtection="1">
      <alignment vertical="center"/>
      <protection/>
    </xf>
    <xf numFmtId="0" fontId="102" fillId="8" borderId="0" xfId="0" applyNumberFormat="1" applyFont="1" applyFill="1" applyBorder="1" applyAlignment="1" applyProtection="1">
      <alignment vertical="center"/>
      <protection locked="0"/>
    </xf>
    <xf numFmtId="0" fontId="99" fillId="8" borderId="0" xfId="0" applyNumberFormat="1" applyFont="1" applyFill="1" applyBorder="1" applyAlignment="1" applyProtection="1">
      <alignment vertical="center"/>
      <protection locked="0"/>
    </xf>
    <xf numFmtId="4" fontId="52" fillId="8" borderId="0" xfId="42" applyNumberFormat="1" applyFont="1" applyFill="1" applyBorder="1" applyAlignment="1" applyProtection="1">
      <alignment vertical="center"/>
      <protection locked="0"/>
    </xf>
    <xf numFmtId="4" fontId="52" fillId="8" borderId="0" xfId="0" applyNumberFormat="1" applyFont="1" applyFill="1" applyBorder="1" applyAlignment="1">
      <alignment vertical="center"/>
    </xf>
    <xf numFmtId="0" fontId="161" fillId="8" borderId="0" xfId="0" applyFont="1" applyFill="1" applyBorder="1" applyAlignment="1">
      <alignment vertical="center"/>
    </xf>
    <xf numFmtId="0" fontId="162" fillId="8" borderId="0" xfId="0" applyFont="1" applyFill="1" applyBorder="1" applyAlignment="1">
      <alignment vertical="center"/>
    </xf>
    <xf numFmtId="0" fontId="162" fillId="8" borderId="0" xfId="0" applyNumberFormat="1" applyFont="1" applyFill="1" applyBorder="1" applyAlignment="1" applyProtection="1">
      <alignment vertical="center"/>
      <protection/>
    </xf>
    <xf numFmtId="4" fontId="163" fillId="8" borderId="0" xfId="43" applyNumberFormat="1" applyFont="1" applyFill="1" applyBorder="1" applyAlignment="1" applyProtection="1">
      <alignment vertical="center"/>
      <protection locked="0"/>
    </xf>
    <xf numFmtId="0" fontId="106" fillId="43" borderId="0" xfId="0" applyFont="1" applyFill="1" applyBorder="1" applyAlignment="1">
      <alignment vertical="center"/>
    </xf>
    <xf numFmtId="4" fontId="106" fillId="43" borderId="0" xfId="0" applyNumberFormat="1" applyFont="1" applyFill="1" applyBorder="1" applyAlignment="1">
      <alignment vertical="center"/>
    </xf>
    <xf numFmtId="3" fontId="106" fillId="43" borderId="0" xfId="0" applyNumberFormat="1" applyFont="1" applyFill="1" applyBorder="1" applyAlignment="1">
      <alignment vertical="center"/>
    </xf>
    <xf numFmtId="0" fontId="99" fillId="43" borderId="0" xfId="0" applyNumberFormat="1" applyFont="1" applyFill="1" applyBorder="1" applyAlignment="1" applyProtection="1">
      <alignment horizontal="left" vertical="center"/>
      <protection/>
    </xf>
    <xf numFmtId="204" fontId="99" fillId="43" borderId="0" xfId="0" applyNumberFormat="1" applyFont="1" applyFill="1" applyBorder="1" applyAlignment="1">
      <alignment horizontal="left" vertical="center"/>
    </xf>
    <xf numFmtId="0" fontId="99" fillId="43" borderId="0" xfId="0" applyNumberFormat="1" applyFont="1" applyFill="1" applyBorder="1" applyAlignment="1">
      <alignment horizontal="left" vertical="center"/>
    </xf>
    <xf numFmtId="0" fontId="106" fillId="43" borderId="0" xfId="0" applyNumberFormat="1" applyFont="1" applyFill="1" applyBorder="1" applyAlignment="1" applyProtection="1">
      <alignment vertical="center"/>
      <protection locked="0"/>
    </xf>
    <xf numFmtId="0" fontId="99" fillId="43" borderId="0" xfId="0" applyFont="1" applyFill="1" applyBorder="1" applyAlignment="1">
      <alignment horizontal="center" vertical="center"/>
    </xf>
    <xf numFmtId="4" fontId="106" fillId="43" borderId="0" xfId="43" applyNumberFormat="1" applyFont="1" applyFill="1" applyBorder="1" applyAlignment="1" applyProtection="1">
      <alignment vertical="center"/>
      <protection locked="0"/>
    </xf>
    <xf numFmtId="3" fontId="106" fillId="43" borderId="0" xfId="43" applyNumberFormat="1" applyFont="1" applyFill="1" applyBorder="1" applyAlignment="1" applyProtection="1">
      <alignment vertical="center"/>
      <protection locked="0"/>
    </xf>
    <xf numFmtId="4" fontId="99" fillId="43" borderId="0" xfId="44" applyNumberFormat="1" applyFont="1" applyFill="1" applyBorder="1" applyAlignment="1" applyProtection="1">
      <alignment vertical="center"/>
      <protection locked="0"/>
    </xf>
    <xf numFmtId="3" fontId="99" fillId="43" borderId="0" xfId="44" applyNumberFormat="1" applyFont="1" applyFill="1" applyBorder="1" applyAlignment="1" applyProtection="1">
      <alignment vertical="center"/>
      <protection locked="0"/>
    </xf>
    <xf numFmtId="1" fontId="106" fillId="43" borderId="0" xfId="0" applyNumberFormat="1" applyFont="1" applyFill="1" applyBorder="1" applyAlignment="1">
      <alignment vertical="center"/>
    </xf>
    <xf numFmtId="4" fontId="99" fillId="43" borderId="0" xfId="40" applyNumberFormat="1" applyFont="1" applyFill="1" applyBorder="1" applyAlignment="1" applyProtection="1">
      <alignment vertical="center"/>
      <protection/>
    </xf>
    <xf numFmtId="4" fontId="106" fillId="46" borderId="0" xfId="0" applyNumberFormat="1" applyFont="1" applyFill="1" applyBorder="1" applyAlignment="1">
      <alignment vertical="center"/>
    </xf>
    <xf numFmtId="3" fontId="106" fillId="46" borderId="0" xfId="0" applyNumberFormat="1" applyFont="1" applyFill="1" applyBorder="1" applyAlignment="1">
      <alignment vertical="center"/>
    </xf>
    <xf numFmtId="0" fontId="106" fillId="43" borderId="0" xfId="0" applyNumberFormat="1" applyFont="1" applyFill="1" applyBorder="1" applyAlignment="1">
      <alignment vertical="center"/>
    </xf>
    <xf numFmtId="204" fontId="102" fillId="43" borderId="0" xfId="0" applyNumberFormat="1" applyFont="1" applyFill="1" applyBorder="1" applyAlignment="1">
      <alignment horizontal="left" vertical="center"/>
    </xf>
    <xf numFmtId="0" fontId="102" fillId="43" borderId="0" xfId="0" applyFont="1" applyFill="1" applyBorder="1" applyAlignment="1" applyProtection="1">
      <alignment horizontal="left" vertical="center"/>
      <protection locked="0"/>
    </xf>
    <xf numFmtId="204" fontId="107" fillId="43" borderId="0" xfId="0" applyNumberFormat="1" applyFont="1" applyFill="1" applyBorder="1" applyAlignment="1">
      <alignment vertical="center"/>
    </xf>
    <xf numFmtId="0" fontId="107" fillId="43" borderId="0" xfId="0" applyNumberFormat="1" applyFont="1" applyFill="1" applyBorder="1" applyAlignment="1">
      <alignment vertical="center"/>
    </xf>
    <xf numFmtId="0" fontId="107" fillId="43" borderId="0" xfId="0" applyFont="1" applyFill="1" applyBorder="1" applyAlignment="1" applyProtection="1">
      <alignment vertical="center"/>
      <protection locked="0"/>
    </xf>
    <xf numFmtId="0" fontId="107" fillId="43" borderId="0" xfId="0" applyNumberFormat="1" applyFont="1" applyFill="1" applyBorder="1" applyAlignment="1" applyProtection="1">
      <alignment vertical="center"/>
      <protection locked="0"/>
    </xf>
    <xf numFmtId="0" fontId="107" fillId="43" borderId="0" xfId="0" applyFont="1" applyFill="1" applyBorder="1" applyAlignment="1">
      <alignment vertical="center"/>
    </xf>
    <xf numFmtId="0" fontId="107" fillId="43" borderId="0" xfId="0" applyNumberFormat="1" applyFont="1" applyFill="1" applyBorder="1" applyAlignment="1" applyProtection="1">
      <alignment vertical="center"/>
      <protection/>
    </xf>
    <xf numFmtId="0" fontId="107" fillId="43" borderId="0" xfId="58" applyFont="1" applyFill="1" applyBorder="1" applyAlignment="1">
      <alignment vertical="center"/>
      <protection/>
    </xf>
    <xf numFmtId="4" fontId="107" fillId="43" borderId="0" xfId="0" applyNumberFormat="1" applyFont="1" applyFill="1" applyBorder="1" applyAlignment="1">
      <alignment vertical="center"/>
    </xf>
    <xf numFmtId="3" fontId="107" fillId="43" borderId="0" xfId="0" applyNumberFormat="1" applyFont="1" applyFill="1" applyBorder="1" applyAlignment="1">
      <alignment vertical="center"/>
    </xf>
    <xf numFmtId="4" fontId="102" fillId="43" borderId="0" xfId="43" applyNumberFormat="1" applyFont="1" applyFill="1" applyBorder="1" applyAlignment="1" applyProtection="1">
      <alignment horizontal="right" vertical="center"/>
      <protection locked="0"/>
    </xf>
    <xf numFmtId="3" fontId="102" fillId="43" borderId="0" xfId="43" applyNumberFormat="1" applyFont="1" applyFill="1" applyBorder="1" applyAlignment="1" applyProtection="1">
      <alignment horizontal="right" vertical="center"/>
      <protection locked="0"/>
    </xf>
    <xf numFmtId="4" fontId="107" fillId="43" borderId="0" xfId="43" applyNumberFormat="1" applyFont="1" applyFill="1" applyBorder="1" applyAlignment="1" applyProtection="1">
      <alignment vertical="center"/>
      <protection locked="0"/>
    </xf>
    <xf numFmtId="3" fontId="107" fillId="43" borderId="0" xfId="43" applyNumberFormat="1" applyFont="1" applyFill="1" applyBorder="1" applyAlignment="1" applyProtection="1">
      <alignment vertical="center"/>
      <protection locked="0"/>
    </xf>
    <xf numFmtId="4" fontId="102" fillId="43" borderId="0" xfId="44" applyNumberFormat="1" applyFont="1" applyFill="1" applyBorder="1" applyAlignment="1" applyProtection="1">
      <alignment vertical="center"/>
      <protection locked="0"/>
    </xf>
    <xf numFmtId="3" fontId="102" fillId="43" borderId="0" xfId="44" applyNumberFormat="1" applyFont="1" applyFill="1" applyBorder="1" applyAlignment="1" applyProtection="1">
      <alignment vertical="center"/>
      <protection locked="0"/>
    </xf>
    <xf numFmtId="4" fontId="102" fillId="43" borderId="0" xfId="43" applyNumberFormat="1" applyFont="1" applyFill="1" applyBorder="1" applyAlignment="1" applyProtection="1">
      <alignment vertical="center"/>
      <protection/>
    </xf>
    <xf numFmtId="3" fontId="102" fillId="43" borderId="0" xfId="43" applyNumberFormat="1" applyFont="1" applyFill="1" applyBorder="1" applyAlignment="1" applyProtection="1">
      <alignment vertical="center"/>
      <protection/>
    </xf>
    <xf numFmtId="4" fontId="102" fillId="43" borderId="0" xfId="40" applyNumberFormat="1" applyFont="1" applyFill="1" applyBorder="1" applyAlignment="1" applyProtection="1">
      <alignment vertical="center"/>
      <protection/>
    </xf>
    <xf numFmtId="3" fontId="102" fillId="43" borderId="0" xfId="40" applyNumberFormat="1" applyFont="1" applyFill="1" applyBorder="1" applyAlignment="1" applyProtection="1">
      <alignment vertical="center"/>
      <protection/>
    </xf>
    <xf numFmtId="4" fontId="107" fillId="46" borderId="0" xfId="0" applyNumberFormat="1" applyFont="1" applyFill="1" applyBorder="1" applyAlignment="1">
      <alignment vertical="center"/>
    </xf>
    <xf numFmtId="3" fontId="107" fillId="46" borderId="0" xfId="0" applyNumberFormat="1" applyFont="1" applyFill="1" applyBorder="1" applyAlignment="1">
      <alignment vertical="center"/>
    </xf>
    <xf numFmtId="4" fontId="102" fillId="43" borderId="0" xfId="0" applyNumberFormat="1" applyFont="1" applyFill="1" applyBorder="1" applyAlignment="1">
      <alignment horizontal="right" vertical="center"/>
    </xf>
    <xf numFmtId="3" fontId="102" fillId="43" borderId="0" xfId="0" applyNumberFormat="1" applyFont="1" applyFill="1" applyBorder="1" applyAlignment="1">
      <alignment horizontal="right" vertical="center"/>
    </xf>
    <xf numFmtId="188" fontId="102" fillId="43" borderId="0" xfId="43" applyNumberFormat="1" applyFont="1" applyFill="1" applyBorder="1" applyAlignment="1" applyProtection="1">
      <alignment vertical="center"/>
      <protection locked="0"/>
    </xf>
    <xf numFmtId="4" fontId="102" fillId="43" borderId="0" xfId="53" applyNumberFormat="1" applyFont="1" applyFill="1" applyBorder="1" applyAlignment="1" applyProtection="1">
      <alignment horizontal="right" vertical="center"/>
      <protection/>
    </xf>
    <xf numFmtId="3" fontId="102" fillId="43" borderId="0" xfId="53" applyNumberFormat="1" applyFont="1" applyFill="1" applyBorder="1" applyAlignment="1" applyProtection="1">
      <alignment horizontal="right" vertical="center"/>
      <protection/>
    </xf>
    <xf numFmtId="0" fontId="0" fillId="43" borderId="0" xfId="0" applyFont="1" applyFill="1" applyAlignment="1">
      <alignment vertical="center"/>
    </xf>
    <xf numFmtId="0" fontId="1" fillId="43" borderId="0" xfId="0" applyFont="1" applyFill="1" applyAlignment="1">
      <alignment vertical="center"/>
    </xf>
    <xf numFmtId="0" fontId="67" fillId="43" borderId="0" xfId="0" applyFont="1" applyFill="1" applyAlignment="1">
      <alignment vertical="center"/>
    </xf>
    <xf numFmtId="0" fontId="80" fillId="44" borderId="0" xfId="0" applyFont="1" applyFill="1" applyBorder="1" applyAlignment="1">
      <alignment horizontal="center" vertical="center"/>
    </xf>
    <xf numFmtId="0" fontId="69" fillId="44" borderId="0" xfId="0" applyFont="1" applyFill="1" applyBorder="1" applyAlignment="1">
      <alignment horizontal="center" vertical="center"/>
    </xf>
    <xf numFmtId="0" fontId="70" fillId="43" borderId="0" xfId="0" applyFont="1" applyFill="1" applyAlignment="1">
      <alignment horizontal="center" vertical="center"/>
    </xf>
    <xf numFmtId="0" fontId="46" fillId="43" borderId="0" xfId="0" applyFont="1" applyFill="1" applyBorder="1" applyAlignment="1">
      <alignment/>
    </xf>
    <xf numFmtId="4" fontId="99" fillId="46" borderId="0" xfId="0" applyNumberFormat="1" applyFont="1" applyFill="1" applyBorder="1" applyAlignment="1">
      <alignment vertical="center"/>
    </xf>
    <xf numFmtId="3" fontId="99" fillId="46" borderId="0" xfId="0" applyNumberFormat="1" applyFont="1" applyFill="1" applyBorder="1" applyAlignment="1">
      <alignment vertical="center"/>
    </xf>
    <xf numFmtId="0" fontId="47" fillId="43" borderId="0" xfId="0" applyFont="1" applyFill="1" applyBorder="1" applyAlignment="1">
      <alignment/>
    </xf>
    <xf numFmtId="0" fontId="70" fillId="43" borderId="0" xfId="0" applyFont="1" applyFill="1" applyBorder="1" applyAlignment="1">
      <alignment/>
    </xf>
    <xf numFmtId="0" fontId="80" fillId="44" borderId="0" xfId="0" applyFont="1" applyFill="1" applyBorder="1" applyAlignment="1">
      <alignment horizontal="center"/>
    </xf>
    <xf numFmtId="0" fontId="108" fillId="44" borderId="0" xfId="0" applyFont="1" applyFill="1" applyBorder="1" applyAlignment="1">
      <alignment horizontal="center"/>
    </xf>
    <xf numFmtId="4" fontId="102" fillId="43" borderId="0" xfId="43" applyNumberFormat="1" applyFont="1" applyFill="1" applyBorder="1" applyAlignment="1">
      <alignment horizontal="right" vertical="center"/>
    </xf>
    <xf numFmtId="3" fontId="102" fillId="43" borderId="0" xfId="43" applyNumberFormat="1" applyFont="1" applyFill="1" applyBorder="1" applyAlignment="1">
      <alignment horizontal="right" vertical="center"/>
    </xf>
    <xf numFmtId="4" fontId="164" fillId="43" borderId="0" xfId="0" applyNumberFormat="1" applyFont="1" applyFill="1" applyBorder="1" applyAlignment="1">
      <alignment vertical="center"/>
    </xf>
    <xf numFmtId="3" fontId="164" fillId="43" borderId="0" xfId="0" applyNumberFormat="1" applyFont="1" applyFill="1" applyBorder="1" applyAlignment="1">
      <alignment vertical="center"/>
    </xf>
    <xf numFmtId="4" fontId="102" fillId="43" borderId="0" xfId="42" applyNumberFormat="1" applyFont="1" applyFill="1" applyBorder="1" applyAlignment="1" applyProtection="1">
      <alignment horizontal="right" vertical="center"/>
      <protection locked="0"/>
    </xf>
    <xf numFmtId="3" fontId="102" fillId="43" borderId="0" xfId="42" applyNumberFormat="1" applyFont="1" applyFill="1" applyBorder="1" applyAlignment="1" applyProtection="1">
      <alignment horizontal="right" vertical="center"/>
      <protection locked="0"/>
    </xf>
    <xf numFmtId="0" fontId="15" fillId="34" borderId="33" xfId="0" applyFont="1" applyFill="1" applyBorder="1" applyAlignment="1" applyProtection="1">
      <alignment vertical="center"/>
      <protection/>
    </xf>
    <xf numFmtId="204" fontId="102" fillId="43" borderId="34" xfId="0" applyNumberFormat="1" applyFont="1" applyFill="1" applyBorder="1" applyAlignment="1">
      <alignment vertical="center"/>
    </xf>
    <xf numFmtId="0" fontId="99" fillId="43" borderId="34" xfId="0" applyFont="1" applyFill="1" applyBorder="1" applyAlignment="1">
      <alignment vertical="center"/>
    </xf>
    <xf numFmtId="204" fontId="99" fillId="43" borderId="34" xfId="0" applyNumberFormat="1" applyFont="1" applyFill="1" applyBorder="1" applyAlignment="1">
      <alignment vertical="center"/>
    </xf>
    <xf numFmtId="4" fontId="52" fillId="43" borderId="34" xfId="0" applyNumberFormat="1" applyFont="1" applyFill="1" applyBorder="1" applyAlignment="1">
      <alignment vertical="center"/>
    </xf>
    <xf numFmtId="3" fontId="52" fillId="43" borderId="35" xfId="0" applyNumberFormat="1" applyFont="1" applyFill="1" applyBorder="1" applyAlignment="1">
      <alignment vertical="center"/>
    </xf>
    <xf numFmtId="0" fontId="15" fillId="34" borderId="36" xfId="0" applyFont="1" applyFill="1" applyBorder="1" applyAlignment="1" applyProtection="1">
      <alignment vertical="center"/>
      <protection/>
    </xf>
    <xf numFmtId="3" fontId="52" fillId="8" borderId="37" xfId="42" applyNumberFormat="1" applyFont="1" applyFill="1" applyBorder="1" applyAlignment="1" applyProtection="1">
      <alignment vertical="center"/>
      <protection locked="0"/>
    </xf>
    <xf numFmtId="3" fontId="52" fillId="43" borderId="37" xfId="0" applyNumberFormat="1" applyFont="1" applyFill="1" applyBorder="1" applyAlignment="1">
      <alignment vertical="center"/>
    </xf>
    <xf numFmtId="3" fontId="52" fillId="43" borderId="37" xfId="42" applyNumberFormat="1" applyFont="1" applyFill="1" applyBorder="1" applyAlignment="1" applyProtection="1">
      <alignment vertical="center"/>
      <protection locked="0"/>
    </xf>
    <xf numFmtId="3" fontId="52" fillId="8" borderId="37" xfId="0" applyNumberFormat="1" applyFont="1" applyFill="1" applyBorder="1" applyAlignment="1">
      <alignment vertical="center"/>
    </xf>
    <xf numFmtId="3" fontId="52" fillId="43" borderId="37" xfId="42" applyNumberFormat="1" applyFont="1" applyFill="1" applyBorder="1" applyAlignment="1" applyProtection="1">
      <alignment vertical="center"/>
      <protection/>
    </xf>
    <xf numFmtId="3" fontId="163" fillId="8" borderId="37" xfId="43" applyNumberFormat="1" applyFont="1" applyFill="1" applyBorder="1" applyAlignment="1" applyProtection="1">
      <alignment vertical="center"/>
      <protection locked="0"/>
    </xf>
    <xf numFmtId="3" fontId="52" fillId="43" borderId="37" xfId="43" applyNumberFormat="1" applyFont="1" applyFill="1" applyBorder="1" applyAlignment="1" applyProtection="1">
      <alignment vertical="center"/>
      <protection locked="0"/>
    </xf>
    <xf numFmtId="3" fontId="52" fillId="43" borderId="37" xfId="53" applyNumberFormat="1" applyFont="1" applyFill="1" applyBorder="1" applyAlignment="1" applyProtection="1">
      <alignment vertical="center"/>
      <protection/>
    </xf>
    <xf numFmtId="0" fontId="15" fillId="34" borderId="38" xfId="0" applyFont="1" applyFill="1" applyBorder="1" applyAlignment="1" applyProtection="1">
      <alignment vertical="center"/>
      <protection/>
    </xf>
    <xf numFmtId="0" fontId="99" fillId="43" borderId="0" xfId="0" applyFont="1" applyFill="1" applyAlignment="1">
      <alignment vertical="center"/>
    </xf>
    <xf numFmtId="0" fontId="0" fillId="43" borderId="0" xfId="0" applyFont="1" applyFill="1" applyBorder="1" applyAlignment="1">
      <alignment vertical="center"/>
    </xf>
    <xf numFmtId="0" fontId="99" fillId="43" borderId="0" xfId="0" applyFont="1" applyFill="1" applyBorder="1" applyAlignment="1">
      <alignment horizontal="right" vertical="center" shrinkToFit="1"/>
    </xf>
    <xf numFmtId="4" fontId="99" fillId="46" borderId="0" xfId="0" applyNumberFormat="1" applyFont="1" applyFill="1" applyBorder="1" applyAlignment="1">
      <alignment horizontal="right" vertical="center"/>
    </xf>
    <xf numFmtId="3" fontId="99" fillId="46" borderId="0" xfId="0" applyNumberFormat="1" applyFont="1" applyFill="1" applyBorder="1" applyAlignment="1">
      <alignment horizontal="right" vertical="center"/>
    </xf>
    <xf numFmtId="0" fontId="99" fillId="43" borderId="0" xfId="0" applyFont="1" applyFill="1" applyBorder="1" applyAlignment="1">
      <alignment vertical="center" shrinkToFit="1"/>
    </xf>
    <xf numFmtId="0" fontId="109" fillId="43" borderId="0" xfId="0" applyFont="1" applyFill="1" applyBorder="1" applyAlignment="1">
      <alignment/>
    </xf>
    <xf numFmtId="0" fontId="81" fillId="43" borderId="0" xfId="0" applyFont="1" applyFill="1" applyBorder="1" applyAlignment="1">
      <alignment horizontal="center"/>
    </xf>
    <xf numFmtId="0" fontId="81" fillId="44" borderId="0" xfId="0" applyFont="1" applyFill="1" applyBorder="1" applyAlignment="1">
      <alignment horizontal="center" wrapText="1"/>
    </xf>
    <xf numFmtId="0" fontId="81" fillId="44" borderId="0" xfId="0" applyFont="1" applyFill="1" applyBorder="1" applyAlignment="1">
      <alignment horizontal="center"/>
    </xf>
    <xf numFmtId="4" fontId="102" fillId="43" borderId="0" xfId="42" applyNumberFormat="1" applyFont="1" applyFill="1" applyBorder="1" applyAlignment="1" applyProtection="1">
      <alignment vertical="center"/>
      <protection/>
    </xf>
    <xf numFmtId="3" fontId="102" fillId="43" borderId="0" xfId="42" applyNumberFormat="1" applyFont="1" applyFill="1" applyBorder="1" applyAlignment="1" applyProtection="1">
      <alignment vertical="center"/>
      <protection/>
    </xf>
    <xf numFmtId="0" fontId="102" fillId="43" borderId="0" xfId="0" applyFont="1" applyFill="1" applyBorder="1" applyAlignment="1">
      <alignment horizontal="left" vertical="center"/>
    </xf>
    <xf numFmtId="0" fontId="102" fillId="43" borderId="0" xfId="0" applyNumberFormat="1" applyFont="1" applyFill="1" applyBorder="1" applyAlignment="1">
      <alignment horizontal="left" vertical="center"/>
    </xf>
    <xf numFmtId="0" fontId="102" fillId="43" borderId="0" xfId="0" applyNumberFormat="1" applyFont="1" applyFill="1" applyBorder="1" applyAlignment="1" applyProtection="1">
      <alignment horizontal="left" vertical="center"/>
      <protection/>
    </xf>
    <xf numFmtId="0" fontId="165" fillId="37" borderId="0" xfId="0" applyFont="1" applyFill="1" applyAlignment="1">
      <alignment/>
    </xf>
    <xf numFmtId="0" fontId="165" fillId="0" borderId="0" xfId="0" applyFont="1" applyAlignment="1">
      <alignment/>
    </xf>
    <xf numFmtId="0" fontId="162" fillId="8" borderId="0" xfId="0" applyFont="1" applyFill="1" applyBorder="1" applyAlignment="1" applyProtection="1">
      <alignment vertical="center"/>
      <protection/>
    </xf>
    <xf numFmtId="0" fontId="162" fillId="8" borderId="0" xfId="0" applyNumberFormat="1" applyFont="1" applyFill="1" applyBorder="1" applyAlignment="1" applyProtection="1">
      <alignment vertical="center"/>
      <protection locked="0"/>
    </xf>
    <xf numFmtId="4" fontId="163" fillId="8" borderId="0" xfId="0" applyNumberFormat="1" applyFont="1" applyFill="1" applyBorder="1" applyAlignment="1">
      <alignment vertical="center"/>
    </xf>
    <xf numFmtId="3" fontId="163" fillId="8" borderId="37" xfId="0" applyNumberFormat="1" applyFont="1" applyFill="1" applyBorder="1" applyAlignment="1">
      <alignment vertical="center"/>
    </xf>
    <xf numFmtId="0" fontId="161" fillId="43" borderId="0" xfId="0" applyFont="1" applyFill="1" applyBorder="1" applyAlignment="1">
      <alignment vertical="center"/>
    </xf>
    <xf numFmtId="0" fontId="162" fillId="43" borderId="0" xfId="0" applyFont="1" applyFill="1" applyBorder="1" applyAlignment="1" applyProtection="1">
      <alignment vertical="center"/>
      <protection/>
    </xf>
    <xf numFmtId="0" fontId="162" fillId="43" borderId="0" xfId="0" applyNumberFormat="1" applyFont="1" applyFill="1" applyBorder="1" applyAlignment="1" applyProtection="1">
      <alignment vertical="center"/>
      <protection locked="0"/>
    </xf>
    <xf numFmtId="4" fontId="163" fillId="43" borderId="0" xfId="43" applyNumberFormat="1" applyFont="1" applyFill="1" applyBorder="1" applyAlignment="1" applyProtection="1">
      <alignment vertical="center"/>
      <protection locked="0"/>
    </xf>
    <xf numFmtId="3" fontId="163" fillId="43" borderId="37" xfId="43" applyNumberFormat="1" applyFont="1" applyFill="1" applyBorder="1" applyAlignment="1" applyProtection="1">
      <alignment vertical="center"/>
      <protection locked="0"/>
    </xf>
    <xf numFmtId="4" fontId="163" fillId="43" borderId="0" xfId="42" applyNumberFormat="1" applyFont="1" applyFill="1" applyBorder="1" applyAlignment="1" applyProtection="1">
      <alignment vertical="center"/>
      <protection locked="0"/>
    </xf>
    <xf numFmtId="3" fontId="163" fillId="43" borderId="37" xfId="42" applyNumberFormat="1" applyFont="1" applyFill="1" applyBorder="1" applyAlignment="1" applyProtection="1">
      <alignment vertical="center"/>
      <protection locked="0"/>
    </xf>
    <xf numFmtId="0" fontId="161" fillId="8" borderId="11" xfId="0" applyNumberFormat="1" applyFont="1" applyFill="1" applyBorder="1" applyAlignment="1" applyProtection="1">
      <alignment vertical="center"/>
      <protection/>
    </xf>
    <xf numFmtId="0" fontId="162" fillId="8" borderId="11" xfId="0" applyNumberFormat="1" applyFont="1" applyFill="1" applyBorder="1" applyAlignment="1" applyProtection="1">
      <alignment vertical="center"/>
      <protection/>
    </xf>
    <xf numFmtId="4" fontId="163" fillId="8" borderId="11" xfId="0" applyNumberFormat="1" applyFont="1" applyFill="1" applyBorder="1" applyAlignment="1">
      <alignment vertical="center"/>
    </xf>
    <xf numFmtId="3" fontId="163" fillId="8" borderId="39" xfId="0" applyNumberFormat="1" applyFont="1" applyFill="1" applyBorder="1" applyAlignment="1">
      <alignment vertical="center"/>
    </xf>
    <xf numFmtId="204" fontId="33" fillId="43" borderId="0" xfId="0" applyNumberFormat="1" applyFont="1" applyFill="1" applyBorder="1" applyAlignment="1">
      <alignment vertical="center"/>
    </xf>
    <xf numFmtId="204" fontId="33" fillId="45" borderId="0" xfId="0" applyNumberFormat="1" applyFont="1" applyFill="1" applyBorder="1" applyAlignment="1">
      <alignment vertical="center"/>
    </xf>
    <xf numFmtId="0" fontId="33" fillId="45" borderId="0" xfId="0" applyFont="1" applyFill="1" applyBorder="1" applyAlignment="1">
      <alignment vertical="center"/>
    </xf>
    <xf numFmtId="0" fontId="33" fillId="43" borderId="0" xfId="0" applyNumberFormat="1" applyFont="1" applyFill="1" applyBorder="1" applyAlignment="1" applyProtection="1">
      <alignment vertical="center"/>
      <protection locked="0"/>
    </xf>
    <xf numFmtId="0" fontId="33" fillId="45" borderId="0" xfId="0" applyNumberFormat="1" applyFont="1" applyFill="1" applyBorder="1" applyAlignment="1" applyProtection="1">
      <alignment vertical="center"/>
      <protection locked="0"/>
    </xf>
    <xf numFmtId="0" fontId="33" fillId="43" borderId="0" xfId="0" applyFont="1" applyFill="1" applyBorder="1" applyAlignment="1">
      <alignment vertical="center"/>
    </xf>
    <xf numFmtId="0" fontId="33" fillId="43" borderId="0" xfId="0" applyNumberFormat="1" applyFont="1" applyFill="1" applyBorder="1" applyAlignment="1">
      <alignment vertical="center"/>
    </xf>
    <xf numFmtId="0" fontId="33" fillId="45" borderId="0" xfId="0" applyNumberFormat="1" applyFont="1" applyFill="1" applyBorder="1" applyAlignment="1" applyProtection="1">
      <alignment vertical="center"/>
      <protection/>
    </xf>
    <xf numFmtId="0" fontId="33" fillId="43" borderId="0" xfId="0" applyNumberFormat="1" applyFont="1" applyFill="1" applyBorder="1" applyAlignment="1" applyProtection="1">
      <alignment vertical="center"/>
      <protection/>
    </xf>
    <xf numFmtId="0" fontId="20" fillId="43" borderId="0" xfId="0" applyFont="1" applyFill="1" applyBorder="1" applyAlignment="1" applyProtection="1">
      <alignment horizontal="left" vertical="center" wrapText="1"/>
      <protection/>
    </xf>
    <xf numFmtId="0" fontId="42" fillId="43" borderId="0" xfId="0" applyFont="1" applyFill="1" applyAlignment="1">
      <alignment vertical="center" wrapText="1"/>
    </xf>
    <xf numFmtId="3" fontId="71" fillId="43" borderId="0" xfId="0" applyNumberFormat="1" applyFont="1" applyFill="1" applyBorder="1" applyAlignment="1" applyProtection="1">
      <alignment horizontal="right" vertical="center" wrapText="1"/>
      <protection/>
    </xf>
    <xf numFmtId="0" fontId="0" fillId="0" borderId="0" xfId="0" applyAlignment="1">
      <alignment vertical="center" wrapText="1"/>
    </xf>
    <xf numFmtId="0" fontId="46" fillId="44" borderId="0" xfId="40" applyNumberFormat="1" applyFont="1" applyFill="1" applyBorder="1" applyAlignment="1" applyProtection="1">
      <alignment horizontal="center" wrapText="1"/>
      <protection/>
    </xf>
    <xf numFmtId="0" fontId="46" fillId="44" borderId="0" xfId="0" applyNumberFormat="1" applyFont="1" applyFill="1" applyBorder="1" applyAlignment="1">
      <alignment horizontal="center" wrapText="1"/>
    </xf>
    <xf numFmtId="0" fontId="101" fillId="43" borderId="0" xfId="0" applyFont="1" applyFill="1" applyBorder="1" applyAlignment="1" applyProtection="1">
      <alignment horizontal="left" vertical="center" wrapText="1"/>
      <protection/>
    </xf>
    <xf numFmtId="0" fontId="102" fillId="43" borderId="0" xfId="0" applyFont="1" applyFill="1" applyBorder="1" applyAlignment="1" applyProtection="1">
      <alignment horizontal="left" vertical="center" wrapText="1"/>
      <protection/>
    </xf>
    <xf numFmtId="0" fontId="69" fillId="44" borderId="0" xfId="0" applyFont="1" applyFill="1" applyBorder="1" applyAlignment="1" applyProtection="1">
      <alignment horizontal="center" vertical="center" wrapText="1"/>
      <protection/>
    </xf>
    <xf numFmtId="0" fontId="20" fillId="43" borderId="0" xfId="0" applyFont="1" applyFill="1" applyBorder="1" applyAlignment="1">
      <alignment horizontal="right" indent="1"/>
    </xf>
    <xf numFmtId="4" fontId="75" fillId="43" borderId="0" xfId="0" applyNumberFormat="1" applyFont="1" applyFill="1" applyBorder="1" applyAlignment="1">
      <alignment horizontal="right" vertical="center" wrapText="1" indent="1"/>
    </xf>
    <xf numFmtId="3" fontId="74" fillId="43" borderId="0" xfId="0" applyNumberFormat="1" applyFont="1" applyFill="1" applyBorder="1" applyAlignment="1" applyProtection="1">
      <alignment horizontal="center" vertical="center" wrapText="1"/>
      <protection/>
    </xf>
    <xf numFmtId="0" fontId="75" fillId="43" borderId="0" xfId="0" applyFont="1" applyFill="1" applyBorder="1" applyAlignment="1">
      <alignment horizontal="center" vertical="center" wrapText="1"/>
    </xf>
    <xf numFmtId="0" fontId="101" fillId="43" borderId="0" xfId="0" applyFont="1" applyFill="1" applyBorder="1" applyAlignment="1">
      <alignment horizontal="left" vertical="center" wrapText="1"/>
    </xf>
    <xf numFmtId="190" fontId="79" fillId="43" borderId="0" xfId="0" applyNumberFormat="1" applyFont="1" applyFill="1" applyBorder="1" applyAlignment="1" applyProtection="1">
      <alignment horizontal="left" vertical="center" wrapText="1"/>
      <protection/>
    </xf>
    <xf numFmtId="190" fontId="11" fillId="33" borderId="33" xfId="0" applyNumberFormat="1" applyFont="1" applyFill="1" applyBorder="1" applyAlignment="1" applyProtection="1">
      <alignment horizontal="left" vertical="center" wrapText="1"/>
      <protection/>
    </xf>
    <xf numFmtId="0" fontId="0" fillId="33" borderId="34" xfId="0" applyFill="1" applyBorder="1" applyAlignment="1" applyProtection="1">
      <alignment vertical="center" wrapText="1"/>
      <protection/>
    </xf>
    <xf numFmtId="0" fontId="0" fillId="33" borderId="35" xfId="0" applyFill="1" applyBorder="1" applyAlignment="1" applyProtection="1">
      <alignment vertical="center" wrapText="1"/>
      <protection/>
    </xf>
    <xf numFmtId="0" fontId="0" fillId="33" borderId="36"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0" fillId="33" borderId="38"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39" xfId="0" applyFill="1" applyBorder="1" applyAlignment="1" applyProtection="1">
      <alignment vertical="center" wrapText="1"/>
      <protection/>
    </xf>
    <xf numFmtId="0" fontId="166" fillId="14" borderId="11" xfId="0" applyFont="1" applyFill="1" applyBorder="1" applyAlignment="1" applyProtection="1">
      <alignment horizontal="center" vertical="center" wrapText="1"/>
      <protection/>
    </xf>
    <xf numFmtId="0" fontId="167" fillId="14" borderId="0" xfId="0" applyFont="1" applyFill="1" applyBorder="1" applyAlignment="1">
      <alignment horizontal="center" vertical="center" wrapText="1"/>
    </xf>
    <xf numFmtId="0" fontId="167" fillId="14" borderId="11" xfId="0" applyFont="1" applyFill="1" applyBorder="1" applyAlignment="1">
      <alignment horizontal="center" vertical="center" wrapText="1"/>
    </xf>
    <xf numFmtId="0" fontId="13" fillId="33" borderId="19" xfId="0" applyFont="1" applyFill="1" applyBorder="1" applyAlignment="1" applyProtection="1">
      <alignment horizontal="center" vertical="center" wrapText="1"/>
      <protection/>
    </xf>
    <xf numFmtId="0" fontId="13" fillId="33" borderId="4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13" fillId="33" borderId="41" xfId="0" applyFont="1" applyFill="1" applyBorder="1" applyAlignment="1" applyProtection="1">
      <alignment horizontal="center" vertical="center" wrapText="1"/>
      <protection/>
    </xf>
    <xf numFmtId="1" fontId="29" fillId="33" borderId="0" xfId="0" applyNumberFormat="1"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wrapText="1"/>
      <protection/>
    </xf>
    <xf numFmtId="1" fontId="18"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1" fontId="24" fillId="33" borderId="11" xfId="51" applyNumberFormat="1" applyFont="1" applyFill="1" applyBorder="1" applyAlignment="1" applyProtection="1">
      <alignment horizontal="center" vertical="center" wrapText="1"/>
      <protection/>
    </xf>
    <xf numFmtId="0" fontId="23" fillId="33" borderId="11" xfId="0" applyFont="1" applyFill="1" applyBorder="1" applyAlignment="1" applyProtection="1">
      <alignment horizontal="center" vertical="center" wrapText="1"/>
      <protection/>
    </xf>
    <xf numFmtId="0" fontId="17" fillId="14" borderId="0" xfId="0" applyFont="1" applyFill="1" applyBorder="1" applyAlignment="1" applyProtection="1">
      <alignment horizontal="center" vertical="center" wrapText="1"/>
      <protection/>
    </xf>
    <xf numFmtId="0" fontId="36" fillId="14" borderId="0" xfId="0" applyFont="1" applyFill="1" applyBorder="1" applyAlignment="1" applyProtection="1">
      <alignment horizontal="center" vertical="center" wrapText="1"/>
      <protection/>
    </xf>
    <xf numFmtId="0" fontId="37" fillId="0" borderId="11" xfId="0" applyFont="1" applyBorder="1" applyAlignment="1">
      <alignment horizontal="center" vertical="center" wrapText="1"/>
    </xf>
    <xf numFmtId="0" fontId="14" fillId="33" borderId="42" xfId="0" applyFont="1" applyFill="1" applyBorder="1" applyAlignment="1" applyProtection="1">
      <alignment horizontal="center" vertical="center" wrapText="1"/>
      <protection/>
    </xf>
    <xf numFmtId="0" fontId="14" fillId="33" borderId="43" xfId="0" applyFont="1" applyFill="1" applyBorder="1" applyAlignment="1" applyProtection="1">
      <alignment horizontal="center" vertical="center" wrapText="1"/>
      <protection/>
    </xf>
    <xf numFmtId="190" fontId="11" fillId="33" borderId="36" xfId="0" applyNumberFormat="1" applyFont="1" applyFill="1" applyBorder="1" applyAlignment="1" applyProtection="1">
      <alignment horizontal="left" vertical="center" wrapText="1"/>
      <protection/>
    </xf>
    <xf numFmtId="0" fontId="168" fillId="40" borderId="11" xfId="0" applyFont="1" applyFill="1" applyBorder="1" applyAlignment="1" applyProtection="1">
      <alignment horizontal="center" vertical="center" wrapText="1"/>
      <protection/>
    </xf>
    <xf numFmtId="0" fontId="169" fillId="40" borderId="0" xfId="0" applyFont="1" applyFill="1" applyBorder="1" applyAlignment="1">
      <alignment horizontal="center" vertical="center" wrapText="1"/>
    </xf>
    <xf numFmtId="0" fontId="169" fillId="40" borderId="11" xfId="0" applyFont="1" applyFill="1" applyBorder="1" applyAlignment="1">
      <alignment horizontal="center" vertical="center" wrapText="1"/>
    </xf>
    <xf numFmtId="0" fontId="170" fillId="43" borderId="44" xfId="0" applyFont="1" applyFill="1" applyBorder="1" applyAlignment="1">
      <alignment horizontal="center" vertical="center" wrapText="1"/>
    </xf>
    <xf numFmtId="0" fontId="171" fillId="43" borderId="44" xfId="0" applyFont="1" applyFill="1" applyBorder="1" applyAlignment="1">
      <alignment horizontal="center" vertical="center" wrapText="1"/>
    </xf>
    <xf numFmtId="0" fontId="171" fillId="43" borderId="45" xfId="0" applyFont="1" applyFill="1" applyBorder="1" applyAlignment="1">
      <alignment horizontal="center" vertical="center" wrapText="1"/>
    </xf>
    <xf numFmtId="0" fontId="80" fillId="44" borderId="0" xfId="0" applyFont="1" applyFill="1" applyBorder="1" applyAlignment="1">
      <alignment horizontal="center" vertical="center" wrapText="1"/>
    </xf>
    <xf numFmtId="0" fontId="70" fillId="44" borderId="0" xfId="0" applyFont="1" applyFill="1" applyBorder="1" applyAlignment="1">
      <alignment horizontal="center" vertical="center" wrapText="1"/>
    </xf>
    <xf numFmtId="0" fontId="170" fillId="43" borderId="0" xfId="0" applyNumberFormat="1" applyFont="1" applyFill="1" applyBorder="1" applyAlignment="1">
      <alignment horizontal="center" wrapText="1"/>
    </xf>
    <xf numFmtId="0" fontId="108" fillId="44" borderId="0" xfId="0" applyFont="1" applyFill="1" applyBorder="1" applyAlignment="1">
      <alignment horizontal="center" wrapText="1"/>
    </xf>
    <xf numFmtId="9" fontId="44" fillId="0" borderId="46" xfId="0" applyNumberFormat="1" applyFont="1" applyBorder="1" applyAlignment="1">
      <alignment horizontal="center" vertical="center" wrapText="1"/>
    </xf>
    <xf numFmtId="9" fontId="59" fillId="0" borderId="47" xfId="0" applyNumberFormat="1" applyFont="1" applyBorder="1" applyAlignment="1">
      <alignment horizontal="center" vertical="center" wrapText="1"/>
    </xf>
    <xf numFmtId="9" fontId="172" fillId="0" borderId="46" xfId="0" applyNumberFormat="1" applyFont="1" applyBorder="1" applyAlignment="1">
      <alignment horizontal="center" vertical="center" wrapText="1"/>
    </xf>
    <xf numFmtId="9" fontId="173" fillId="0" borderId="47" xfId="0" applyNumberFormat="1" applyFont="1" applyBorder="1" applyAlignment="1">
      <alignment horizontal="center" vertical="center" wrapText="1"/>
    </xf>
    <xf numFmtId="9" fontId="57" fillId="0" borderId="46" xfId="0" applyNumberFormat="1" applyFont="1" applyBorder="1" applyAlignment="1">
      <alignment horizontal="center" vertical="center" wrapText="1"/>
    </xf>
    <xf numFmtId="9" fontId="58" fillId="0" borderId="47" xfId="0" applyNumberFormat="1" applyFont="1" applyBorder="1" applyAlignment="1">
      <alignment horizontal="center" vertical="center" wrapText="1"/>
    </xf>
    <xf numFmtId="0" fontId="44" fillId="33" borderId="48" xfId="0" applyFont="1" applyFill="1" applyBorder="1" applyAlignment="1">
      <alignment horizontal="center" wrapText="1"/>
    </xf>
    <xf numFmtId="0" fontId="59" fillId="33" borderId="48" xfId="0" applyFont="1" applyFill="1" applyBorder="1" applyAlignment="1">
      <alignment horizontal="center" wrapText="1"/>
    </xf>
    <xf numFmtId="0" fontId="56" fillId="37" borderId="0" xfId="0" applyFont="1" applyFill="1" applyAlignment="1">
      <alignment horizontal="center" vertical="center" textRotation="180" wrapText="1"/>
    </xf>
    <xf numFmtId="0" fontId="0" fillId="0" borderId="0" xfId="0" applyAlignment="1">
      <alignment wrapText="1"/>
    </xf>
    <xf numFmtId="0" fontId="0" fillId="37" borderId="0" xfId="0" applyFill="1" applyAlignment="1">
      <alignment wrapText="1"/>
    </xf>
    <xf numFmtId="9" fontId="60" fillId="0" borderId="46" xfId="0" applyNumberFormat="1" applyFont="1" applyBorder="1" applyAlignment="1">
      <alignment horizontal="center" vertical="center" wrapText="1"/>
    </xf>
    <xf numFmtId="9" fontId="61" fillId="0" borderId="47" xfId="0" applyNumberFormat="1" applyFont="1" applyBorder="1" applyAlignment="1">
      <alignment horizontal="center" vertical="center" wrapText="1"/>
    </xf>
    <xf numFmtId="0" fontId="56" fillId="15" borderId="0" xfId="0" applyFont="1" applyFill="1" applyAlignment="1">
      <alignment horizontal="center" vertical="center" textRotation="180" wrapText="1"/>
    </xf>
    <xf numFmtId="0" fontId="0" fillId="15" borderId="0" xfId="0" applyFill="1" applyAlignment="1">
      <alignment wrapText="1"/>
    </xf>
    <xf numFmtId="0" fontId="56" fillId="35" borderId="0" xfId="0" applyFont="1" applyFill="1" applyAlignment="1">
      <alignment horizontal="center" vertical="center" textRotation="180" wrapText="1"/>
    </xf>
    <xf numFmtId="0" fontId="0" fillId="35" borderId="0" xfId="0" applyFill="1" applyAlignment="1">
      <alignment wrapText="1"/>
    </xf>
    <xf numFmtId="0" fontId="56" fillId="42" borderId="0" xfId="0" applyFont="1" applyFill="1" applyAlignment="1">
      <alignment horizontal="center" vertical="center" textRotation="180" wrapText="1"/>
    </xf>
    <xf numFmtId="0" fontId="0" fillId="42" borderId="0" xfId="0" applyFill="1" applyAlignment="1">
      <alignment wrapText="1"/>
    </xf>
    <xf numFmtId="0" fontId="62" fillId="47" borderId="0" xfId="0" applyFont="1" applyFill="1" applyAlignment="1">
      <alignment horizontal="center" wrapText="1"/>
    </xf>
    <xf numFmtId="0" fontId="63" fillId="47" borderId="0" xfId="0" applyFont="1" applyFill="1" applyAlignment="1">
      <alignment horizont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 3" xfId="57"/>
    <cellStyle name="Normal_1-7Şubat,2008"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 name="Yüzde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082992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2</xdr:row>
      <xdr:rowOff>76200</xdr:rowOff>
    </xdr:from>
    <xdr:to>
      <xdr:col>6</xdr:col>
      <xdr:colOff>114300</xdr:colOff>
      <xdr:row>4</xdr:row>
      <xdr:rowOff>95250</xdr:rowOff>
    </xdr:to>
    <xdr:pic>
      <xdr:nvPicPr>
        <xdr:cNvPr id="3" name="Picture 17" descr="Logo son"/>
        <xdr:cNvPicPr preferRelativeResize="1">
          <a:picLocks noChangeAspect="1"/>
        </xdr:cNvPicPr>
      </xdr:nvPicPr>
      <xdr:blipFill>
        <a:blip r:embed="rId1"/>
        <a:stretch>
          <a:fillRect/>
        </a:stretch>
      </xdr:blipFill>
      <xdr:spPr>
        <a:xfrm>
          <a:off x="38100" y="666750"/>
          <a:ext cx="10668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70485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56292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70485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70675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92202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56007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56292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7067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70675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71913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7553325" y="381000"/>
          <a:ext cx="2009775" cy="552450"/>
        </a:xfrm>
        <a:prstGeom prst="rect">
          <a:avLst/>
        </a:prstGeom>
        <a:noFill/>
        <a:ln w="9525" cmpd="sng">
          <a:noFill/>
        </a:ln>
      </xdr:spPr>
    </xdr:pic>
    <xdr:clientData/>
  </xdr:twoCellAnchor>
  <xdr:twoCellAnchor editAs="oneCell">
    <xdr:from>
      <xdr:col>6</xdr:col>
      <xdr:colOff>266700</xdr:colOff>
      <xdr:row>0</xdr:row>
      <xdr:rowOff>381000</xdr:rowOff>
    </xdr:from>
    <xdr:to>
      <xdr:col>13</xdr:col>
      <xdr:colOff>209550</xdr:colOff>
      <xdr:row>2</xdr:row>
      <xdr:rowOff>180975</xdr:rowOff>
    </xdr:to>
    <xdr:pic>
      <xdr:nvPicPr>
        <xdr:cNvPr id="2" name="Picture 82" descr="Logo son"/>
        <xdr:cNvPicPr preferRelativeResize="1">
          <a:picLocks noChangeAspect="1"/>
        </xdr:cNvPicPr>
      </xdr:nvPicPr>
      <xdr:blipFill>
        <a:blip r:embed="rId1"/>
        <a:stretch>
          <a:fillRect/>
        </a:stretch>
      </xdr:blipFill>
      <xdr:spPr>
        <a:xfrm>
          <a:off x="7553325" y="3810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1"/>
  </sheetPr>
  <dimension ref="A1:AT297"/>
  <sheetViews>
    <sheetView tabSelected="1" zoomScale="70" zoomScaleNormal="70" zoomScalePageLayoutView="0" workbookViewId="0" topLeftCell="A1">
      <pane xSplit="18" ySplit="7" topLeftCell="S8"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3.00390625" style="296" customWidth="1"/>
    <col min="2" max="3" width="2.7109375" style="293" bestFit="1" customWidth="1"/>
    <col min="4" max="6" width="2.140625" style="293" bestFit="1" customWidth="1"/>
    <col min="7" max="7" width="1.8515625" style="293" bestFit="1" customWidth="1"/>
    <col min="8" max="8" width="2.140625" style="293" bestFit="1" customWidth="1"/>
    <col min="9" max="9" width="1.8515625" style="297" bestFit="1" customWidth="1"/>
    <col min="10" max="10" width="59.7109375" style="256" bestFit="1" customWidth="1"/>
    <col min="11" max="13" width="12.57421875" style="256" customWidth="1"/>
    <col min="14" max="14" width="7.28125" style="257" bestFit="1" customWidth="1"/>
    <col min="15" max="15" width="17.00390625" style="258" bestFit="1" customWidth="1"/>
    <col min="16" max="16" width="5.8515625" style="257" bestFit="1" customWidth="1"/>
    <col min="17" max="17" width="6.140625" style="259" bestFit="1" customWidth="1"/>
    <col min="18" max="18" width="8.00390625" style="260" bestFit="1" customWidth="1"/>
    <col min="19" max="19" width="8.8515625" style="259" hidden="1" customWidth="1"/>
    <col min="20" max="20" width="5.8515625" style="260" hidden="1" customWidth="1"/>
    <col min="21" max="21" width="8.8515625" style="259" hidden="1" customWidth="1"/>
    <col min="22" max="22" width="5.8515625" style="260" hidden="1" customWidth="1"/>
    <col min="23" max="23" width="8.8515625" style="261" hidden="1" customWidth="1"/>
    <col min="24" max="24" width="5.8515625" style="262" hidden="1" customWidth="1"/>
    <col min="25" max="25" width="10.140625" style="263" hidden="1" customWidth="1"/>
    <col min="26" max="26" width="5.8515625" style="264" hidden="1" customWidth="1"/>
    <col min="27" max="27" width="10.421875" style="265" hidden="1" customWidth="1"/>
    <col min="28" max="28" width="7.57421875" style="266" hidden="1" customWidth="1"/>
    <col min="29" max="29" width="10.140625" style="266" hidden="1" customWidth="1"/>
    <col min="30" max="30" width="7.00390625" style="267" hidden="1" customWidth="1"/>
    <col min="31" max="31" width="9.7109375" style="266" customWidth="1"/>
    <col min="32" max="32" width="9.7109375" style="277" customWidth="1"/>
    <col min="33" max="33" width="13.28125" style="268" bestFit="1" customWidth="1"/>
    <col min="34" max="34" width="8.7109375" style="269" bestFit="1" customWidth="1"/>
    <col min="35" max="35" width="5.8515625" style="270" bestFit="1" customWidth="1"/>
    <col min="36" max="36" width="6.00390625" style="270" bestFit="1" customWidth="1"/>
    <col min="37" max="37" width="7.28125" style="271" customWidth="1"/>
    <col min="38" max="38" width="7.28125" style="272" customWidth="1"/>
    <col min="39" max="39" width="10.140625" style="259" bestFit="1" customWidth="1"/>
    <col min="40" max="40" width="7.00390625" style="260" bestFit="1" customWidth="1"/>
    <col min="41" max="41" width="11.140625" style="259" bestFit="1" customWidth="1"/>
    <col min="42" max="42" width="8.00390625" style="256" bestFit="1" customWidth="1"/>
    <col min="43" max="43" width="9.140625" style="256" bestFit="1" customWidth="1"/>
    <col min="44" max="44" width="7.57421875" style="257" bestFit="1" customWidth="1"/>
    <col min="45" max="45" width="5.8515625" style="256" bestFit="1" customWidth="1"/>
    <col min="46" max="46" width="4.421875" style="256" bestFit="1" customWidth="1"/>
    <col min="47" max="16384" width="65.7109375" style="256" customWidth="1"/>
  </cols>
  <sheetData>
    <row r="1" spans="2:45" s="299" customFormat="1" ht="23.25" customHeight="1">
      <c r="B1" s="300"/>
      <c r="C1" s="300"/>
      <c r="D1" s="300"/>
      <c r="E1" s="300"/>
      <c r="F1" s="300"/>
      <c r="G1" s="300"/>
      <c r="H1" s="300"/>
      <c r="I1" s="300"/>
      <c r="J1" s="298" t="s">
        <v>926</v>
      </c>
      <c r="K1" s="561" t="s">
        <v>196</v>
      </c>
      <c r="L1" s="561"/>
      <c r="M1" s="561"/>
      <c r="N1" s="562"/>
      <c r="O1" s="562"/>
      <c r="P1" s="562"/>
      <c r="Q1" s="562"/>
      <c r="R1" s="562"/>
      <c r="S1" s="563" t="s">
        <v>195</v>
      </c>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row>
    <row r="2" spans="2:45" s="299" customFormat="1" ht="23.25">
      <c r="B2" s="301"/>
      <c r="C2" s="301"/>
      <c r="D2" s="301"/>
      <c r="E2" s="301"/>
      <c r="F2" s="301"/>
      <c r="G2" s="301"/>
      <c r="H2" s="301"/>
      <c r="I2" s="301"/>
      <c r="J2" s="303" t="s">
        <v>46</v>
      </c>
      <c r="K2" s="561" t="s">
        <v>925</v>
      </c>
      <c r="L2" s="561"/>
      <c r="M2" s="561"/>
      <c r="N2" s="301"/>
      <c r="O2" s="301"/>
      <c r="P2" s="301"/>
      <c r="Q2" s="301"/>
      <c r="R2" s="301"/>
      <c r="S2" s="304"/>
      <c r="V2" s="232"/>
      <c r="W2" s="310"/>
      <c r="X2" s="309"/>
      <c r="Y2" s="572"/>
      <c r="Z2" s="573"/>
      <c r="AA2" s="573"/>
      <c r="AB2" s="573"/>
      <c r="AC2" s="573"/>
      <c r="AD2" s="573"/>
      <c r="AE2" s="305"/>
      <c r="AF2" s="306"/>
      <c r="AG2" s="307"/>
      <c r="AH2" s="308"/>
      <c r="AI2" s="307"/>
      <c r="AJ2" s="307"/>
      <c r="AK2" s="302"/>
      <c r="AL2" s="307"/>
      <c r="AO2" s="571"/>
      <c r="AP2" s="571"/>
      <c r="AQ2" s="570"/>
      <c r="AR2" s="570"/>
      <c r="AS2" s="570"/>
    </row>
    <row r="3" spans="1:45" s="278" customFormat="1" ht="12">
      <c r="A3" s="290"/>
      <c r="B3" s="291"/>
      <c r="C3" s="291"/>
      <c r="D3" s="291"/>
      <c r="E3" s="291"/>
      <c r="F3" s="291"/>
      <c r="G3" s="291"/>
      <c r="H3" s="291"/>
      <c r="I3" s="291"/>
      <c r="J3" s="569" t="s">
        <v>197</v>
      </c>
      <c r="K3" s="569"/>
      <c r="L3" s="569"/>
      <c r="M3" s="569"/>
      <c r="N3" s="569"/>
      <c r="O3" s="569"/>
      <c r="P3" s="569"/>
      <c r="Q3" s="569" t="s">
        <v>198</v>
      </c>
      <c r="R3" s="569"/>
      <c r="S3" s="569" t="s">
        <v>199</v>
      </c>
      <c r="T3" s="569"/>
      <c r="U3" s="569"/>
      <c r="V3" s="569"/>
      <c r="W3" s="569"/>
      <c r="X3" s="569"/>
      <c r="Y3" s="569"/>
      <c r="Z3" s="569"/>
      <c r="AA3" s="569"/>
      <c r="AB3" s="569"/>
      <c r="AC3" s="569"/>
      <c r="AD3" s="569"/>
      <c r="AE3" s="569" t="s">
        <v>200</v>
      </c>
      <c r="AF3" s="569"/>
      <c r="AG3" s="569" t="s">
        <v>201</v>
      </c>
      <c r="AH3" s="569"/>
      <c r="AI3" s="569" t="s">
        <v>202</v>
      </c>
      <c r="AJ3" s="569"/>
      <c r="AK3" s="569" t="s">
        <v>203</v>
      </c>
      <c r="AL3" s="569"/>
      <c r="AM3" s="281"/>
      <c r="AN3" s="281"/>
      <c r="AO3" s="569" t="s">
        <v>204</v>
      </c>
      <c r="AP3" s="569"/>
      <c r="AQ3" s="569"/>
      <c r="AR3" s="569"/>
      <c r="AS3" s="569"/>
    </row>
    <row r="4" spans="1:45" s="279" customFormat="1" ht="24">
      <c r="A4" s="290"/>
      <c r="B4" s="291"/>
      <c r="C4" s="291"/>
      <c r="D4" s="291"/>
      <c r="E4" s="291"/>
      <c r="F4" s="291"/>
      <c r="G4" s="291"/>
      <c r="H4" s="291"/>
      <c r="I4" s="291"/>
      <c r="J4" s="282"/>
      <c r="K4" s="282"/>
      <c r="L4" s="282"/>
      <c r="M4" s="282"/>
      <c r="N4" s="283" t="s">
        <v>15</v>
      </c>
      <c r="O4" s="282"/>
      <c r="P4" s="282" t="s">
        <v>18</v>
      </c>
      <c r="Q4" s="282" t="s">
        <v>18</v>
      </c>
      <c r="R4" s="282" t="s">
        <v>20</v>
      </c>
      <c r="S4" s="569" t="s">
        <v>2</v>
      </c>
      <c r="T4" s="569"/>
      <c r="U4" s="569" t="s">
        <v>3</v>
      </c>
      <c r="V4" s="569"/>
      <c r="W4" s="569" t="s">
        <v>4</v>
      </c>
      <c r="X4" s="569"/>
      <c r="Y4" s="569" t="s">
        <v>11</v>
      </c>
      <c r="Z4" s="569"/>
      <c r="AA4" s="569" t="s">
        <v>30</v>
      </c>
      <c r="AB4" s="569"/>
      <c r="AC4" s="569" t="s">
        <v>0</v>
      </c>
      <c r="AD4" s="569"/>
      <c r="AE4" s="569"/>
      <c r="AF4" s="569"/>
      <c r="AG4" s="569"/>
      <c r="AH4" s="569"/>
      <c r="AI4" s="569" t="s">
        <v>41</v>
      </c>
      <c r="AJ4" s="569"/>
      <c r="AK4" s="569" t="s">
        <v>44</v>
      </c>
      <c r="AL4" s="569"/>
      <c r="AM4" s="569" t="s">
        <v>50</v>
      </c>
      <c r="AN4" s="569"/>
      <c r="AO4" s="569"/>
      <c r="AP4" s="569"/>
      <c r="AQ4" s="284" t="s">
        <v>30</v>
      </c>
      <c r="AR4" s="284" t="s">
        <v>254</v>
      </c>
      <c r="AS4" s="281" t="s">
        <v>254</v>
      </c>
    </row>
    <row r="5" spans="1:45" s="279" customFormat="1" ht="24">
      <c r="A5" s="290"/>
      <c r="B5" s="289"/>
      <c r="C5" s="289"/>
      <c r="D5" s="289"/>
      <c r="E5" s="289"/>
      <c r="F5" s="289"/>
      <c r="G5" s="289"/>
      <c r="H5" s="289"/>
      <c r="I5" s="289"/>
      <c r="J5" s="289"/>
      <c r="K5" s="289"/>
      <c r="L5" s="289"/>
      <c r="M5" s="289"/>
      <c r="N5" s="283" t="s">
        <v>16</v>
      </c>
      <c r="O5" s="289"/>
      <c r="P5" s="282" t="s">
        <v>17</v>
      </c>
      <c r="Q5" s="282" t="s">
        <v>19</v>
      </c>
      <c r="R5" s="282" t="s">
        <v>15</v>
      </c>
      <c r="S5" s="284" t="s">
        <v>7</v>
      </c>
      <c r="T5" s="286" t="s">
        <v>6</v>
      </c>
      <c r="U5" s="284" t="s">
        <v>7</v>
      </c>
      <c r="V5" s="286" t="s">
        <v>6</v>
      </c>
      <c r="W5" s="284" t="s">
        <v>7</v>
      </c>
      <c r="X5" s="286" t="s">
        <v>6</v>
      </c>
      <c r="Y5" s="284" t="s">
        <v>7</v>
      </c>
      <c r="Z5" s="286" t="s">
        <v>6</v>
      </c>
      <c r="AA5" s="286" t="s">
        <v>42</v>
      </c>
      <c r="AB5" s="284" t="s">
        <v>31</v>
      </c>
      <c r="AC5" s="284" t="s">
        <v>7</v>
      </c>
      <c r="AD5" s="287" t="s">
        <v>5</v>
      </c>
      <c r="AE5" s="289"/>
      <c r="AF5" s="289"/>
      <c r="AG5" s="289"/>
      <c r="AH5" s="289"/>
      <c r="AI5" s="287" t="s">
        <v>6</v>
      </c>
      <c r="AJ5" s="287" t="s">
        <v>6</v>
      </c>
      <c r="AK5" s="286" t="s">
        <v>6</v>
      </c>
      <c r="AL5" s="284" t="s">
        <v>31</v>
      </c>
      <c r="AM5" s="284" t="s">
        <v>7</v>
      </c>
      <c r="AN5" s="287" t="s">
        <v>5</v>
      </c>
      <c r="AO5" s="289"/>
      <c r="AP5" s="289"/>
      <c r="AQ5" s="284" t="s">
        <v>31</v>
      </c>
      <c r="AR5" s="284" t="s">
        <v>258</v>
      </c>
      <c r="AS5" s="281" t="s">
        <v>255</v>
      </c>
    </row>
    <row r="6" spans="1:45" s="280" customFormat="1" ht="12">
      <c r="A6" s="292"/>
      <c r="B6" s="565" t="s">
        <v>240</v>
      </c>
      <c r="C6" s="566"/>
      <c r="D6" s="566"/>
      <c r="E6" s="566"/>
      <c r="F6" s="566"/>
      <c r="G6" s="566"/>
      <c r="H6" s="566"/>
      <c r="I6" s="566"/>
      <c r="J6" s="285" t="s">
        <v>64</v>
      </c>
      <c r="K6" s="285" t="s">
        <v>76</v>
      </c>
      <c r="L6" s="285" t="s">
        <v>93</v>
      </c>
      <c r="M6" s="285" t="s">
        <v>62</v>
      </c>
      <c r="N6" s="283" t="s">
        <v>22</v>
      </c>
      <c r="O6" s="282" t="s">
        <v>1</v>
      </c>
      <c r="P6" s="282" t="s">
        <v>25</v>
      </c>
      <c r="Q6" s="282" t="s">
        <v>27</v>
      </c>
      <c r="R6" s="282" t="s">
        <v>28</v>
      </c>
      <c r="S6" s="569" t="s">
        <v>32</v>
      </c>
      <c r="T6" s="569"/>
      <c r="U6" s="569" t="s">
        <v>33</v>
      </c>
      <c r="V6" s="569"/>
      <c r="W6" s="569" t="s">
        <v>34</v>
      </c>
      <c r="X6" s="569"/>
      <c r="Y6" s="569" t="s">
        <v>43</v>
      </c>
      <c r="Z6" s="569"/>
      <c r="AA6" s="569" t="s">
        <v>36</v>
      </c>
      <c r="AB6" s="569"/>
      <c r="AC6" s="569" t="s">
        <v>333</v>
      </c>
      <c r="AD6" s="569"/>
      <c r="AE6" s="284" t="s">
        <v>7</v>
      </c>
      <c r="AF6" s="286" t="s">
        <v>6</v>
      </c>
      <c r="AG6" s="284" t="s">
        <v>7</v>
      </c>
      <c r="AH6" s="286" t="s">
        <v>6</v>
      </c>
      <c r="AI6" s="569" t="s">
        <v>40</v>
      </c>
      <c r="AJ6" s="569"/>
      <c r="AK6" s="569" t="s">
        <v>45</v>
      </c>
      <c r="AL6" s="569"/>
      <c r="AM6" s="569" t="s">
        <v>51</v>
      </c>
      <c r="AN6" s="569"/>
      <c r="AO6" s="284" t="s">
        <v>7</v>
      </c>
      <c r="AP6" s="286" t="s">
        <v>6</v>
      </c>
      <c r="AQ6" s="284" t="s">
        <v>36</v>
      </c>
      <c r="AR6" s="284" t="s">
        <v>259</v>
      </c>
      <c r="AS6" s="281" t="s">
        <v>256</v>
      </c>
    </row>
    <row r="7" spans="1:45" s="280" customFormat="1" ht="12">
      <c r="A7" s="292"/>
      <c r="B7" s="565" t="s">
        <v>239</v>
      </c>
      <c r="C7" s="566"/>
      <c r="D7" s="566"/>
      <c r="E7" s="566"/>
      <c r="F7" s="566"/>
      <c r="G7" s="566"/>
      <c r="H7" s="566"/>
      <c r="I7" s="566"/>
      <c r="J7" s="285" t="s">
        <v>61</v>
      </c>
      <c r="K7" s="285" t="s">
        <v>75</v>
      </c>
      <c r="L7" s="285" t="s">
        <v>78</v>
      </c>
      <c r="M7" s="285" t="s">
        <v>63</v>
      </c>
      <c r="N7" s="283" t="s">
        <v>23</v>
      </c>
      <c r="O7" s="282" t="s">
        <v>24</v>
      </c>
      <c r="P7" s="282" t="s">
        <v>26</v>
      </c>
      <c r="Q7" s="282" t="s">
        <v>26</v>
      </c>
      <c r="R7" s="282" t="s">
        <v>29</v>
      </c>
      <c r="S7" s="284" t="s">
        <v>38</v>
      </c>
      <c r="T7" s="286" t="s">
        <v>35</v>
      </c>
      <c r="U7" s="284" t="s">
        <v>38</v>
      </c>
      <c r="V7" s="286" t="s">
        <v>35</v>
      </c>
      <c r="W7" s="284" t="s">
        <v>38</v>
      </c>
      <c r="X7" s="286" t="s">
        <v>35</v>
      </c>
      <c r="Y7" s="284" t="s">
        <v>38</v>
      </c>
      <c r="Z7" s="286" t="s">
        <v>35</v>
      </c>
      <c r="AA7" s="286" t="s">
        <v>35</v>
      </c>
      <c r="AB7" s="284" t="s">
        <v>37</v>
      </c>
      <c r="AC7" s="284" t="s">
        <v>38</v>
      </c>
      <c r="AD7" s="287" t="s">
        <v>39</v>
      </c>
      <c r="AE7" s="284" t="s">
        <v>38</v>
      </c>
      <c r="AF7" s="286" t="s">
        <v>35</v>
      </c>
      <c r="AG7" s="284" t="s">
        <v>38</v>
      </c>
      <c r="AH7" s="286" t="s">
        <v>35</v>
      </c>
      <c r="AI7" s="287" t="s">
        <v>35</v>
      </c>
      <c r="AJ7" s="287" t="s">
        <v>35</v>
      </c>
      <c r="AK7" s="286" t="s">
        <v>35</v>
      </c>
      <c r="AL7" s="284" t="s">
        <v>37</v>
      </c>
      <c r="AM7" s="284" t="s">
        <v>38</v>
      </c>
      <c r="AN7" s="287" t="s">
        <v>39</v>
      </c>
      <c r="AO7" s="284" t="s">
        <v>38</v>
      </c>
      <c r="AP7" s="286" t="s">
        <v>37</v>
      </c>
      <c r="AQ7" s="284" t="s">
        <v>37</v>
      </c>
      <c r="AR7" s="284" t="s">
        <v>260</v>
      </c>
      <c r="AS7" s="282" t="s">
        <v>257</v>
      </c>
    </row>
    <row r="8" spans="1:46" s="233" customFormat="1" ht="11.25" customHeight="1">
      <c r="A8" s="295" t="s">
        <v>932</v>
      </c>
      <c r="B8" s="293"/>
      <c r="C8" s="236"/>
      <c r="D8" s="236" t="s">
        <v>193</v>
      </c>
      <c r="E8" s="236"/>
      <c r="F8" s="236">
        <v>2</v>
      </c>
      <c r="G8" s="236"/>
      <c r="H8" s="236"/>
      <c r="I8" s="236"/>
      <c r="J8" s="552" t="s">
        <v>825</v>
      </c>
      <c r="K8" s="312" t="s">
        <v>90</v>
      </c>
      <c r="L8" s="288" t="s">
        <v>91</v>
      </c>
      <c r="M8" s="339" t="s">
        <v>777</v>
      </c>
      <c r="N8" s="370">
        <v>41033</v>
      </c>
      <c r="O8" s="288" t="s">
        <v>12</v>
      </c>
      <c r="P8" s="312">
        <v>199</v>
      </c>
      <c r="Q8" s="312">
        <v>308</v>
      </c>
      <c r="R8" s="312">
        <v>2</v>
      </c>
      <c r="S8" s="347">
        <v>302600</v>
      </c>
      <c r="T8" s="348">
        <v>24225</v>
      </c>
      <c r="U8" s="347">
        <v>375552</v>
      </c>
      <c r="V8" s="348">
        <v>30936</v>
      </c>
      <c r="W8" s="347">
        <v>490093</v>
      </c>
      <c r="X8" s="348">
        <v>40410</v>
      </c>
      <c r="Y8" s="334">
        <f>SUM(S8+U8+W8)</f>
        <v>1168245</v>
      </c>
      <c r="Z8" s="338">
        <f>T8+V8+X8</f>
        <v>95571</v>
      </c>
      <c r="AA8" s="323">
        <f>IF(Y8&lt;&gt;0,Z8/Q8,"")</f>
        <v>310.29545454545456</v>
      </c>
      <c r="AB8" s="324">
        <f>IF(Y8&lt;&gt;0,Y8/Z8,"")</f>
        <v>12.223844053112346</v>
      </c>
      <c r="AC8" s="330">
        <v>2089272</v>
      </c>
      <c r="AD8" s="326">
        <f>IF(AC8&lt;&gt;0,-(AC8-Y8)/AC8,"")</f>
        <v>-0.44083632959231733</v>
      </c>
      <c r="AE8" s="327">
        <f>AG8-Y8</f>
        <v>649022</v>
      </c>
      <c r="AF8" s="323">
        <f>AH8-Z8</f>
        <v>60996</v>
      </c>
      <c r="AG8" s="378">
        <v>1817267</v>
      </c>
      <c r="AH8" s="379">
        <v>156567</v>
      </c>
      <c r="AI8" s="326">
        <f>Z8*1/AH8</f>
        <v>0.6104159880434574</v>
      </c>
      <c r="AJ8" s="326">
        <f>AF8*1/AH8</f>
        <v>0.3895840119565426</v>
      </c>
      <c r="AK8" s="323">
        <f>AH8/Q8</f>
        <v>508.3344155844156</v>
      </c>
      <c r="AL8" s="324">
        <f>AG8/AH8</f>
        <v>11.606960598338091</v>
      </c>
      <c r="AM8" s="334">
        <v>3271505</v>
      </c>
      <c r="AN8" s="326">
        <f>IF(AM8&lt;&gt;0,-(AM8-AG8)/AM8,"")</f>
        <v>-0.4445165145705111</v>
      </c>
      <c r="AO8" s="334">
        <v>5088415</v>
      </c>
      <c r="AP8" s="338">
        <v>435517</v>
      </c>
      <c r="AQ8" s="329">
        <f aca="true" t="shared" si="0" ref="AQ8:AQ71">AO8/AP8</f>
        <v>11.683619697968162</v>
      </c>
      <c r="AR8" s="297">
        <v>41040</v>
      </c>
      <c r="AS8" s="293">
        <v>1</v>
      </c>
      <c r="AT8" s="234"/>
    </row>
    <row r="9" spans="1:46" s="233" customFormat="1" ht="11.25" customHeight="1">
      <c r="A9" s="388" t="s">
        <v>409</v>
      </c>
      <c r="B9" s="389" t="s">
        <v>56</v>
      </c>
      <c r="C9" s="389"/>
      <c r="D9" s="389"/>
      <c r="E9" s="389"/>
      <c r="F9" s="389"/>
      <c r="G9" s="389"/>
      <c r="H9" s="389"/>
      <c r="I9" s="389"/>
      <c r="J9" s="553" t="s">
        <v>837</v>
      </c>
      <c r="K9" s="390"/>
      <c r="L9" s="391" t="s">
        <v>117</v>
      </c>
      <c r="M9" s="392" t="s">
        <v>838</v>
      </c>
      <c r="N9" s="393">
        <v>41040</v>
      </c>
      <c r="O9" s="391" t="s">
        <v>12</v>
      </c>
      <c r="P9" s="390">
        <v>95</v>
      </c>
      <c r="Q9" s="390">
        <v>108</v>
      </c>
      <c r="R9" s="390">
        <v>1</v>
      </c>
      <c r="S9" s="394">
        <v>60590</v>
      </c>
      <c r="T9" s="395">
        <v>5395</v>
      </c>
      <c r="U9" s="394">
        <v>72689</v>
      </c>
      <c r="V9" s="395">
        <v>6585</v>
      </c>
      <c r="W9" s="394">
        <v>155628</v>
      </c>
      <c r="X9" s="395">
        <v>11328</v>
      </c>
      <c r="Y9" s="396">
        <f>SUM(S9+U9+W9)</f>
        <v>288907</v>
      </c>
      <c r="Z9" s="397">
        <f>T9+V9+X9</f>
        <v>23308</v>
      </c>
      <c r="AA9" s="398">
        <f>IF(Y9&lt;&gt;0,Z9/Q9,"")</f>
        <v>215.8148148148148</v>
      </c>
      <c r="AB9" s="399">
        <f>IF(Y9&lt;&gt;0,Y9/Z9,"")</f>
        <v>12.395186202162348</v>
      </c>
      <c r="AC9" s="400"/>
      <c r="AD9" s="401">
        <f>IF(AC9&lt;&gt;0,-(AC9-Y9)/AC9,"")</f>
      </c>
      <c r="AE9" s="402">
        <f>AG9-Y9</f>
        <v>154885</v>
      </c>
      <c r="AF9" s="398">
        <f>AH9-Z9</f>
        <v>20572</v>
      </c>
      <c r="AG9" s="403">
        <v>443792</v>
      </c>
      <c r="AH9" s="404">
        <v>43880</v>
      </c>
      <c r="AI9" s="401">
        <f>Z9*1/AH9</f>
        <v>0.5311759343664539</v>
      </c>
      <c r="AJ9" s="401">
        <f>AF9*1/AH9</f>
        <v>0.46882406563354606</v>
      </c>
      <c r="AK9" s="398">
        <f>AH9/Q9</f>
        <v>406.2962962962963</v>
      </c>
      <c r="AL9" s="399">
        <f>AG9/AH9</f>
        <v>10.113764813126709</v>
      </c>
      <c r="AM9" s="396"/>
      <c r="AN9" s="401"/>
      <c r="AO9" s="396">
        <v>443792</v>
      </c>
      <c r="AP9" s="397">
        <v>43880</v>
      </c>
      <c r="AQ9" s="405">
        <f t="shared" si="0"/>
        <v>10.113764813126709</v>
      </c>
      <c r="AR9" s="406">
        <v>41040</v>
      </c>
      <c r="AS9" s="407" t="s">
        <v>306</v>
      </c>
      <c r="AT9" s="234"/>
    </row>
    <row r="10" spans="1:46" s="233" customFormat="1" ht="11.25" customHeight="1">
      <c r="A10" s="388" t="s">
        <v>410</v>
      </c>
      <c r="B10" s="389" t="s">
        <v>56</v>
      </c>
      <c r="C10" s="407"/>
      <c r="D10" s="389"/>
      <c r="E10" s="389"/>
      <c r="F10" s="389"/>
      <c r="G10" s="389"/>
      <c r="H10" s="389"/>
      <c r="I10" s="389"/>
      <c r="J10" s="554" t="s">
        <v>839</v>
      </c>
      <c r="K10" s="391"/>
      <c r="L10" s="391" t="s">
        <v>79</v>
      </c>
      <c r="M10" s="391" t="s">
        <v>840</v>
      </c>
      <c r="N10" s="393">
        <v>41010</v>
      </c>
      <c r="O10" s="391" t="s">
        <v>289</v>
      </c>
      <c r="P10" s="390">
        <v>45</v>
      </c>
      <c r="Q10" s="390">
        <v>45</v>
      </c>
      <c r="R10" s="390">
        <v>1</v>
      </c>
      <c r="S10" s="396">
        <v>26032</v>
      </c>
      <c r="T10" s="397">
        <v>2038</v>
      </c>
      <c r="U10" s="396">
        <v>34818</v>
      </c>
      <c r="V10" s="397">
        <v>2794</v>
      </c>
      <c r="W10" s="396">
        <v>60564.5</v>
      </c>
      <c r="X10" s="397">
        <v>4703</v>
      </c>
      <c r="Y10" s="396">
        <f>SUM(S10+U10+W10)</f>
        <v>121414.5</v>
      </c>
      <c r="Z10" s="397">
        <f>T10+V10+X10</f>
        <v>9535</v>
      </c>
      <c r="AA10" s="398">
        <f>IF(Y10&lt;&gt;0,Z10/Q10,"")</f>
        <v>211.88888888888889</v>
      </c>
      <c r="AB10" s="399">
        <f>IF(Y10&lt;&gt;0,Y10/Z10,"")</f>
        <v>12.733560566334557</v>
      </c>
      <c r="AC10" s="396"/>
      <c r="AD10" s="401">
        <f>IF(AC10&lt;&gt;0,-(AC10-Y10)/AC10,"")</f>
      </c>
      <c r="AE10" s="402">
        <f>AG10-Y10</f>
        <v>98093</v>
      </c>
      <c r="AF10" s="398">
        <f>AH10-Z10</f>
        <v>9475</v>
      </c>
      <c r="AG10" s="403">
        <v>219507.5</v>
      </c>
      <c r="AH10" s="404">
        <v>19010</v>
      </c>
      <c r="AI10" s="401">
        <f>Z10*1/AH10</f>
        <v>0.5015781167806418</v>
      </c>
      <c r="AJ10" s="401">
        <f>AF10*1/AH10</f>
        <v>0.4984218832193582</v>
      </c>
      <c r="AK10" s="398">
        <f>AH10/Q10</f>
        <v>422.44444444444446</v>
      </c>
      <c r="AL10" s="399">
        <f>AG10/AH10</f>
        <v>11.546948974224092</v>
      </c>
      <c r="AM10" s="396"/>
      <c r="AN10" s="401"/>
      <c r="AO10" s="396">
        <v>219507.5</v>
      </c>
      <c r="AP10" s="397">
        <v>19010</v>
      </c>
      <c r="AQ10" s="405">
        <f t="shared" si="0"/>
        <v>11.546948974224092</v>
      </c>
      <c r="AR10" s="406">
        <v>41040</v>
      </c>
      <c r="AS10" s="407" t="s">
        <v>306</v>
      </c>
      <c r="AT10" s="234"/>
    </row>
    <row r="11" spans="1:46" s="233" customFormat="1" ht="11.25" customHeight="1">
      <c r="A11" s="295" t="s">
        <v>411</v>
      </c>
      <c r="B11" s="293"/>
      <c r="C11" s="236"/>
      <c r="D11" s="293"/>
      <c r="E11" s="236"/>
      <c r="F11" s="293"/>
      <c r="G11" s="236"/>
      <c r="H11" s="236"/>
      <c r="I11" s="236"/>
      <c r="J11" s="552" t="s">
        <v>729</v>
      </c>
      <c r="K11" s="312" t="s">
        <v>83</v>
      </c>
      <c r="L11" s="288" t="s">
        <v>91</v>
      </c>
      <c r="M11" s="339" t="s">
        <v>729</v>
      </c>
      <c r="N11" s="370">
        <v>41019</v>
      </c>
      <c r="O11" s="288" t="s">
        <v>12</v>
      </c>
      <c r="P11" s="312">
        <v>173</v>
      </c>
      <c r="Q11" s="312">
        <v>171</v>
      </c>
      <c r="R11" s="312">
        <v>4</v>
      </c>
      <c r="S11" s="347">
        <v>26851</v>
      </c>
      <c r="T11" s="348">
        <v>2752</v>
      </c>
      <c r="U11" s="347">
        <v>37734</v>
      </c>
      <c r="V11" s="348">
        <v>3843</v>
      </c>
      <c r="W11" s="347">
        <v>52435</v>
      </c>
      <c r="X11" s="348">
        <v>5295</v>
      </c>
      <c r="Y11" s="334">
        <f>SUM(S11+U11+W11)</f>
        <v>117020</v>
      </c>
      <c r="Z11" s="338">
        <f>T11+V11+X11</f>
        <v>11890</v>
      </c>
      <c r="AA11" s="323">
        <f>IF(Y11&lt;&gt;0,Z11/Q11,"")</f>
        <v>69.53216374269006</v>
      </c>
      <c r="AB11" s="324">
        <f>IF(Y11&lt;&gt;0,Y11/Z11,"")</f>
        <v>9.84188393608074</v>
      </c>
      <c r="AC11" s="330">
        <v>166296</v>
      </c>
      <c r="AD11" s="326">
        <f>IF(AC11&lt;&gt;0,-(AC11-Y11)/AC11,"")</f>
        <v>-0.296315004570164</v>
      </c>
      <c r="AE11" s="327">
        <f>AG11-Y11</f>
        <v>79264</v>
      </c>
      <c r="AF11" s="323">
        <f>AH11-Z11</f>
        <v>9961</v>
      </c>
      <c r="AG11" s="378">
        <v>196284</v>
      </c>
      <c r="AH11" s="379">
        <v>21851</v>
      </c>
      <c r="AI11" s="326">
        <f>Z11*1/AH11</f>
        <v>0.5441398562994829</v>
      </c>
      <c r="AJ11" s="326">
        <f>AF11*1/AH11</f>
        <v>0.45586014370051714</v>
      </c>
      <c r="AK11" s="323">
        <f>AH11/Q11</f>
        <v>127.78362573099415</v>
      </c>
      <c r="AL11" s="324">
        <f>AG11/AH11</f>
        <v>8.982838314035972</v>
      </c>
      <c r="AM11" s="334">
        <v>267280</v>
      </c>
      <c r="AN11" s="326">
        <f>IF(AM11&lt;&gt;0,-(AM11-AG11)/AM11,"")</f>
        <v>-0.265624064651302</v>
      </c>
      <c r="AO11" s="334">
        <v>2278546</v>
      </c>
      <c r="AP11" s="338">
        <v>238514</v>
      </c>
      <c r="AQ11" s="329">
        <f t="shared" si="0"/>
        <v>9.553091223156711</v>
      </c>
      <c r="AR11" s="297">
        <v>41040</v>
      </c>
      <c r="AS11" s="293" t="s">
        <v>409</v>
      </c>
      <c r="AT11" s="234"/>
    </row>
    <row r="12" spans="1:46" s="233" customFormat="1" ht="11.25" customHeight="1">
      <c r="A12" s="295" t="s">
        <v>412</v>
      </c>
      <c r="B12" s="293"/>
      <c r="C12" s="236"/>
      <c r="D12" s="236"/>
      <c r="E12" s="293"/>
      <c r="F12" s="236"/>
      <c r="G12" s="293"/>
      <c r="H12" s="236"/>
      <c r="I12" s="293"/>
      <c r="J12" s="555" t="s">
        <v>761</v>
      </c>
      <c r="K12" s="340"/>
      <c r="L12" s="312" t="s">
        <v>762</v>
      </c>
      <c r="M12" s="340" t="s">
        <v>763</v>
      </c>
      <c r="N12" s="370">
        <v>41026</v>
      </c>
      <c r="O12" s="288" t="s">
        <v>8</v>
      </c>
      <c r="P12" s="340">
        <v>68</v>
      </c>
      <c r="Q12" s="340">
        <v>68</v>
      </c>
      <c r="R12" s="340">
        <v>3</v>
      </c>
      <c r="S12" s="342">
        <v>21649</v>
      </c>
      <c r="T12" s="343">
        <v>2040</v>
      </c>
      <c r="U12" s="342">
        <v>26889</v>
      </c>
      <c r="V12" s="343">
        <v>2601</v>
      </c>
      <c r="W12" s="342">
        <v>42552</v>
      </c>
      <c r="X12" s="343">
        <v>3966</v>
      </c>
      <c r="Y12" s="334">
        <f>SUM(S12+U12+W12)</f>
        <v>91090</v>
      </c>
      <c r="Z12" s="338">
        <f>T12+V12+X12</f>
        <v>8607</v>
      </c>
      <c r="AA12" s="323">
        <f>IF(Y12&lt;&gt;0,Z12/Q12,"")</f>
        <v>126.57352941176471</v>
      </c>
      <c r="AB12" s="324">
        <f>IF(Y12&lt;&gt;0,Y12/Z12,"")</f>
        <v>10.583246194957592</v>
      </c>
      <c r="AC12" s="334">
        <v>137825</v>
      </c>
      <c r="AD12" s="326">
        <f>IF(AC12&lt;&gt;0,-(AC12-Y12)/AC12,"")</f>
        <v>-0.33908942499546524</v>
      </c>
      <c r="AE12" s="327">
        <f>AG12-Y12</f>
        <v>69455</v>
      </c>
      <c r="AF12" s="323">
        <f>AH12-Z12</f>
        <v>7776</v>
      </c>
      <c r="AG12" s="380">
        <v>160545</v>
      </c>
      <c r="AH12" s="381">
        <v>16383</v>
      </c>
      <c r="AI12" s="326">
        <f>Z12*1/AH12</f>
        <v>0.5253616553744735</v>
      </c>
      <c r="AJ12" s="326">
        <f>AF12*1/AH12</f>
        <v>0.47463834462552645</v>
      </c>
      <c r="AK12" s="323">
        <f>AH12/Q12</f>
        <v>240.9264705882353</v>
      </c>
      <c r="AL12" s="324">
        <f>AG12/AH12</f>
        <v>9.79948727339315</v>
      </c>
      <c r="AM12" s="334">
        <v>238898</v>
      </c>
      <c r="AN12" s="326">
        <f>IF(AM12&lt;&gt;0,-(AM12-AG12)/AM12,"")</f>
        <v>-0.32797679344322683</v>
      </c>
      <c r="AO12" s="342">
        <v>781172</v>
      </c>
      <c r="AP12" s="343">
        <v>75918</v>
      </c>
      <c r="AQ12" s="329">
        <f t="shared" si="0"/>
        <v>10.289680971574594</v>
      </c>
      <c r="AR12" s="297">
        <v>41040</v>
      </c>
      <c r="AS12" s="293" t="s">
        <v>410</v>
      </c>
      <c r="AT12" s="234"/>
    </row>
    <row r="13" spans="1:46" s="233" customFormat="1" ht="11.25" customHeight="1">
      <c r="A13" s="388" t="s">
        <v>413</v>
      </c>
      <c r="B13" s="389" t="s">
        <v>56</v>
      </c>
      <c r="C13" s="389"/>
      <c r="D13" s="389"/>
      <c r="E13" s="407"/>
      <c r="F13" s="389"/>
      <c r="G13" s="407"/>
      <c r="H13" s="389"/>
      <c r="I13" s="407"/>
      <c r="J13" s="556" t="s">
        <v>844</v>
      </c>
      <c r="K13" s="408" t="s">
        <v>847</v>
      </c>
      <c r="L13" s="390" t="s">
        <v>846</v>
      </c>
      <c r="M13" s="408" t="s">
        <v>845</v>
      </c>
      <c r="N13" s="393">
        <v>41010</v>
      </c>
      <c r="O13" s="391" t="s">
        <v>8</v>
      </c>
      <c r="P13" s="409">
        <v>31</v>
      </c>
      <c r="Q13" s="408">
        <v>31</v>
      </c>
      <c r="R13" s="408">
        <v>1</v>
      </c>
      <c r="S13" s="410">
        <v>14882</v>
      </c>
      <c r="T13" s="411">
        <v>1118</v>
      </c>
      <c r="U13" s="410">
        <v>19203</v>
      </c>
      <c r="V13" s="411">
        <v>1441</v>
      </c>
      <c r="W13" s="410">
        <v>27786</v>
      </c>
      <c r="X13" s="411">
        <v>2042</v>
      </c>
      <c r="Y13" s="396">
        <f>SUM(S13+U13+W13)</f>
        <v>61871</v>
      </c>
      <c r="Z13" s="397">
        <f>T13+V13+X13</f>
        <v>4601</v>
      </c>
      <c r="AA13" s="398">
        <f>IF(Y13&lt;&gt;0,Z13/Q13,"")</f>
        <v>148.41935483870967</v>
      </c>
      <c r="AB13" s="399">
        <f>IF(Y13&lt;&gt;0,Y13/Z13,"")</f>
        <v>13.44729406650728</v>
      </c>
      <c r="AC13" s="396"/>
      <c r="AD13" s="401"/>
      <c r="AE13" s="402">
        <f>AG13-Y13</f>
        <v>39760</v>
      </c>
      <c r="AF13" s="398">
        <f>AH13-Z13</f>
        <v>3656</v>
      </c>
      <c r="AG13" s="412">
        <v>101631</v>
      </c>
      <c r="AH13" s="413">
        <v>8257</v>
      </c>
      <c r="AI13" s="401">
        <f>Z13*1/AH13</f>
        <v>0.5572241734286061</v>
      </c>
      <c r="AJ13" s="401">
        <f>AF13*1/AH13</f>
        <v>0.44277582657139397</v>
      </c>
      <c r="AK13" s="398">
        <f>AH13/Q13</f>
        <v>266.35483870967744</v>
      </c>
      <c r="AL13" s="399">
        <f>AG13/AH13</f>
        <v>12.30846554438658</v>
      </c>
      <c r="AM13" s="396"/>
      <c r="AN13" s="401"/>
      <c r="AO13" s="410">
        <v>101631</v>
      </c>
      <c r="AP13" s="411">
        <v>8257</v>
      </c>
      <c r="AQ13" s="405">
        <f t="shared" si="0"/>
        <v>12.30846554438658</v>
      </c>
      <c r="AR13" s="406">
        <v>41040</v>
      </c>
      <c r="AS13" s="407" t="s">
        <v>306</v>
      </c>
      <c r="AT13" s="234"/>
    </row>
    <row r="14" spans="1:46" s="233" customFormat="1" ht="11.25" customHeight="1">
      <c r="A14" s="295" t="s">
        <v>414</v>
      </c>
      <c r="B14" s="236"/>
      <c r="C14" s="236"/>
      <c r="D14" s="236"/>
      <c r="E14" s="236"/>
      <c r="F14" s="236"/>
      <c r="G14" s="236"/>
      <c r="H14" s="236"/>
      <c r="I14" s="293"/>
      <c r="J14" s="557" t="s">
        <v>651</v>
      </c>
      <c r="K14" s="319"/>
      <c r="L14" s="312"/>
      <c r="M14" s="340" t="s">
        <v>649</v>
      </c>
      <c r="N14" s="370">
        <v>40991</v>
      </c>
      <c r="O14" s="288" t="s">
        <v>68</v>
      </c>
      <c r="P14" s="312">
        <v>143</v>
      </c>
      <c r="Q14" s="312">
        <v>106</v>
      </c>
      <c r="R14" s="312">
        <v>8</v>
      </c>
      <c r="S14" s="325">
        <v>12788</v>
      </c>
      <c r="T14" s="355">
        <v>1588</v>
      </c>
      <c r="U14" s="325">
        <v>18029</v>
      </c>
      <c r="V14" s="355">
        <v>2288</v>
      </c>
      <c r="W14" s="325">
        <v>21645</v>
      </c>
      <c r="X14" s="355">
        <v>2576</v>
      </c>
      <c r="Y14" s="334">
        <f>SUM(S14+U14+W14)</f>
        <v>52462</v>
      </c>
      <c r="Z14" s="338">
        <f>T14+V14+X14</f>
        <v>6452</v>
      </c>
      <c r="AA14" s="323">
        <f>IF(Y14&lt;&gt;0,Z14/Q14,"")</f>
        <v>60.867924528301884</v>
      </c>
      <c r="AB14" s="324">
        <f>IF(Y14&lt;&gt;0,Y14/Z14,"")</f>
        <v>8.13112213267204</v>
      </c>
      <c r="AC14" s="330">
        <v>110435.5</v>
      </c>
      <c r="AD14" s="326">
        <f>IF(AC14&lt;&gt;0,-(AC14-Y14)/AC14,"")</f>
        <v>-0.524953479632908</v>
      </c>
      <c r="AE14" s="327">
        <f>AG14-Y14</f>
        <v>39706.61</v>
      </c>
      <c r="AF14" s="323">
        <f>AH14-Z14</f>
        <v>5660</v>
      </c>
      <c r="AG14" s="382">
        <v>92168.61</v>
      </c>
      <c r="AH14" s="383">
        <v>12112</v>
      </c>
      <c r="AI14" s="326">
        <f>Z14*1/AH14</f>
        <v>0.5326948480845443</v>
      </c>
      <c r="AJ14" s="326">
        <f>AF14*1/AH14</f>
        <v>0.46730515191545574</v>
      </c>
      <c r="AK14" s="323">
        <f>AH14/Q14</f>
        <v>114.26415094339623</v>
      </c>
      <c r="AL14" s="324">
        <f>AG14/AH14</f>
        <v>7.6096936922060765</v>
      </c>
      <c r="AM14" s="334">
        <v>187128.8</v>
      </c>
      <c r="AN14" s="326">
        <f>IF(AM14&lt;&gt;0,-(AM14-AG14)/AM14,"")</f>
        <v>-0.5074589801249193</v>
      </c>
      <c r="AO14" s="328">
        <f>1928270.97+1396092.19+841604.35+607065.33+536433.78+359147.91+187128.8+92168.61</f>
        <v>5947911.94</v>
      </c>
      <c r="AP14" s="344">
        <f>199840+143974+88208+63709+56513+41181+22800+12112</f>
        <v>628337</v>
      </c>
      <c r="AQ14" s="329">
        <f t="shared" si="0"/>
        <v>9.46611760886276</v>
      </c>
      <c r="AR14" s="297">
        <v>41040</v>
      </c>
      <c r="AS14" s="293" t="s">
        <v>411</v>
      </c>
      <c r="AT14" s="234"/>
    </row>
    <row r="15" spans="1:46" s="233" customFormat="1" ht="11.25" customHeight="1">
      <c r="A15" s="295" t="s">
        <v>415</v>
      </c>
      <c r="B15" s="236"/>
      <c r="C15" s="236"/>
      <c r="D15" s="236"/>
      <c r="E15" s="236"/>
      <c r="F15" s="236"/>
      <c r="G15" s="236"/>
      <c r="H15" s="236" t="s">
        <v>55</v>
      </c>
      <c r="I15" s="293"/>
      <c r="J15" s="557" t="s">
        <v>783</v>
      </c>
      <c r="K15" s="319" t="s">
        <v>781</v>
      </c>
      <c r="L15" s="312"/>
      <c r="M15" s="340" t="s">
        <v>779</v>
      </c>
      <c r="N15" s="370">
        <v>41033</v>
      </c>
      <c r="O15" s="288" t="s">
        <v>68</v>
      </c>
      <c r="P15" s="312">
        <v>53</v>
      </c>
      <c r="Q15" s="312">
        <v>78</v>
      </c>
      <c r="R15" s="312">
        <v>2</v>
      </c>
      <c r="S15" s="325">
        <v>8250.5</v>
      </c>
      <c r="T15" s="355">
        <v>899</v>
      </c>
      <c r="U15" s="325">
        <v>28581.5</v>
      </c>
      <c r="V15" s="355">
        <v>2665</v>
      </c>
      <c r="W15" s="325">
        <v>26763</v>
      </c>
      <c r="X15" s="355">
        <v>2521</v>
      </c>
      <c r="Y15" s="334">
        <f>SUM(S15+U15+W15)</f>
        <v>63595</v>
      </c>
      <c r="Z15" s="338">
        <f>T15+V15+X15</f>
        <v>6085</v>
      </c>
      <c r="AA15" s="323">
        <f>IF(Y15&lt;&gt;0,Z15/Q15,"")</f>
        <v>78.01282051282051</v>
      </c>
      <c r="AB15" s="324">
        <f>IF(Y15&lt;&gt;0,Y15/Z15,"")</f>
        <v>10.451109285127362</v>
      </c>
      <c r="AC15" s="330">
        <v>74498.4</v>
      </c>
      <c r="AD15" s="326">
        <f>IF(AC15&lt;&gt;0,-(AC15-Y15)/AC15,"")</f>
        <v>-0.1463575056645511</v>
      </c>
      <c r="AE15" s="327">
        <f>AG15-Y15</f>
        <v>24517.289999999994</v>
      </c>
      <c r="AF15" s="323">
        <f>AH15-Z15</f>
        <v>3076</v>
      </c>
      <c r="AG15" s="382">
        <v>88112.29</v>
      </c>
      <c r="AH15" s="383">
        <v>9161</v>
      </c>
      <c r="AI15" s="326">
        <f>Z15*1/AH15</f>
        <v>0.6642287959829712</v>
      </c>
      <c r="AJ15" s="326">
        <f>AF15*1/AH15</f>
        <v>0.3357712040170287</v>
      </c>
      <c r="AK15" s="323">
        <f>AH15/Q15</f>
        <v>117.44871794871794</v>
      </c>
      <c r="AL15" s="324">
        <f>AG15/AH15</f>
        <v>9.61819561183277</v>
      </c>
      <c r="AM15" s="334">
        <v>99561.36</v>
      </c>
      <c r="AN15" s="326">
        <f>IF(AM15&lt;&gt;0,-(AM15-AG15)/AM15,"")</f>
        <v>-0.11499511457055234</v>
      </c>
      <c r="AO15" s="328">
        <f>99591.36+88112.29</f>
        <v>187703.65</v>
      </c>
      <c r="AP15" s="344">
        <f>10045+9161</f>
        <v>19206</v>
      </c>
      <c r="AQ15" s="329">
        <f t="shared" si="0"/>
        <v>9.773177652816829</v>
      </c>
      <c r="AR15" s="297">
        <v>41040</v>
      </c>
      <c r="AS15" s="293" t="s">
        <v>415</v>
      </c>
      <c r="AT15" s="234"/>
    </row>
    <row r="16" spans="1:46" s="233" customFormat="1" ht="11.25" customHeight="1">
      <c r="A16" s="295" t="s">
        <v>416</v>
      </c>
      <c r="B16" s="236"/>
      <c r="C16" s="236"/>
      <c r="D16" s="236"/>
      <c r="E16" s="236"/>
      <c r="F16" s="236"/>
      <c r="G16" s="236"/>
      <c r="H16" s="236" t="s">
        <v>55</v>
      </c>
      <c r="I16" s="236"/>
      <c r="J16" s="557" t="s">
        <v>772</v>
      </c>
      <c r="K16" s="312"/>
      <c r="L16" s="319"/>
      <c r="M16" s="288" t="s">
        <v>773</v>
      </c>
      <c r="N16" s="370">
        <v>41033</v>
      </c>
      <c r="O16" s="288" t="s">
        <v>774</v>
      </c>
      <c r="P16" s="341">
        <v>60</v>
      </c>
      <c r="Q16" s="341">
        <v>60</v>
      </c>
      <c r="R16" s="341">
        <v>2</v>
      </c>
      <c r="S16" s="334">
        <v>7226</v>
      </c>
      <c r="T16" s="338">
        <v>762</v>
      </c>
      <c r="U16" s="334">
        <v>25558</v>
      </c>
      <c r="V16" s="338">
        <v>2267</v>
      </c>
      <c r="W16" s="334">
        <v>24135</v>
      </c>
      <c r="X16" s="338">
        <v>2162</v>
      </c>
      <c r="Y16" s="334">
        <f>SUM(S16+U16+W16)</f>
        <v>56919</v>
      </c>
      <c r="Z16" s="338">
        <f>T16+V16+X16</f>
        <v>5191</v>
      </c>
      <c r="AA16" s="323">
        <f>IF(Y16&lt;&gt;0,Z16/Q16,"")</f>
        <v>86.51666666666667</v>
      </c>
      <c r="AB16" s="324">
        <f>IF(Y16&lt;&gt;0,Y16/Z16,"")</f>
        <v>10.964939318050472</v>
      </c>
      <c r="AC16" s="330">
        <v>79609</v>
      </c>
      <c r="AD16" s="326">
        <f>IF(AC16&lt;&gt;0,-(AC16-Y16)/AC16,"")</f>
        <v>-0.2850180256001206</v>
      </c>
      <c r="AE16" s="327">
        <f>AG16-Y16</f>
        <v>22360</v>
      </c>
      <c r="AF16" s="323">
        <f>AH16-Z16</f>
        <v>2876</v>
      </c>
      <c r="AG16" s="384">
        <v>79279</v>
      </c>
      <c r="AH16" s="385">
        <v>8067</v>
      </c>
      <c r="AI16" s="326">
        <f>Z16*1/AH16</f>
        <v>0.6434858063716375</v>
      </c>
      <c r="AJ16" s="326">
        <f>AF16*1/AH16</f>
        <v>0.35651419362836245</v>
      </c>
      <c r="AK16" s="323">
        <f>AH16/Q16</f>
        <v>134.45</v>
      </c>
      <c r="AL16" s="324">
        <f>AG16/AH16</f>
        <v>9.827569108714515</v>
      </c>
      <c r="AM16" s="334">
        <v>108467</v>
      </c>
      <c r="AN16" s="326">
        <f>IF(AM16&lt;&gt;0,-(AM16-AG16)/AM16,"")</f>
        <v>-0.26909566965067716</v>
      </c>
      <c r="AO16" s="332">
        <v>187746</v>
      </c>
      <c r="AP16" s="333">
        <v>18687</v>
      </c>
      <c r="AQ16" s="329">
        <f t="shared" si="0"/>
        <v>10.046877508428318</v>
      </c>
      <c r="AR16" s="297">
        <v>41040</v>
      </c>
      <c r="AS16" s="293" t="s">
        <v>414</v>
      </c>
      <c r="AT16" s="234"/>
    </row>
    <row r="17" spans="1:46" s="233" customFormat="1" ht="11.25" customHeight="1">
      <c r="A17" s="388" t="s">
        <v>417</v>
      </c>
      <c r="B17" s="389" t="s">
        <v>56</v>
      </c>
      <c r="C17" s="389"/>
      <c r="D17" s="389"/>
      <c r="E17" s="389"/>
      <c r="F17" s="389"/>
      <c r="G17" s="389"/>
      <c r="H17" s="389"/>
      <c r="I17" s="389" t="s">
        <v>54</v>
      </c>
      <c r="J17" s="554" t="s">
        <v>842</v>
      </c>
      <c r="K17" s="390" t="s">
        <v>843</v>
      </c>
      <c r="L17" s="414"/>
      <c r="M17" s="391" t="s">
        <v>842</v>
      </c>
      <c r="N17" s="393">
        <v>41010</v>
      </c>
      <c r="O17" s="391" t="s">
        <v>52</v>
      </c>
      <c r="P17" s="390">
        <v>70</v>
      </c>
      <c r="Q17" s="390">
        <v>70</v>
      </c>
      <c r="R17" s="390">
        <v>1</v>
      </c>
      <c r="S17" s="396">
        <v>6973.36</v>
      </c>
      <c r="T17" s="397">
        <v>781</v>
      </c>
      <c r="U17" s="396">
        <v>16354.5</v>
      </c>
      <c r="V17" s="397">
        <v>1758</v>
      </c>
      <c r="W17" s="396">
        <v>22513.5</v>
      </c>
      <c r="X17" s="397">
        <v>2456</v>
      </c>
      <c r="Y17" s="396">
        <f>SUM(S17+U17+W17)</f>
        <v>45841.36</v>
      </c>
      <c r="Z17" s="397">
        <f>T17+V17+X17</f>
        <v>4995</v>
      </c>
      <c r="AA17" s="398">
        <f>IF(Y17&lt;&gt;0,Z17/Q17,"")</f>
        <v>71.35714285714286</v>
      </c>
      <c r="AB17" s="399">
        <f>IF(Y17&lt;&gt;0,Y17/Z17,"")</f>
        <v>9.17744944944945</v>
      </c>
      <c r="AC17" s="396"/>
      <c r="AD17" s="401">
        <f>IF(AC17&lt;&gt;0,-(AC17-Y17)/AC17,"")</f>
      </c>
      <c r="AE17" s="402">
        <f>AG17-Y17</f>
        <v>25781.679999999993</v>
      </c>
      <c r="AF17" s="398">
        <f>AH17-Z17</f>
        <v>3399</v>
      </c>
      <c r="AG17" s="403">
        <v>71623.04</v>
      </c>
      <c r="AH17" s="404">
        <v>8394</v>
      </c>
      <c r="AI17" s="401">
        <f>Z17*1/AH17</f>
        <v>0.5950679056468906</v>
      </c>
      <c r="AJ17" s="401">
        <f>AF17*1/AH17</f>
        <v>0.40493209435310934</v>
      </c>
      <c r="AK17" s="398">
        <f>AH17/Q17</f>
        <v>119.91428571428571</v>
      </c>
      <c r="AL17" s="399">
        <f>AG17/AH17</f>
        <v>8.532647128901596</v>
      </c>
      <c r="AM17" s="396"/>
      <c r="AN17" s="401"/>
      <c r="AO17" s="396">
        <v>71623.04</v>
      </c>
      <c r="AP17" s="397">
        <v>8394</v>
      </c>
      <c r="AQ17" s="405">
        <f t="shared" si="0"/>
        <v>8.532647128901596</v>
      </c>
      <c r="AR17" s="406">
        <v>41040</v>
      </c>
      <c r="AS17" s="407" t="s">
        <v>306</v>
      </c>
      <c r="AT17" s="234"/>
    </row>
    <row r="18" spans="1:46" s="233" customFormat="1" ht="11.25" customHeight="1">
      <c r="A18" s="295" t="s">
        <v>418</v>
      </c>
      <c r="B18" s="293"/>
      <c r="C18" s="236"/>
      <c r="D18" s="236"/>
      <c r="E18" s="236"/>
      <c r="F18" s="236"/>
      <c r="G18" s="236"/>
      <c r="H18" s="236"/>
      <c r="I18" s="236"/>
      <c r="J18" s="558" t="s">
        <v>714</v>
      </c>
      <c r="K18" s="312"/>
      <c r="L18" s="319" t="s">
        <v>92</v>
      </c>
      <c r="M18" s="341" t="s">
        <v>715</v>
      </c>
      <c r="N18" s="370">
        <v>41012</v>
      </c>
      <c r="O18" s="288" t="s">
        <v>10</v>
      </c>
      <c r="P18" s="331">
        <v>59</v>
      </c>
      <c r="Q18" s="331">
        <v>56</v>
      </c>
      <c r="R18" s="331">
        <v>5</v>
      </c>
      <c r="S18" s="342">
        <v>6519</v>
      </c>
      <c r="T18" s="343">
        <v>856</v>
      </c>
      <c r="U18" s="342">
        <v>11509</v>
      </c>
      <c r="V18" s="343">
        <v>1495</v>
      </c>
      <c r="W18" s="342">
        <v>14298</v>
      </c>
      <c r="X18" s="343">
        <v>1837</v>
      </c>
      <c r="Y18" s="334">
        <f>SUM(S18+U18+W18)</f>
        <v>32326</v>
      </c>
      <c r="Z18" s="338">
        <f>T18+V18+X18</f>
        <v>4188</v>
      </c>
      <c r="AA18" s="323">
        <f>IF(Y18&lt;&gt;0,Z18/Q18,"")</f>
        <v>74.78571428571429</v>
      </c>
      <c r="AB18" s="324">
        <f>IF(Y18&lt;&gt;0,Y18/Z18,"")</f>
        <v>7.718720152817574</v>
      </c>
      <c r="AC18" s="334">
        <v>43885</v>
      </c>
      <c r="AD18" s="326">
        <f>IF(AC18&lt;&gt;0,-(AC18-Y18)/AC18,"")</f>
        <v>-0.26339295886977326</v>
      </c>
      <c r="AE18" s="327">
        <f>AG18-Y18</f>
        <v>28663</v>
      </c>
      <c r="AF18" s="323">
        <f>AH18-Z18</f>
        <v>4090</v>
      </c>
      <c r="AG18" s="380">
        <v>60989</v>
      </c>
      <c r="AH18" s="381">
        <v>8278</v>
      </c>
      <c r="AI18" s="326">
        <f>Z18*1/AH18</f>
        <v>0.5059193041797536</v>
      </c>
      <c r="AJ18" s="326">
        <f>AF18*1/AH18</f>
        <v>0.49408069582024644</v>
      </c>
      <c r="AK18" s="323">
        <f>AH18/Q18</f>
        <v>147.82142857142858</v>
      </c>
      <c r="AL18" s="324">
        <f>AG18/AH18</f>
        <v>7.367600869775308</v>
      </c>
      <c r="AM18" s="334">
        <v>91435</v>
      </c>
      <c r="AN18" s="326">
        <f>IF(AM18&lt;&gt;0,-(AM18-AG18)/AM18,"")</f>
        <v>-0.3329797123639744</v>
      </c>
      <c r="AO18" s="342">
        <v>852612</v>
      </c>
      <c r="AP18" s="343">
        <v>84657</v>
      </c>
      <c r="AQ18" s="329">
        <f t="shared" si="0"/>
        <v>10.071370353308055</v>
      </c>
      <c r="AR18" s="297">
        <v>41040</v>
      </c>
      <c r="AS18" s="293" t="s">
        <v>416</v>
      </c>
      <c r="AT18" s="234"/>
    </row>
    <row r="19" spans="1:46" s="233" customFormat="1" ht="11.25" customHeight="1">
      <c r="A19" s="295" t="s">
        <v>419</v>
      </c>
      <c r="B19" s="293"/>
      <c r="C19" s="236"/>
      <c r="D19" s="236"/>
      <c r="E19" s="236"/>
      <c r="F19" s="236"/>
      <c r="G19" s="236"/>
      <c r="H19" s="236"/>
      <c r="I19" s="236"/>
      <c r="J19" s="552" t="s">
        <v>752</v>
      </c>
      <c r="K19" s="288"/>
      <c r="L19" s="288" t="s">
        <v>117</v>
      </c>
      <c r="M19" s="339" t="s">
        <v>753</v>
      </c>
      <c r="N19" s="369">
        <v>41026</v>
      </c>
      <c r="O19" s="288" t="s">
        <v>12</v>
      </c>
      <c r="P19" s="312">
        <v>49</v>
      </c>
      <c r="Q19" s="312">
        <v>49</v>
      </c>
      <c r="R19" s="312">
        <v>3</v>
      </c>
      <c r="S19" s="347">
        <v>7059</v>
      </c>
      <c r="T19" s="348">
        <v>709</v>
      </c>
      <c r="U19" s="347">
        <v>10328</v>
      </c>
      <c r="V19" s="348">
        <v>1054</v>
      </c>
      <c r="W19" s="347">
        <v>15004</v>
      </c>
      <c r="X19" s="348">
        <v>1561</v>
      </c>
      <c r="Y19" s="334">
        <f>SUM(S19+U19+W19)</f>
        <v>32391</v>
      </c>
      <c r="Z19" s="338">
        <f>T19+V19+X19</f>
        <v>3324</v>
      </c>
      <c r="AA19" s="323">
        <f>IF(Y19&lt;&gt;0,Z19/Q19,"")</f>
        <v>67.83673469387755</v>
      </c>
      <c r="AB19" s="324">
        <f>IF(Y19&lt;&gt;0,Y19/Z19,"")</f>
        <v>9.744584837545126</v>
      </c>
      <c r="AC19" s="330">
        <v>70166</v>
      </c>
      <c r="AD19" s="326">
        <f>IF(AC19&lt;&gt;0,-(AC19-Y19)/AC19,"")</f>
        <v>-0.5383661602485534</v>
      </c>
      <c r="AE19" s="327">
        <f>AG19-Y19</f>
        <v>25231</v>
      </c>
      <c r="AF19" s="323">
        <f>AH19-Z19</f>
        <v>3216</v>
      </c>
      <c r="AG19" s="378">
        <v>57622</v>
      </c>
      <c r="AH19" s="379">
        <v>6540</v>
      </c>
      <c r="AI19" s="326">
        <f>Z19*1/AH19</f>
        <v>0.5082568807339449</v>
      </c>
      <c r="AJ19" s="326">
        <f>AF19*1/AH19</f>
        <v>0.4917431192660551</v>
      </c>
      <c r="AK19" s="323">
        <f>AH19/Q19</f>
        <v>133.46938775510205</v>
      </c>
      <c r="AL19" s="324">
        <f>AG19/AH19</f>
        <v>8.810703363914373</v>
      </c>
      <c r="AM19" s="328">
        <v>117563</v>
      </c>
      <c r="AN19" s="326">
        <f>IF(AM19&lt;&gt;0,-(AM19-AG19)/AM19,"")</f>
        <v>-0.509862796968434</v>
      </c>
      <c r="AO19" s="334">
        <v>381731</v>
      </c>
      <c r="AP19" s="338">
        <v>35769</v>
      </c>
      <c r="AQ19" s="329">
        <f t="shared" si="0"/>
        <v>10.672118314741816</v>
      </c>
      <c r="AR19" s="297">
        <v>41040</v>
      </c>
      <c r="AS19" s="293" t="s">
        <v>413</v>
      </c>
      <c r="AT19" s="234"/>
    </row>
    <row r="20" spans="1:46" s="233" customFormat="1" ht="11.25" customHeight="1">
      <c r="A20" s="295" t="s">
        <v>420</v>
      </c>
      <c r="B20" s="236"/>
      <c r="C20" s="236"/>
      <c r="D20" s="236"/>
      <c r="E20" s="236"/>
      <c r="F20" s="236"/>
      <c r="G20" s="236"/>
      <c r="H20" s="236"/>
      <c r="I20" s="236"/>
      <c r="J20" s="552" t="s">
        <v>687</v>
      </c>
      <c r="K20" s="288"/>
      <c r="L20" s="288"/>
      <c r="M20" s="339" t="s">
        <v>688</v>
      </c>
      <c r="N20" s="369">
        <v>41005</v>
      </c>
      <c r="O20" s="288" t="s">
        <v>12</v>
      </c>
      <c r="P20" s="312">
        <v>138</v>
      </c>
      <c r="Q20" s="312">
        <v>78</v>
      </c>
      <c r="R20" s="312">
        <v>6</v>
      </c>
      <c r="S20" s="347">
        <v>7925</v>
      </c>
      <c r="T20" s="348">
        <v>890</v>
      </c>
      <c r="U20" s="347">
        <v>10733</v>
      </c>
      <c r="V20" s="348">
        <v>1184</v>
      </c>
      <c r="W20" s="347">
        <v>14360</v>
      </c>
      <c r="X20" s="348">
        <v>1644</v>
      </c>
      <c r="Y20" s="334">
        <f>SUM(S20+U20+W20)</f>
        <v>33018</v>
      </c>
      <c r="Z20" s="338">
        <f>T20+V20+X20</f>
        <v>3718</v>
      </c>
      <c r="AA20" s="323">
        <f>IF(Y20&lt;&gt;0,Z20/Q20,"")</f>
        <v>47.666666666666664</v>
      </c>
      <c r="AB20" s="324">
        <f>IF(Y20&lt;&gt;0,Y20/Z20,"")</f>
        <v>8.880580957504035</v>
      </c>
      <c r="AC20" s="330">
        <v>86676</v>
      </c>
      <c r="AD20" s="326">
        <f>IF(AC20&lt;&gt;0,-(AC20-Y20)/AC20,"")</f>
        <v>-0.6190641007891458</v>
      </c>
      <c r="AE20" s="327">
        <f>AG20-Y20</f>
        <v>23459</v>
      </c>
      <c r="AF20" s="323">
        <f>AH20-Z20</f>
        <v>3043</v>
      </c>
      <c r="AG20" s="378">
        <v>56477</v>
      </c>
      <c r="AH20" s="379">
        <v>6761</v>
      </c>
      <c r="AI20" s="326">
        <f>Z20*1/AH20</f>
        <v>0.5499186510871172</v>
      </c>
      <c r="AJ20" s="326">
        <f>AF20*1/AH20</f>
        <v>0.4500813489128827</v>
      </c>
      <c r="AK20" s="323">
        <f>AH20/Q20</f>
        <v>86.67948717948718</v>
      </c>
      <c r="AL20" s="324">
        <f>AG20/AH20</f>
        <v>8.353350096139625</v>
      </c>
      <c r="AM20" s="328">
        <v>150150</v>
      </c>
      <c r="AN20" s="326">
        <f>IF(AM20&lt;&gt;0,-(AM20-AG20)/AM20,"")</f>
        <v>-0.6238628038628039</v>
      </c>
      <c r="AO20" s="334">
        <v>2527238</v>
      </c>
      <c r="AP20" s="338">
        <v>262484</v>
      </c>
      <c r="AQ20" s="329">
        <f t="shared" si="0"/>
        <v>9.628160192621264</v>
      </c>
      <c r="AR20" s="297">
        <v>41040</v>
      </c>
      <c r="AS20" s="293" t="s">
        <v>412</v>
      </c>
      <c r="AT20" s="234"/>
    </row>
    <row r="21" spans="1:46" s="233" customFormat="1" ht="11.25" customHeight="1">
      <c r="A21" s="388" t="s">
        <v>421</v>
      </c>
      <c r="B21" s="389" t="s">
        <v>56</v>
      </c>
      <c r="C21" s="389"/>
      <c r="D21" s="389"/>
      <c r="E21" s="389"/>
      <c r="F21" s="389"/>
      <c r="G21" s="389"/>
      <c r="H21" s="389"/>
      <c r="I21" s="389" t="s">
        <v>54</v>
      </c>
      <c r="J21" s="554" t="s">
        <v>833</v>
      </c>
      <c r="K21" s="414" t="s">
        <v>834</v>
      </c>
      <c r="L21" s="390"/>
      <c r="M21" s="408" t="s">
        <v>833</v>
      </c>
      <c r="N21" s="393">
        <v>41040</v>
      </c>
      <c r="O21" s="391" t="s">
        <v>68</v>
      </c>
      <c r="P21" s="390">
        <v>37</v>
      </c>
      <c r="Q21" s="390">
        <v>40</v>
      </c>
      <c r="R21" s="390">
        <v>1</v>
      </c>
      <c r="S21" s="415">
        <v>5576.79</v>
      </c>
      <c r="T21" s="416">
        <v>537</v>
      </c>
      <c r="U21" s="415">
        <v>8759.5</v>
      </c>
      <c r="V21" s="416">
        <v>837</v>
      </c>
      <c r="W21" s="415">
        <v>11567.5</v>
      </c>
      <c r="X21" s="416">
        <v>1144</v>
      </c>
      <c r="Y21" s="396">
        <f>SUM(S21+U21+W21)</f>
        <v>25903.79</v>
      </c>
      <c r="Z21" s="397">
        <f>T21+V21+X21</f>
        <v>2518</v>
      </c>
      <c r="AA21" s="398">
        <f>IF(Y21&lt;&gt;0,Z21/Q21,"")</f>
        <v>62.95</v>
      </c>
      <c r="AB21" s="399">
        <f>IF(Y21&lt;&gt;0,Y21/Z21,"")</f>
        <v>10.287446386020651</v>
      </c>
      <c r="AC21" s="400"/>
      <c r="AD21" s="401">
        <f>IF(AC21&lt;&gt;0,-(AC21-Y21)/AC21,"")</f>
      </c>
      <c r="AE21" s="402">
        <f>AG21-Y21</f>
        <v>19702.03</v>
      </c>
      <c r="AF21" s="398">
        <f>AH21-Z21</f>
        <v>2416</v>
      </c>
      <c r="AG21" s="417">
        <v>45605.82</v>
      </c>
      <c r="AH21" s="418">
        <v>4934</v>
      </c>
      <c r="AI21" s="401">
        <f>Z21*1/AH21</f>
        <v>0.5103364410214836</v>
      </c>
      <c r="AJ21" s="401">
        <f>AF21*1/AH21</f>
        <v>0.48966355897851643</v>
      </c>
      <c r="AK21" s="398">
        <f>AH21/Q21</f>
        <v>123.35</v>
      </c>
      <c r="AL21" s="399">
        <f>AG21/AH21</f>
        <v>9.243173895419538</v>
      </c>
      <c r="AM21" s="396"/>
      <c r="AN21" s="401"/>
      <c r="AO21" s="419">
        <f>45605.82</f>
        <v>45605.82</v>
      </c>
      <c r="AP21" s="420">
        <f>4934</f>
        <v>4934</v>
      </c>
      <c r="AQ21" s="405">
        <f t="shared" si="0"/>
        <v>9.243173895419538</v>
      </c>
      <c r="AR21" s="406">
        <v>41040</v>
      </c>
      <c r="AS21" s="407" t="s">
        <v>306</v>
      </c>
      <c r="AT21" s="234"/>
    </row>
    <row r="22" spans="1:46" s="233" customFormat="1" ht="11.25" customHeight="1">
      <c r="A22" s="295" t="s">
        <v>422</v>
      </c>
      <c r="B22" s="293"/>
      <c r="C22" s="236"/>
      <c r="D22" s="236"/>
      <c r="E22" s="236"/>
      <c r="F22" s="236"/>
      <c r="G22" s="236"/>
      <c r="H22" s="236"/>
      <c r="I22" s="236" t="s">
        <v>54</v>
      </c>
      <c r="J22" s="557" t="s">
        <v>775</v>
      </c>
      <c r="K22" s="319" t="s">
        <v>776</v>
      </c>
      <c r="L22" s="312"/>
      <c r="M22" s="340" t="s">
        <v>775</v>
      </c>
      <c r="N22" s="370">
        <v>40998</v>
      </c>
      <c r="O22" s="288" t="s">
        <v>8</v>
      </c>
      <c r="P22" s="340">
        <v>51</v>
      </c>
      <c r="Q22" s="340">
        <v>51</v>
      </c>
      <c r="R22" s="340">
        <v>2</v>
      </c>
      <c r="S22" s="342">
        <v>3934</v>
      </c>
      <c r="T22" s="343">
        <v>459</v>
      </c>
      <c r="U22" s="342">
        <v>6909</v>
      </c>
      <c r="V22" s="343">
        <v>773</v>
      </c>
      <c r="W22" s="342">
        <v>10891</v>
      </c>
      <c r="X22" s="343">
        <v>1170</v>
      </c>
      <c r="Y22" s="334">
        <f>SUM(S22+U22+W22)</f>
        <v>21734</v>
      </c>
      <c r="Z22" s="338">
        <f>T22+V22+X22</f>
        <v>2402</v>
      </c>
      <c r="AA22" s="323">
        <f>IF(Y22&lt;&gt;0,Z22/Q22,"")</f>
        <v>47.09803921568628</v>
      </c>
      <c r="AB22" s="324">
        <f>IF(Y22&lt;&gt;0,Y22/Z22,"")</f>
        <v>9.048293089092423</v>
      </c>
      <c r="AC22" s="330">
        <v>35754</v>
      </c>
      <c r="AD22" s="326">
        <f>IF(AC22&lt;&gt;0,-(AC22-Y22)/AC22,"")</f>
        <v>-0.39212395815852774</v>
      </c>
      <c r="AE22" s="327">
        <f>AG22-Y22</f>
        <v>15846</v>
      </c>
      <c r="AF22" s="323">
        <f>AH22-Z22</f>
        <v>2034</v>
      </c>
      <c r="AG22" s="380">
        <v>37580</v>
      </c>
      <c r="AH22" s="381">
        <v>4436</v>
      </c>
      <c r="AI22" s="326">
        <f>Z22*1/AH22</f>
        <v>0.5414788097385032</v>
      </c>
      <c r="AJ22" s="326">
        <f>AF22*1/AH22</f>
        <v>0.45852119026149685</v>
      </c>
      <c r="AK22" s="323">
        <f>AH22/Q22</f>
        <v>86.98039215686275</v>
      </c>
      <c r="AL22" s="324">
        <f>AG22/AH22</f>
        <v>8.471596032461678</v>
      </c>
      <c r="AM22" s="334">
        <v>64358</v>
      </c>
      <c r="AN22" s="326">
        <f>IF(AM22&lt;&gt;0,-(AM22-AG22)/AM22,"")</f>
        <v>-0.4160788091612542</v>
      </c>
      <c r="AO22" s="342">
        <v>101938</v>
      </c>
      <c r="AP22" s="343">
        <v>11383</v>
      </c>
      <c r="AQ22" s="329">
        <f t="shared" si="0"/>
        <v>8.955284195730476</v>
      </c>
      <c r="AR22" s="297">
        <v>41040</v>
      </c>
      <c r="AS22" s="293" t="s">
        <v>418</v>
      </c>
      <c r="AT22" s="234"/>
    </row>
    <row r="23" spans="1:46" s="233" customFormat="1" ht="11.25" customHeight="1">
      <c r="A23" s="295" t="s">
        <v>423</v>
      </c>
      <c r="B23" s="293"/>
      <c r="C23" s="236"/>
      <c r="D23" s="236"/>
      <c r="E23" s="293"/>
      <c r="F23" s="236"/>
      <c r="G23" s="293"/>
      <c r="H23" s="236"/>
      <c r="I23" s="293"/>
      <c r="J23" s="555" t="s">
        <v>758</v>
      </c>
      <c r="K23" s="340"/>
      <c r="L23" s="312" t="s">
        <v>759</v>
      </c>
      <c r="M23" s="340" t="s">
        <v>760</v>
      </c>
      <c r="N23" s="370">
        <v>41026</v>
      </c>
      <c r="O23" s="288" t="s">
        <v>8</v>
      </c>
      <c r="P23" s="340">
        <v>30</v>
      </c>
      <c r="Q23" s="340">
        <v>30</v>
      </c>
      <c r="R23" s="340">
        <v>3</v>
      </c>
      <c r="S23" s="342">
        <v>4536</v>
      </c>
      <c r="T23" s="343">
        <v>395</v>
      </c>
      <c r="U23" s="342">
        <v>6519</v>
      </c>
      <c r="V23" s="343">
        <v>607</v>
      </c>
      <c r="W23" s="342">
        <v>9606</v>
      </c>
      <c r="X23" s="343">
        <v>868</v>
      </c>
      <c r="Y23" s="334">
        <f>SUM(S23+U23+W23)</f>
        <v>20661</v>
      </c>
      <c r="Z23" s="338">
        <f>T23+V23+X23</f>
        <v>1870</v>
      </c>
      <c r="AA23" s="323">
        <f>IF(Y23&lt;&gt;0,Z23/Q23,"")</f>
        <v>62.333333333333336</v>
      </c>
      <c r="AB23" s="324">
        <f>IF(Y23&lt;&gt;0,Y23/Z23,"")</f>
        <v>11.048663101604278</v>
      </c>
      <c r="AC23" s="334">
        <v>46497</v>
      </c>
      <c r="AD23" s="326">
        <f>IF(AC23&lt;&gt;0,-(AC23-Y23)/AC23,"")</f>
        <v>-0.5556487515323569</v>
      </c>
      <c r="AE23" s="327">
        <f>AG23-Y23</f>
        <v>13303</v>
      </c>
      <c r="AF23" s="323">
        <f>AH23-Z23</f>
        <v>1457</v>
      </c>
      <c r="AG23" s="380">
        <v>33964</v>
      </c>
      <c r="AH23" s="381">
        <v>3327</v>
      </c>
      <c r="AI23" s="326">
        <f>Z23*1/AH23</f>
        <v>0.562067929065224</v>
      </c>
      <c r="AJ23" s="326">
        <f>AF23*1/AH23</f>
        <v>0.4379320709347761</v>
      </c>
      <c r="AK23" s="323">
        <f>AH23/Q23</f>
        <v>110.9</v>
      </c>
      <c r="AL23" s="324">
        <f>AG23/AH23</f>
        <v>10.208596333032762</v>
      </c>
      <c r="AM23" s="334">
        <v>73882</v>
      </c>
      <c r="AN23" s="326">
        <f>IF(AM23&lt;&gt;0,-(AM23-AG23)/AM23,"")</f>
        <v>-0.5402939822960938</v>
      </c>
      <c r="AO23" s="342">
        <v>230591</v>
      </c>
      <c r="AP23" s="343">
        <v>18712</v>
      </c>
      <c r="AQ23" s="329">
        <f t="shared" si="0"/>
        <v>12.323161607524582</v>
      </c>
      <c r="AR23" s="297">
        <v>41040</v>
      </c>
      <c r="AS23" s="293" t="s">
        <v>417</v>
      </c>
      <c r="AT23" s="234"/>
    </row>
    <row r="24" spans="1:46" s="233" customFormat="1" ht="11.25" customHeight="1">
      <c r="A24" s="295" t="s">
        <v>424</v>
      </c>
      <c r="B24" s="293"/>
      <c r="C24" s="236"/>
      <c r="D24" s="236"/>
      <c r="E24" s="236"/>
      <c r="F24" s="236"/>
      <c r="G24" s="236"/>
      <c r="H24" s="236"/>
      <c r="I24" s="293"/>
      <c r="J24" s="558" t="s">
        <v>712</v>
      </c>
      <c r="K24" s="312"/>
      <c r="L24" s="341"/>
      <c r="M24" s="341" t="s">
        <v>713</v>
      </c>
      <c r="N24" s="370">
        <v>41012</v>
      </c>
      <c r="O24" s="288" t="s">
        <v>68</v>
      </c>
      <c r="P24" s="312">
        <v>50</v>
      </c>
      <c r="Q24" s="312">
        <v>47</v>
      </c>
      <c r="R24" s="312">
        <v>5</v>
      </c>
      <c r="S24" s="325">
        <v>2977</v>
      </c>
      <c r="T24" s="355">
        <v>385</v>
      </c>
      <c r="U24" s="325">
        <v>5949.5</v>
      </c>
      <c r="V24" s="355">
        <v>779</v>
      </c>
      <c r="W24" s="325">
        <v>8720.5</v>
      </c>
      <c r="X24" s="355">
        <v>1109</v>
      </c>
      <c r="Y24" s="334">
        <f>SUM(S24+U24+W24)</f>
        <v>17647</v>
      </c>
      <c r="Z24" s="338">
        <f>T24+V24+X24</f>
        <v>2273</v>
      </c>
      <c r="AA24" s="323">
        <f>IF(Y24&lt;&gt;0,Z24/Q24,"")</f>
        <v>48.361702127659576</v>
      </c>
      <c r="AB24" s="324">
        <f>IF(Y24&lt;&gt;0,Y24/Z24,"")</f>
        <v>7.763748350197976</v>
      </c>
      <c r="AC24" s="334">
        <v>23730.41</v>
      </c>
      <c r="AD24" s="326">
        <f>IF(AC24&lt;&gt;0,-(AC24-Y24)/AC24,"")</f>
        <v>-0.2563550313711394</v>
      </c>
      <c r="AE24" s="327">
        <f>AG24-Y24</f>
        <v>14554.919999999998</v>
      </c>
      <c r="AF24" s="323">
        <f>AH24-Z24</f>
        <v>2092</v>
      </c>
      <c r="AG24" s="382">
        <v>32201.92</v>
      </c>
      <c r="AH24" s="383">
        <v>4365</v>
      </c>
      <c r="AI24" s="326">
        <f>Z24*1/AH24</f>
        <v>0.5207331042382589</v>
      </c>
      <c r="AJ24" s="326">
        <f>AF24*1/AH24</f>
        <v>0.47926689576174114</v>
      </c>
      <c r="AK24" s="323">
        <f>AH24/Q24</f>
        <v>92.87234042553192</v>
      </c>
      <c r="AL24" s="324">
        <f>AG24/AH24</f>
        <v>7.377301260022909</v>
      </c>
      <c r="AM24" s="334">
        <v>41274.05</v>
      </c>
      <c r="AN24" s="326">
        <f>IF(AM24&lt;&gt;0,-(AM24-AG24)/AM24,"")</f>
        <v>-0.21980227285667397</v>
      </c>
      <c r="AO24" s="328">
        <f>290055.96+209230.96+105319.59+41274.05+32201.92</f>
        <v>678082.4800000001</v>
      </c>
      <c r="AP24" s="344">
        <f>26507+19325+10580+5239+4365</f>
        <v>66016</v>
      </c>
      <c r="AQ24" s="329">
        <f t="shared" si="0"/>
        <v>10.271486912263695</v>
      </c>
      <c r="AR24" s="297">
        <v>41040</v>
      </c>
      <c r="AS24" s="293" t="s">
        <v>423</v>
      </c>
      <c r="AT24" s="235"/>
    </row>
    <row r="25" spans="1:46" s="233" customFormat="1" ht="11.25" customHeight="1">
      <c r="A25" s="295" t="s">
        <v>425</v>
      </c>
      <c r="B25" s="293"/>
      <c r="C25" s="236"/>
      <c r="D25" s="236"/>
      <c r="E25" s="236"/>
      <c r="F25" s="236"/>
      <c r="G25" s="236"/>
      <c r="H25" s="236"/>
      <c r="I25" s="293"/>
      <c r="J25" s="557" t="s">
        <v>735</v>
      </c>
      <c r="K25" s="319" t="s">
        <v>121</v>
      </c>
      <c r="L25" s="312" t="s">
        <v>120</v>
      </c>
      <c r="M25" s="340" t="s">
        <v>736</v>
      </c>
      <c r="N25" s="370">
        <v>41019</v>
      </c>
      <c r="O25" s="288" t="s">
        <v>68</v>
      </c>
      <c r="P25" s="312">
        <v>40</v>
      </c>
      <c r="Q25" s="312">
        <v>37</v>
      </c>
      <c r="R25" s="312">
        <v>4</v>
      </c>
      <c r="S25" s="325">
        <v>2711</v>
      </c>
      <c r="T25" s="355">
        <v>314</v>
      </c>
      <c r="U25" s="325">
        <v>6279</v>
      </c>
      <c r="V25" s="355">
        <v>771</v>
      </c>
      <c r="W25" s="325">
        <v>7594</v>
      </c>
      <c r="X25" s="355">
        <v>945</v>
      </c>
      <c r="Y25" s="334">
        <f>SUM(S25+U25+W25)</f>
        <v>16584</v>
      </c>
      <c r="Z25" s="338">
        <f>T25+V25+X25</f>
        <v>2030</v>
      </c>
      <c r="AA25" s="323">
        <f>IF(Y25&lt;&gt;0,Z25/Q25,"")</f>
        <v>54.86486486486486</v>
      </c>
      <c r="AB25" s="324">
        <f>IF(Y25&lt;&gt;0,Y25/Z25,"")</f>
        <v>8.169458128078817</v>
      </c>
      <c r="AC25" s="330">
        <v>18695.9</v>
      </c>
      <c r="AD25" s="326">
        <f>IF(AC25&lt;&gt;0,-(AC25-Y25)/AC25,"")</f>
        <v>-0.11296059563861602</v>
      </c>
      <c r="AE25" s="327">
        <f>AG25-Y25</f>
        <v>11125.849999999999</v>
      </c>
      <c r="AF25" s="323">
        <f>AH25-Z25</f>
        <v>1559</v>
      </c>
      <c r="AG25" s="382">
        <v>27709.85</v>
      </c>
      <c r="AH25" s="383">
        <v>3589</v>
      </c>
      <c r="AI25" s="326">
        <f>Z25*1/AH25</f>
        <v>0.5656171635553079</v>
      </c>
      <c r="AJ25" s="326">
        <f>AF25*1/AH25</f>
        <v>0.4343828364446921</v>
      </c>
      <c r="AK25" s="323">
        <f>AH25/Q25</f>
        <v>97</v>
      </c>
      <c r="AL25" s="324">
        <f>AG25/AH25</f>
        <v>7.720771802730566</v>
      </c>
      <c r="AM25" s="334">
        <v>34097.25</v>
      </c>
      <c r="AN25" s="326">
        <f>IF(AM25&lt;&gt;0,-(AM25-AG25)/AM25,"")</f>
        <v>-0.18732889015976367</v>
      </c>
      <c r="AO25" s="328">
        <f>131090.96+61750.96+34097.25+27709.85</f>
        <v>254649.02</v>
      </c>
      <c r="AP25" s="344">
        <f>13066+6930+4479+3589</f>
        <v>28064</v>
      </c>
      <c r="AQ25" s="329">
        <f t="shared" si="0"/>
        <v>9.07386758836944</v>
      </c>
      <c r="AR25" s="297">
        <v>41040</v>
      </c>
      <c r="AS25" s="293" t="s">
        <v>429</v>
      </c>
      <c r="AT25" s="235"/>
    </row>
    <row r="26" spans="1:46" s="233" customFormat="1" ht="11.25" customHeight="1">
      <c r="A26" s="295" t="s">
        <v>426</v>
      </c>
      <c r="B26" s="293"/>
      <c r="C26" s="236"/>
      <c r="D26" s="236"/>
      <c r="E26" s="236"/>
      <c r="F26" s="236"/>
      <c r="G26" s="236"/>
      <c r="H26" s="236"/>
      <c r="I26" s="236" t="s">
        <v>54</v>
      </c>
      <c r="J26" s="557" t="s">
        <v>778</v>
      </c>
      <c r="K26" s="319" t="s">
        <v>780</v>
      </c>
      <c r="L26" s="312" t="s">
        <v>780</v>
      </c>
      <c r="M26" s="340" t="s">
        <v>778</v>
      </c>
      <c r="N26" s="370">
        <v>41033</v>
      </c>
      <c r="O26" s="288" t="s">
        <v>68</v>
      </c>
      <c r="P26" s="312">
        <v>32</v>
      </c>
      <c r="Q26" s="312">
        <v>32</v>
      </c>
      <c r="R26" s="312">
        <v>2</v>
      </c>
      <c r="S26" s="325">
        <v>3461</v>
      </c>
      <c r="T26" s="355">
        <v>353</v>
      </c>
      <c r="U26" s="325">
        <v>3984</v>
      </c>
      <c r="V26" s="355">
        <v>394</v>
      </c>
      <c r="W26" s="325">
        <v>6967.5</v>
      </c>
      <c r="X26" s="355">
        <v>699</v>
      </c>
      <c r="Y26" s="334">
        <f>SUM(S26+U26+W26)</f>
        <v>14412.5</v>
      </c>
      <c r="Z26" s="338">
        <f>T26+V26+X26</f>
        <v>1446</v>
      </c>
      <c r="AA26" s="323">
        <f>IF(Y26&lt;&gt;0,Z26/Q26,"")</f>
        <v>45.1875</v>
      </c>
      <c r="AB26" s="324">
        <f>IF(Y26&lt;&gt;0,Y26/Z26,"")</f>
        <v>9.967150760719225</v>
      </c>
      <c r="AC26" s="330">
        <v>26322.5</v>
      </c>
      <c r="AD26" s="326">
        <f>IF(AC26&lt;&gt;0,-(AC26-Y26)/AC26,"")</f>
        <v>-0.452464621521512</v>
      </c>
      <c r="AE26" s="327">
        <f>AG26-Y26</f>
        <v>12658.5</v>
      </c>
      <c r="AF26" s="323">
        <f>AH26-Z26</f>
        <v>1459</v>
      </c>
      <c r="AG26" s="382">
        <v>27071</v>
      </c>
      <c r="AH26" s="383">
        <v>2905</v>
      </c>
      <c r="AI26" s="326">
        <f>Z26*1/AH26</f>
        <v>0.49776247848537003</v>
      </c>
      <c r="AJ26" s="326">
        <f>AF26*1/AH26</f>
        <v>0.50223752151463</v>
      </c>
      <c r="AK26" s="323">
        <f>AH26/Q26</f>
        <v>90.78125</v>
      </c>
      <c r="AL26" s="324">
        <f>AG26/AH26</f>
        <v>9.318760757314974</v>
      </c>
      <c r="AM26" s="334">
        <v>47895.5</v>
      </c>
      <c r="AN26" s="326">
        <f>IF(AM26&lt;&gt;0,-(AM26-AG26)/AM26,"")</f>
        <v>-0.4347903247695504</v>
      </c>
      <c r="AO26" s="328">
        <f>47895.5+27071</f>
        <v>74966.5</v>
      </c>
      <c r="AP26" s="344">
        <f>4434+2905</f>
        <v>7339</v>
      </c>
      <c r="AQ26" s="329">
        <f t="shared" si="0"/>
        <v>10.214811282191034</v>
      </c>
      <c r="AR26" s="297">
        <v>41040</v>
      </c>
      <c r="AS26" s="293" t="s">
        <v>422</v>
      </c>
      <c r="AT26" s="235"/>
    </row>
    <row r="27" spans="1:46" s="233" customFormat="1" ht="11.25" customHeight="1">
      <c r="A27" s="388" t="s">
        <v>427</v>
      </c>
      <c r="B27" s="389" t="s">
        <v>56</v>
      </c>
      <c r="C27" s="389"/>
      <c r="D27" s="389"/>
      <c r="E27" s="389">
        <v>3</v>
      </c>
      <c r="F27" s="389"/>
      <c r="G27" s="389"/>
      <c r="H27" s="389"/>
      <c r="I27" s="389" t="s">
        <v>54</v>
      </c>
      <c r="J27" s="559" t="s">
        <v>836</v>
      </c>
      <c r="K27" s="391" t="s">
        <v>835</v>
      </c>
      <c r="L27" s="391"/>
      <c r="M27" s="391" t="s">
        <v>836</v>
      </c>
      <c r="N27" s="421">
        <v>41010</v>
      </c>
      <c r="O27" s="391" t="s">
        <v>53</v>
      </c>
      <c r="P27" s="390">
        <v>67</v>
      </c>
      <c r="Q27" s="409">
        <v>67</v>
      </c>
      <c r="R27" s="409">
        <v>1</v>
      </c>
      <c r="S27" s="394">
        <v>3256.5</v>
      </c>
      <c r="T27" s="395">
        <v>277</v>
      </c>
      <c r="U27" s="394">
        <v>4546.5</v>
      </c>
      <c r="V27" s="395">
        <v>357</v>
      </c>
      <c r="W27" s="394">
        <v>6487</v>
      </c>
      <c r="X27" s="395">
        <v>486</v>
      </c>
      <c r="Y27" s="396">
        <f>SUM(S27+U27+W27)</f>
        <v>14290</v>
      </c>
      <c r="Z27" s="397">
        <f>T27+V27+X27</f>
        <v>1120</v>
      </c>
      <c r="AA27" s="398">
        <f>IF(Y27&lt;&gt;0,Z27/Q27,"")</f>
        <v>16.71641791044776</v>
      </c>
      <c r="AB27" s="399">
        <f>IF(Y27&lt;&gt;0,Y27/Z27,"")</f>
        <v>12.758928571428571</v>
      </c>
      <c r="AC27" s="396"/>
      <c r="AD27" s="401">
        <f>IF(AC27&lt;&gt;0,-(AC27-Y27)/AC27,"")</f>
      </c>
      <c r="AE27" s="402">
        <f>AG27-Y27</f>
        <v>11343.5</v>
      </c>
      <c r="AF27" s="398">
        <f>AH27-Z27</f>
        <v>984</v>
      </c>
      <c r="AG27" s="403">
        <v>25633.5</v>
      </c>
      <c r="AH27" s="404">
        <v>2104</v>
      </c>
      <c r="AI27" s="401">
        <f>Z27*1/AH27</f>
        <v>0.532319391634981</v>
      </c>
      <c r="AJ27" s="401">
        <f>AF27*1/AH27</f>
        <v>0.467680608365019</v>
      </c>
      <c r="AK27" s="398">
        <f>AH27/Q27</f>
        <v>31.402985074626866</v>
      </c>
      <c r="AL27" s="399">
        <f>AG27/AH27</f>
        <v>12.183222433460076</v>
      </c>
      <c r="AM27" s="396"/>
      <c r="AN27" s="401"/>
      <c r="AO27" s="396">
        <f>25633.5</f>
        <v>25633.5</v>
      </c>
      <c r="AP27" s="397">
        <f>2104</f>
        <v>2104</v>
      </c>
      <c r="AQ27" s="405">
        <f t="shared" si="0"/>
        <v>12.183222433460076</v>
      </c>
      <c r="AR27" s="406">
        <v>41040</v>
      </c>
      <c r="AS27" s="407" t="s">
        <v>306</v>
      </c>
      <c r="AT27" s="234"/>
    </row>
    <row r="28" spans="1:46" s="233" customFormat="1" ht="11.25" customHeight="1">
      <c r="A28" s="295" t="s">
        <v>428</v>
      </c>
      <c r="B28" s="293"/>
      <c r="C28" s="236"/>
      <c r="D28" s="236"/>
      <c r="E28" s="236"/>
      <c r="F28" s="236"/>
      <c r="G28" s="236"/>
      <c r="H28" s="236"/>
      <c r="I28" s="236" t="s">
        <v>54</v>
      </c>
      <c r="J28" s="558" t="s">
        <v>717</v>
      </c>
      <c r="K28" s="312"/>
      <c r="L28" s="341"/>
      <c r="M28" s="341" t="s">
        <v>717</v>
      </c>
      <c r="N28" s="370">
        <v>41012</v>
      </c>
      <c r="O28" s="288" t="s">
        <v>68</v>
      </c>
      <c r="P28" s="312">
        <v>25</v>
      </c>
      <c r="Q28" s="312">
        <v>25</v>
      </c>
      <c r="R28" s="312">
        <v>5</v>
      </c>
      <c r="S28" s="325">
        <v>3419.9</v>
      </c>
      <c r="T28" s="355">
        <v>392</v>
      </c>
      <c r="U28" s="325">
        <v>4688.5</v>
      </c>
      <c r="V28" s="355">
        <v>533</v>
      </c>
      <c r="W28" s="325">
        <v>5534</v>
      </c>
      <c r="X28" s="355">
        <v>619</v>
      </c>
      <c r="Y28" s="334">
        <f>SUM(S28+U28+W28)</f>
        <v>13642.4</v>
      </c>
      <c r="Z28" s="338">
        <f>T28+V28+X28</f>
        <v>1544</v>
      </c>
      <c r="AA28" s="323">
        <f>IF(Y28&lt;&gt;0,Z28/Q28,"")</f>
        <v>61.76</v>
      </c>
      <c r="AB28" s="324">
        <f>IF(Y28&lt;&gt;0,Y28/Z28,"")</f>
        <v>8.835751295336788</v>
      </c>
      <c r="AC28" s="334">
        <v>21593</v>
      </c>
      <c r="AD28" s="326">
        <f>IF(AC28&lt;&gt;0,-(AC28-Y28)/AC28,"")</f>
        <v>-0.36820265826888343</v>
      </c>
      <c r="AE28" s="327">
        <f>AG28-Y28</f>
        <v>11658.28</v>
      </c>
      <c r="AF28" s="323">
        <f>AH28-Z28</f>
        <v>1404</v>
      </c>
      <c r="AG28" s="382">
        <v>25300.68</v>
      </c>
      <c r="AH28" s="383">
        <v>2948</v>
      </c>
      <c r="AI28" s="326">
        <f>Z28*1/AH28</f>
        <v>0.5237449118046132</v>
      </c>
      <c r="AJ28" s="326">
        <f>AF28*1/AH28</f>
        <v>0.4762550881953867</v>
      </c>
      <c r="AK28" s="323">
        <f>AH28/Q28</f>
        <v>117.92</v>
      </c>
      <c r="AL28" s="324">
        <f>AG28/AH28</f>
        <v>8.582320217096337</v>
      </c>
      <c r="AM28" s="334">
        <v>38445.4</v>
      </c>
      <c r="AN28" s="326">
        <f aca="true" t="shared" si="1" ref="AN28:AN52">IF(AM28&lt;&gt;0,-(AM28-AG28)/AM28,"")</f>
        <v>-0.3419061838347371</v>
      </c>
      <c r="AO28" s="328">
        <f>181931+118209+64048.02+38445.4+25300.68</f>
        <v>427934.10000000003</v>
      </c>
      <c r="AP28" s="344">
        <f>16563+10701+6525+4441+2948</f>
        <v>41178</v>
      </c>
      <c r="AQ28" s="329">
        <f t="shared" si="0"/>
        <v>10.39229928602652</v>
      </c>
      <c r="AR28" s="297">
        <v>41040</v>
      </c>
      <c r="AS28" s="293" t="s">
        <v>424</v>
      </c>
      <c r="AT28" s="234"/>
    </row>
    <row r="29" spans="1:46" s="233" customFormat="1" ht="11.25" customHeight="1">
      <c r="A29" s="295" t="s">
        <v>429</v>
      </c>
      <c r="B29" s="236"/>
      <c r="C29" s="236"/>
      <c r="D29" s="236"/>
      <c r="E29" s="236"/>
      <c r="F29" s="236"/>
      <c r="G29" s="236"/>
      <c r="H29" s="236"/>
      <c r="I29" s="293"/>
      <c r="J29" s="557" t="s">
        <v>693</v>
      </c>
      <c r="K29" s="319"/>
      <c r="L29" s="312"/>
      <c r="M29" s="340" t="s">
        <v>694</v>
      </c>
      <c r="N29" s="370">
        <v>41005</v>
      </c>
      <c r="O29" s="288" t="s">
        <v>68</v>
      </c>
      <c r="P29" s="312">
        <v>128</v>
      </c>
      <c r="Q29" s="312">
        <v>21</v>
      </c>
      <c r="R29" s="312">
        <v>6</v>
      </c>
      <c r="S29" s="325">
        <v>1049</v>
      </c>
      <c r="T29" s="355">
        <v>140</v>
      </c>
      <c r="U29" s="325">
        <v>1426.5</v>
      </c>
      <c r="V29" s="355">
        <v>221</v>
      </c>
      <c r="W29" s="325">
        <v>1198.5</v>
      </c>
      <c r="X29" s="355">
        <v>170</v>
      </c>
      <c r="Y29" s="334">
        <f>SUM(S29+U29+W29)</f>
        <v>3674</v>
      </c>
      <c r="Z29" s="338">
        <f>T29+V29+X29</f>
        <v>531</v>
      </c>
      <c r="AA29" s="323">
        <f>IF(Y29&lt;&gt;0,Z29/Q29,"")</f>
        <v>25.285714285714285</v>
      </c>
      <c r="AB29" s="324">
        <f>IF(Y29&lt;&gt;0,Y29/Z29,"")</f>
        <v>6.919020715630885</v>
      </c>
      <c r="AC29" s="330">
        <v>13652.5</v>
      </c>
      <c r="AD29" s="326">
        <f>IF(AC29&lt;&gt;0,-(AC29-Y29)/AC29,"")</f>
        <v>-0.7308917780626258</v>
      </c>
      <c r="AE29" s="327">
        <f>AG29-Y29</f>
        <v>21368.82</v>
      </c>
      <c r="AF29" s="323">
        <f>AH29-Z29</f>
        <v>5073</v>
      </c>
      <c r="AG29" s="382">
        <v>25042.82</v>
      </c>
      <c r="AH29" s="383">
        <v>5604</v>
      </c>
      <c r="AI29" s="326">
        <f>Z29*1/AH29</f>
        <v>0.09475374732334046</v>
      </c>
      <c r="AJ29" s="326">
        <f>AF29*1/AH29</f>
        <v>0.9052462526766595</v>
      </c>
      <c r="AK29" s="323">
        <f>AH29/Q29</f>
        <v>266.85714285714283</v>
      </c>
      <c r="AL29" s="324">
        <f>AG29/AH29</f>
        <v>4.468740185581727</v>
      </c>
      <c r="AM29" s="334">
        <v>24268.83</v>
      </c>
      <c r="AN29" s="326">
        <f t="shared" si="1"/>
        <v>0.03189234915733465</v>
      </c>
      <c r="AO29" s="328">
        <f>791744.63+452201.66+236975.49+102426.65+24268.83+25042.82</f>
        <v>1632660.08</v>
      </c>
      <c r="AP29" s="344">
        <f>73363+42298+22349+11020+3151+5604</f>
        <v>157785</v>
      </c>
      <c r="AQ29" s="329">
        <f t="shared" si="0"/>
        <v>10.347371930158127</v>
      </c>
      <c r="AR29" s="297">
        <v>41040</v>
      </c>
      <c r="AS29" s="293" t="s">
        <v>432</v>
      </c>
      <c r="AT29" s="234"/>
    </row>
    <row r="30" spans="1:46" s="233" customFormat="1" ht="11.25" customHeight="1">
      <c r="A30" s="295" t="s">
        <v>430</v>
      </c>
      <c r="B30" s="236"/>
      <c r="C30" s="236"/>
      <c r="D30" s="236"/>
      <c r="E30" s="236"/>
      <c r="F30" s="236">
        <v>2</v>
      </c>
      <c r="G30" s="236"/>
      <c r="H30" s="236"/>
      <c r="I30" s="236" t="s">
        <v>54</v>
      </c>
      <c r="J30" s="557" t="s">
        <v>540</v>
      </c>
      <c r="K30" s="319"/>
      <c r="L30" s="312"/>
      <c r="M30" s="340" t="s">
        <v>540</v>
      </c>
      <c r="N30" s="370">
        <v>40956</v>
      </c>
      <c r="O30" s="288" t="s">
        <v>68</v>
      </c>
      <c r="P30" s="312">
        <v>440</v>
      </c>
      <c r="Q30" s="312">
        <v>27</v>
      </c>
      <c r="R30" s="312">
        <v>13</v>
      </c>
      <c r="S30" s="325">
        <v>1399</v>
      </c>
      <c r="T30" s="355">
        <v>167</v>
      </c>
      <c r="U30" s="325">
        <v>1948.5</v>
      </c>
      <c r="V30" s="355">
        <v>259</v>
      </c>
      <c r="W30" s="325">
        <v>3647</v>
      </c>
      <c r="X30" s="355">
        <v>417</v>
      </c>
      <c r="Y30" s="334">
        <f>SUM(S30+U30+W30)</f>
        <v>6994.5</v>
      </c>
      <c r="Z30" s="338">
        <f>T30+V30+X30</f>
        <v>843</v>
      </c>
      <c r="AA30" s="323">
        <f>IF(Y30&lt;&gt;0,Z30/Q30,"")</f>
        <v>31.22222222222222</v>
      </c>
      <c r="AB30" s="324">
        <f>IF(Y30&lt;&gt;0,Y30/Z30,"")</f>
        <v>8.297153024911031</v>
      </c>
      <c r="AC30" s="330">
        <v>38170</v>
      </c>
      <c r="AD30" s="326">
        <f>IF(AC30&lt;&gt;0,-(AC30-Y30)/AC30,"")</f>
        <v>-0.8167539952842546</v>
      </c>
      <c r="AE30" s="327">
        <f>AG30-Y30</f>
        <v>15074</v>
      </c>
      <c r="AF30" s="323">
        <f>AH30-Z30</f>
        <v>2621</v>
      </c>
      <c r="AG30" s="382">
        <v>22068.5</v>
      </c>
      <c r="AH30" s="383">
        <v>3464</v>
      </c>
      <c r="AI30" s="326">
        <f>Z30*1/AH30</f>
        <v>0.24336027713625866</v>
      </c>
      <c r="AJ30" s="326">
        <f>AF30*1/AH30</f>
        <v>0.7566397228637414</v>
      </c>
      <c r="AK30" s="323">
        <f>AH30/Q30</f>
        <v>128.2962962962963</v>
      </c>
      <c r="AL30" s="324">
        <f>AG30/AH30</f>
        <v>6.370814087759816</v>
      </c>
      <c r="AM30" s="334">
        <v>50635.81</v>
      </c>
      <c r="AN30" s="326">
        <f t="shared" si="1"/>
        <v>-0.564172075059133</v>
      </c>
      <c r="AO30" s="328">
        <f>21413320.22+14038209.72+8091830.8+5223667.88+2812594.76+1480814.82+955933.78+528159.45+298145.03+198476.43+95958.51+50635.81+22068.5</f>
        <v>55209815.71</v>
      </c>
      <c r="AP30" s="344">
        <f>2475453+1630117+937421+623418+343374+183619+118367+65562+39148+26637+13128+9069+3464</f>
        <v>6468777</v>
      </c>
      <c r="AQ30" s="329">
        <f t="shared" si="0"/>
        <v>8.534815114201649</v>
      </c>
      <c r="AR30" s="297">
        <v>41040</v>
      </c>
      <c r="AS30" s="293" t="s">
        <v>421</v>
      </c>
      <c r="AT30" s="234"/>
    </row>
    <row r="31" spans="1:46" s="233" customFormat="1" ht="11.25" customHeight="1">
      <c r="A31" s="295" t="s">
        <v>431</v>
      </c>
      <c r="B31" s="293"/>
      <c r="C31" s="236"/>
      <c r="D31" s="236"/>
      <c r="E31" s="236"/>
      <c r="F31" s="236"/>
      <c r="G31" s="236"/>
      <c r="H31" s="236"/>
      <c r="I31" s="236"/>
      <c r="J31" s="560" t="s">
        <v>754</v>
      </c>
      <c r="K31" s="288"/>
      <c r="L31" s="288"/>
      <c r="M31" s="288" t="s">
        <v>755</v>
      </c>
      <c r="N31" s="369">
        <v>41026</v>
      </c>
      <c r="O31" s="288" t="s">
        <v>53</v>
      </c>
      <c r="P31" s="346">
        <v>41</v>
      </c>
      <c r="Q31" s="346">
        <v>39</v>
      </c>
      <c r="R31" s="346">
        <v>3</v>
      </c>
      <c r="S31" s="347">
        <v>1822</v>
      </c>
      <c r="T31" s="348">
        <v>229</v>
      </c>
      <c r="U31" s="347">
        <v>3312.5</v>
      </c>
      <c r="V31" s="348">
        <v>400</v>
      </c>
      <c r="W31" s="347">
        <v>4603.5</v>
      </c>
      <c r="X31" s="348">
        <v>549</v>
      </c>
      <c r="Y31" s="334">
        <f>SUM(S31+U31+W31)</f>
        <v>9738</v>
      </c>
      <c r="Z31" s="338">
        <f>T31+V31+X31</f>
        <v>1178</v>
      </c>
      <c r="AA31" s="323">
        <f>IF(Y31&lt;&gt;0,Z31/Q31,"")</f>
        <v>30.205128205128204</v>
      </c>
      <c r="AB31" s="324">
        <f>IF(Y31&lt;&gt;0,Y31/Z31,"")</f>
        <v>8.266553480475382</v>
      </c>
      <c r="AC31" s="334">
        <v>23103.78</v>
      </c>
      <c r="AD31" s="326">
        <f>IF(AC31&lt;&gt;0,-(AC31-Y31)/AC31,"")</f>
        <v>-0.5785105294458309</v>
      </c>
      <c r="AE31" s="327">
        <f>AG31-Y31</f>
        <v>7311.360000000001</v>
      </c>
      <c r="AF31" s="323">
        <f>AH31-Z31</f>
        <v>1010</v>
      </c>
      <c r="AG31" s="378">
        <v>17049.36</v>
      </c>
      <c r="AH31" s="379">
        <v>2188</v>
      </c>
      <c r="AI31" s="326">
        <f>Z31*1/AH31</f>
        <v>0.5383912248628885</v>
      </c>
      <c r="AJ31" s="326">
        <f>AF31*1/AH31</f>
        <v>0.4616087751371115</v>
      </c>
      <c r="AK31" s="323">
        <f>AH31/Q31</f>
        <v>56.1025641025641</v>
      </c>
      <c r="AL31" s="324">
        <f>AG31/AH31</f>
        <v>7.792212065813529</v>
      </c>
      <c r="AM31" s="334">
        <v>36872.58</v>
      </c>
      <c r="AN31" s="326">
        <f t="shared" si="1"/>
        <v>-0.5376141295238901</v>
      </c>
      <c r="AO31" s="334">
        <f>67385.07+36872.58+17049.36</f>
        <v>121307.01000000001</v>
      </c>
      <c r="AP31" s="338">
        <f>7044+3773+2188</f>
        <v>13005</v>
      </c>
      <c r="AQ31" s="329">
        <f t="shared" si="0"/>
        <v>9.327720876585929</v>
      </c>
      <c r="AR31" s="297">
        <v>41040</v>
      </c>
      <c r="AS31" s="293" t="s">
        <v>428</v>
      </c>
      <c r="AT31" s="234"/>
    </row>
    <row r="32" spans="1:46" s="233" customFormat="1" ht="11.25" customHeight="1">
      <c r="A32" s="295" t="s">
        <v>432</v>
      </c>
      <c r="B32" s="236"/>
      <c r="C32" s="236"/>
      <c r="D32" s="236" t="s">
        <v>193</v>
      </c>
      <c r="E32" s="236"/>
      <c r="F32" s="236">
        <v>2</v>
      </c>
      <c r="G32" s="236"/>
      <c r="H32" s="236" t="s">
        <v>55</v>
      </c>
      <c r="I32" s="293"/>
      <c r="J32" s="557" t="s">
        <v>732</v>
      </c>
      <c r="K32" s="319" t="s">
        <v>733</v>
      </c>
      <c r="L32" s="312" t="s">
        <v>85</v>
      </c>
      <c r="M32" s="340" t="s">
        <v>734</v>
      </c>
      <c r="N32" s="370">
        <v>41019</v>
      </c>
      <c r="O32" s="288" t="s">
        <v>68</v>
      </c>
      <c r="P32" s="312">
        <v>155</v>
      </c>
      <c r="Q32" s="312">
        <v>53</v>
      </c>
      <c r="R32" s="312">
        <v>4</v>
      </c>
      <c r="S32" s="325">
        <v>1842</v>
      </c>
      <c r="T32" s="355">
        <v>258</v>
      </c>
      <c r="U32" s="325">
        <v>3400.5</v>
      </c>
      <c r="V32" s="355">
        <v>429</v>
      </c>
      <c r="W32" s="325">
        <v>3589.5</v>
      </c>
      <c r="X32" s="355">
        <v>433</v>
      </c>
      <c r="Y32" s="334">
        <f>SUM(S32+U32+W32)</f>
        <v>8832</v>
      </c>
      <c r="Z32" s="338">
        <f>T32+V32+X32</f>
        <v>1120</v>
      </c>
      <c r="AA32" s="323">
        <f>IF(Y32&lt;&gt;0,Z32/Q32,"")</f>
        <v>21.132075471698112</v>
      </c>
      <c r="AB32" s="324">
        <f>IF(Y32&lt;&gt;0,Y32/Z32,"")</f>
        <v>7.885714285714286</v>
      </c>
      <c r="AC32" s="330">
        <v>21136</v>
      </c>
      <c r="AD32" s="326">
        <f>IF(AC32&lt;&gt;0,-(AC32-Y32)/AC32,"")</f>
        <v>-0.5821347464042392</v>
      </c>
      <c r="AE32" s="327">
        <f>AG32-Y32</f>
        <v>7069.5</v>
      </c>
      <c r="AF32" s="323">
        <f>AH32-Z32</f>
        <v>1212</v>
      </c>
      <c r="AG32" s="382">
        <v>15901.5</v>
      </c>
      <c r="AH32" s="383">
        <v>2332</v>
      </c>
      <c r="AI32" s="326">
        <f>Z32*1/AH32</f>
        <v>0.48027444253859347</v>
      </c>
      <c r="AJ32" s="326">
        <f>AF32*1/AH32</f>
        <v>0.5197255574614065</v>
      </c>
      <c r="AK32" s="323">
        <f>AH32/Q32</f>
        <v>44</v>
      </c>
      <c r="AL32" s="324">
        <f>AG32/AH32</f>
        <v>6.818825042881647</v>
      </c>
      <c r="AM32" s="334">
        <v>36920.7</v>
      </c>
      <c r="AN32" s="326">
        <f t="shared" si="1"/>
        <v>-0.5693066491155367</v>
      </c>
      <c r="AO32" s="328">
        <f>583135.48+104911.11+36920.7+15901.5</f>
        <v>740868.7899999999</v>
      </c>
      <c r="AP32" s="344">
        <f>73534+13967+5470+2332</f>
        <v>95303</v>
      </c>
      <c r="AQ32" s="329">
        <f t="shared" si="0"/>
        <v>7.773824433648468</v>
      </c>
      <c r="AR32" s="297">
        <v>41040</v>
      </c>
      <c r="AS32" s="293" t="s">
        <v>427</v>
      </c>
      <c r="AT32" s="234"/>
    </row>
    <row r="33" spans="1:46" s="233" customFormat="1" ht="11.25" customHeight="1">
      <c r="A33" s="295" t="s">
        <v>433</v>
      </c>
      <c r="B33" s="293"/>
      <c r="C33" s="236"/>
      <c r="D33" s="236"/>
      <c r="E33" s="236"/>
      <c r="F33" s="236"/>
      <c r="G33" s="236"/>
      <c r="H33" s="236"/>
      <c r="I33" s="236"/>
      <c r="J33" s="557" t="s">
        <v>565</v>
      </c>
      <c r="K33" s="288"/>
      <c r="L33" s="288"/>
      <c r="M33" s="340" t="s">
        <v>566</v>
      </c>
      <c r="N33" s="370">
        <v>40963</v>
      </c>
      <c r="O33" s="288" t="s">
        <v>68</v>
      </c>
      <c r="P33" s="312">
        <v>40</v>
      </c>
      <c r="Q33" s="312">
        <v>12</v>
      </c>
      <c r="R33" s="312">
        <v>12</v>
      </c>
      <c r="S33" s="325">
        <v>2131.5</v>
      </c>
      <c r="T33" s="355">
        <v>260</v>
      </c>
      <c r="U33" s="325">
        <v>2947.5</v>
      </c>
      <c r="V33" s="355">
        <v>357</v>
      </c>
      <c r="W33" s="325">
        <v>3095.5</v>
      </c>
      <c r="X33" s="355">
        <v>380</v>
      </c>
      <c r="Y33" s="334">
        <f>SUM(S33+U33+W33)</f>
        <v>8174.5</v>
      </c>
      <c r="Z33" s="338">
        <f>T33+V33+X33</f>
        <v>997</v>
      </c>
      <c r="AA33" s="323">
        <f>IF(Y33&lt;&gt;0,Z33/Q33,"")</f>
        <v>83.08333333333333</v>
      </c>
      <c r="AB33" s="324">
        <f>IF(Y33&lt;&gt;0,Y33/Z33,"")</f>
        <v>8.199097291875628</v>
      </c>
      <c r="AC33" s="330">
        <v>8656</v>
      </c>
      <c r="AD33" s="326">
        <f>IF(AC33&lt;&gt;0,-(AC33-Y33)/AC33,"")</f>
        <v>-0.055626155268022184</v>
      </c>
      <c r="AE33" s="327">
        <f>AG33-Y33</f>
        <v>6494</v>
      </c>
      <c r="AF33" s="323">
        <f>AH33-Z33</f>
        <v>900</v>
      </c>
      <c r="AG33" s="382">
        <v>14668.5</v>
      </c>
      <c r="AH33" s="383">
        <v>1897</v>
      </c>
      <c r="AI33" s="326">
        <f>Z33*1/AH33</f>
        <v>0.5255666842382709</v>
      </c>
      <c r="AJ33" s="326">
        <f>AF33*1/AH33</f>
        <v>0.47443331576172904</v>
      </c>
      <c r="AK33" s="323">
        <f>AH33/Q33</f>
        <v>158.08333333333334</v>
      </c>
      <c r="AL33" s="324">
        <f>AG33/AH33</f>
        <v>7.732472324723247</v>
      </c>
      <c r="AM33" s="334">
        <v>15180</v>
      </c>
      <c r="AN33" s="326">
        <f t="shared" si="1"/>
        <v>-0.03369565217391304</v>
      </c>
      <c r="AO33" s="328">
        <f>519450+254546+100425.5+33590+8521.5+10441.58+7818.22+5560.15+2360+20318.5+15180+14668.5</f>
        <v>992879.95</v>
      </c>
      <c r="AP33" s="344">
        <f>41231+20309+7678+2672+1134+1420+1330+822+389+3100+2050+1897</f>
        <v>84032</v>
      </c>
      <c r="AQ33" s="329">
        <f t="shared" si="0"/>
        <v>11.81549826256664</v>
      </c>
      <c r="AR33" s="297">
        <v>41040</v>
      </c>
      <c r="AS33" s="293" t="s">
        <v>434</v>
      </c>
      <c r="AT33" s="234"/>
    </row>
    <row r="34" spans="1:46" s="233" customFormat="1" ht="11.25" customHeight="1">
      <c r="A34" s="295" t="s">
        <v>434</v>
      </c>
      <c r="B34" s="293"/>
      <c r="C34" s="236"/>
      <c r="D34" s="236" t="s">
        <v>193</v>
      </c>
      <c r="E34" s="236"/>
      <c r="F34" s="236"/>
      <c r="G34" s="236"/>
      <c r="H34" s="236" t="s">
        <v>55</v>
      </c>
      <c r="I34" s="236"/>
      <c r="J34" s="558" t="s">
        <v>710</v>
      </c>
      <c r="K34" s="312"/>
      <c r="L34" s="341"/>
      <c r="M34" s="341" t="s">
        <v>711</v>
      </c>
      <c r="N34" s="370">
        <v>41012</v>
      </c>
      <c r="O34" s="288" t="s">
        <v>12</v>
      </c>
      <c r="P34" s="312">
        <v>95</v>
      </c>
      <c r="Q34" s="312">
        <v>36</v>
      </c>
      <c r="R34" s="312">
        <v>5</v>
      </c>
      <c r="S34" s="347">
        <v>1964</v>
      </c>
      <c r="T34" s="348">
        <v>186</v>
      </c>
      <c r="U34" s="347">
        <v>4382</v>
      </c>
      <c r="V34" s="348">
        <v>497</v>
      </c>
      <c r="W34" s="347">
        <v>3983</v>
      </c>
      <c r="X34" s="348">
        <v>460</v>
      </c>
      <c r="Y34" s="334">
        <f>SUM(S34+U34+W34)</f>
        <v>10329</v>
      </c>
      <c r="Z34" s="338">
        <f>T34+V34+X34</f>
        <v>1143</v>
      </c>
      <c r="AA34" s="323">
        <f>IF(Y34&lt;&gt;0,Z34/Q34,"")</f>
        <v>31.75</v>
      </c>
      <c r="AB34" s="324">
        <f>IF(Y34&lt;&gt;0,Y34/Z34,"")</f>
        <v>9.036745406824148</v>
      </c>
      <c r="AC34" s="334">
        <v>34913</v>
      </c>
      <c r="AD34" s="326">
        <f>IF(AC34&lt;&gt;0,-(AC34-Y34)/AC34,"")</f>
        <v>-0.7041503165010168</v>
      </c>
      <c r="AE34" s="327">
        <f>AG34-Y34</f>
        <v>4245</v>
      </c>
      <c r="AF34" s="323">
        <f>AH34-Z34</f>
        <v>739</v>
      </c>
      <c r="AG34" s="378">
        <v>14574</v>
      </c>
      <c r="AH34" s="379">
        <v>1882</v>
      </c>
      <c r="AI34" s="326">
        <f>Z34*1/AH34</f>
        <v>0.6073326248671626</v>
      </c>
      <c r="AJ34" s="326">
        <f>AF34*1/AH34</f>
        <v>0.3926673751328374</v>
      </c>
      <c r="AK34" s="323">
        <f>AH34/Q34</f>
        <v>52.27777777777778</v>
      </c>
      <c r="AL34" s="324">
        <f>AG34/AH34</f>
        <v>7.743889479277365</v>
      </c>
      <c r="AM34" s="334">
        <v>51183</v>
      </c>
      <c r="AN34" s="326">
        <f t="shared" si="1"/>
        <v>-0.7152570189320673</v>
      </c>
      <c r="AO34" s="334">
        <v>1333143</v>
      </c>
      <c r="AP34" s="338">
        <v>124579</v>
      </c>
      <c r="AQ34" s="329">
        <f t="shared" si="0"/>
        <v>10.701185593077485</v>
      </c>
      <c r="AR34" s="297">
        <v>41040</v>
      </c>
      <c r="AS34" s="293" t="s">
        <v>420</v>
      </c>
      <c r="AT34" s="234"/>
    </row>
    <row r="35" spans="1:46" s="233" customFormat="1" ht="11.25" customHeight="1">
      <c r="A35" s="295" t="s">
        <v>435</v>
      </c>
      <c r="B35" s="293"/>
      <c r="C35" s="236"/>
      <c r="D35" s="293"/>
      <c r="E35" s="293"/>
      <c r="F35" s="236"/>
      <c r="G35" s="293"/>
      <c r="H35" s="236"/>
      <c r="I35" s="236" t="s">
        <v>54</v>
      </c>
      <c r="J35" s="560" t="s">
        <v>841</v>
      </c>
      <c r="K35" s="312" t="s">
        <v>771</v>
      </c>
      <c r="L35" s="288"/>
      <c r="M35" s="288" t="s">
        <v>782</v>
      </c>
      <c r="N35" s="370">
        <v>41033</v>
      </c>
      <c r="O35" s="288" t="s">
        <v>289</v>
      </c>
      <c r="P35" s="312">
        <v>2</v>
      </c>
      <c r="Q35" s="312">
        <v>2</v>
      </c>
      <c r="R35" s="312">
        <v>2</v>
      </c>
      <c r="S35" s="334">
        <v>2188</v>
      </c>
      <c r="T35" s="338">
        <v>199</v>
      </c>
      <c r="U35" s="334">
        <v>1904</v>
      </c>
      <c r="V35" s="338">
        <v>173</v>
      </c>
      <c r="W35" s="334">
        <v>1680</v>
      </c>
      <c r="X35" s="338">
        <v>150</v>
      </c>
      <c r="Y35" s="334">
        <f>SUM(S35+U35+W35)</f>
        <v>5772</v>
      </c>
      <c r="Z35" s="338">
        <f>T35+V35+X35</f>
        <v>522</v>
      </c>
      <c r="AA35" s="323">
        <f>IF(Y35&lt;&gt;0,Z35/Q35,"")</f>
        <v>261</v>
      </c>
      <c r="AB35" s="324">
        <f>IF(Y35&lt;&gt;0,Y35/Z35,"")</f>
        <v>11.057471264367816</v>
      </c>
      <c r="AC35" s="330">
        <v>7182</v>
      </c>
      <c r="AD35" s="326">
        <f>IF(AC35&lt;&gt;0,-(AC35-Y35)/AC35,"")</f>
        <v>-0.19632414369256473</v>
      </c>
      <c r="AE35" s="327">
        <f>AG35-Y35</f>
        <v>8594</v>
      </c>
      <c r="AF35" s="323">
        <f>AH35-Z35</f>
        <v>938</v>
      </c>
      <c r="AG35" s="378">
        <v>14366</v>
      </c>
      <c r="AH35" s="379">
        <v>1460</v>
      </c>
      <c r="AI35" s="326">
        <f>Z35*1/AH35</f>
        <v>0.35753424657534244</v>
      </c>
      <c r="AJ35" s="326">
        <f>AF35*1/AH35</f>
        <v>0.6424657534246575</v>
      </c>
      <c r="AK35" s="323">
        <f>AH35/Q35</f>
        <v>730</v>
      </c>
      <c r="AL35" s="324">
        <f>AG35/AH35</f>
        <v>9.83972602739726</v>
      </c>
      <c r="AM35" s="328">
        <v>18799</v>
      </c>
      <c r="AN35" s="326">
        <f t="shared" si="1"/>
        <v>-0.2358104154476302</v>
      </c>
      <c r="AO35" s="334">
        <v>33165</v>
      </c>
      <c r="AP35" s="338">
        <v>3344</v>
      </c>
      <c r="AQ35" s="329">
        <f t="shared" si="0"/>
        <v>9.917763157894736</v>
      </c>
      <c r="AR35" s="297">
        <v>41040</v>
      </c>
      <c r="AS35" s="293" t="s">
        <v>433</v>
      </c>
      <c r="AT35" s="234"/>
    </row>
    <row r="36" spans="1:46" s="233" customFormat="1" ht="11.25" customHeight="1">
      <c r="A36" s="295" t="s">
        <v>436</v>
      </c>
      <c r="B36" s="293"/>
      <c r="C36" s="236"/>
      <c r="D36" s="236"/>
      <c r="E36" s="236"/>
      <c r="F36" s="236"/>
      <c r="G36" s="236"/>
      <c r="H36" s="236"/>
      <c r="I36" s="236" t="s">
        <v>54</v>
      </c>
      <c r="J36" s="557" t="s">
        <v>764</v>
      </c>
      <c r="K36" s="319" t="s">
        <v>766</v>
      </c>
      <c r="L36" s="312"/>
      <c r="M36" s="340" t="s">
        <v>764</v>
      </c>
      <c r="N36" s="370">
        <v>41026</v>
      </c>
      <c r="O36" s="288" t="s">
        <v>68</v>
      </c>
      <c r="P36" s="312">
        <v>30</v>
      </c>
      <c r="Q36" s="312">
        <v>25</v>
      </c>
      <c r="R36" s="312">
        <v>3</v>
      </c>
      <c r="S36" s="325">
        <v>1078.81</v>
      </c>
      <c r="T36" s="355">
        <v>138</v>
      </c>
      <c r="U36" s="325">
        <v>2010</v>
      </c>
      <c r="V36" s="355">
        <v>241</v>
      </c>
      <c r="W36" s="325">
        <v>3508</v>
      </c>
      <c r="X36" s="355">
        <v>413</v>
      </c>
      <c r="Y36" s="334">
        <f>SUM(S36+U36+W36)</f>
        <v>6596.8099999999995</v>
      </c>
      <c r="Z36" s="338">
        <f>T36+V36+X36</f>
        <v>792</v>
      </c>
      <c r="AA36" s="323">
        <f>IF(Y36&lt;&gt;0,Z36/Q36,"")</f>
        <v>31.68</v>
      </c>
      <c r="AB36" s="324">
        <f>IF(Y36&lt;&gt;0,Y36/Z36,"")</f>
        <v>8.329305555555555</v>
      </c>
      <c r="AC36" s="330">
        <v>15552</v>
      </c>
      <c r="AD36" s="326">
        <f>IF(AC36&lt;&gt;0,-(AC36-Y36)/AC36,"")</f>
        <v>-0.5758224022633746</v>
      </c>
      <c r="AE36" s="327">
        <f>AG36-Y36</f>
        <v>5063.18</v>
      </c>
      <c r="AF36" s="323">
        <f>AH36-Z36</f>
        <v>722</v>
      </c>
      <c r="AG36" s="382">
        <v>11659.99</v>
      </c>
      <c r="AH36" s="383">
        <v>1514</v>
      </c>
      <c r="AI36" s="326">
        <f>Z36*1/AH36</f>
        <v>0.523117569352708</v>
      </c>
      <c r="AJ36" s="326">
        <f>AF36*1/AH36</f>
        <v>0.47688243064729197</v>
      </c>
      <c r="AK36" s="323">
        <f>AH36/Q36</f>
        <v>60.56</v>
      </c>
      <c r="AL36" s="324">
        <f>AG36/AH36</f>
        <v>7.7014464993394975</v>
      </c>
      <c r="AM36" s="334">
        <v>27846.05</v>
      </c>
      <c r="AN36" s="326">
        <f t="shared" si="1"/>
        <v>-0.5812695157841058</v>
      </c>
      <c r="AO36" s="328">
        <f>58936.99+27846.05+11659.99</f>
        <v>98443.03</v>
      </c>
      <c r="AP36" s="344">
        <f>6042+3064+1514</f>
        <v>10620</v>
      </c>
      <c r="AQ36" s="329">
        <f t="shared" si="0"/>
        <v>9.269588512241054</v>
      </c>
      <c r="AR36" s="297">
        <v>41040</v>
      </c>
      <c r="AS36" s="293" t="s">
        <v>431</v>
      </c>
      <c r="AT36" s="234"/>
    </row>
    <row r="37" spans="1:46" s="233" customFormat="1" ht="11.25" customHeight="1">
      <c r="A37" s="295" t="s">
        <v>437</v>
      </c>
      <c r="B37" s="293"/>
      <c r="C37" s="236"/>
      <c r="D37" s="293"/>
      <c r="E37" s="293"/>
      <c r="F37" s="236"/>
      <c r="G37" s="293"/>
      <c r="H37" s="293"/>
      <c r="I37" s="293"/>
      <c r="J37" s="555" t="s">
        <v>600</v>
      </c>
      <c r="K37" s="288"/>
      <c r="L37" s="288" t="s">
        <v>182</v>
      </c>
      <c r="M37" s="340" t="s">
        <v>601</v>
      </c>
      <c r="N37" s="369">
        <v>40977</v>
      </c>
      <c r="O37" s="288" t="s">
        <v>8</v>
      </c>
      <c r="P37" s="340">
        <v>43</v>
      </c>
      <c r="Q37" s="340">
        <v>12</v>
      </c>
      <c r="R37" s="340">
        <v>10</v>
      </c>
      <c r="S37" s="342">
        <v>1510</v>
      </c>
      <c r="T37" s="343">
        <v>186</v>
      </c>
      <c r="U37" s="342">
        <v>2825</v>
      </c>
      <c r="V37" s="343">
        <v>340</v>
      </c>
      <c r="W37" s="342">
        <v>2821</v>
      </c>
      <c r="X37" s="343">
        <v>352</v>
      </c>
      <c r="Y37" s="334">
        <f>SUM(S37+U37+W37)</f>
        <v>7156</v>
      </c>
      <c r="Z37" s="338">
        <f>T37+V37+X37</f>
        <v>878</v>
      </c>
      <c r="AA37" s="323">
        <f>IF(Y37&lt;&gt;0,Z37/Q37,"")</f>
        <v>73.16666666666667</v>
      </c>
      <c r="AB37" s="324">
        <f>IF(Y37&lt;&gt;0,Y37/Z37,"")</f>
        <v>8.150341685649202</v>
      </c>
      <c r="AC37" s="330">
        <v>8225</v>
      </c>
      <c r="AD37" s="326">
        <f>IF(AC37&lt;&gt;0,-(AC37-Y37)/AC37,"")</f>
        <v>-0.12996960486322187</v>
      </c>
      <c r="AE37" s="327">
        <f>AG37-Y37</f>
        <v>4366</v>
      </c>
      <c r="AF37" s="323">
        <f>AH37-Z37</f>
        <v>631</v>
      </c>
      <c r="AG37" s="380">
        <v>11522</v>
      </c>
      <c r="AH37" s="381">
        <v>1509</v>
      </c>
      <c r="AI37" s="326">
        <f>Z37*1/AH37</f>
        <v>0.5818422796554009</v>
      </c>
      <c r="AJ37" s="326">
        <f>AF37*1/AH37</f>
        <v>0.4181577203445991</v>
      </c>
      <c r="AK37" s="323">
        <f>AH37/Q37</f>
        <v>125.75</v>
      </c>
      <c r="AL37" s="324">
        <f>AG37/AH37</f>
        <v>7.6355202120609675</v>
      </c>
      <c r="AM37" s="334">
        <v>14773</v>
      </c>
      <c r="AN37" s="326">
        <f t="shared" si="1"/>
        <v>-0.22006362959453057</v>
      </c>
      <c r="AO37" s="342">
        <v>977084</v>
      </c>
      <c r="AP37" s="343">
        <v>101063</v>
      </c>
      <c r="AQ37" s="329">
        <f t="shared" si="0"/>
        <v>9.668068432561867</v>
      </c>
      <c r="AR37" s="297">
        <v>41040</v>
      </c>
      <c r="AS37" s="293" t="s">
        <v>435</v>
      </c>
      <c r="AT37" s="234"/>
    </row>
    <row r="38" spans="1:46" s="233" customFormat="1" ht="11.25" customHeight="1">
      <c r="A38" s="295" t="s">
        <v>438</v>
      </c>
      <c r="B38" s="293"/>
      <c r="C38" s="293"/>
      <c r="D38" s="293"/>
      <c r="E38" s="293"/>
      <c r="F38" s="236"/>
      <c r="G38" s="293"/>
      <c r="H38" s="236"/>
      <c r="I38" s="236"/>
      <c r="J38" s="560" t="s">
        <v>756</v>
      </c>
      <c r="K38" s="312"/>
      <c r="L38" s="288" t="s">
        <v>79</v>
      </c>
      <c r="M38" s="288" t="s">
        <v>757</v>
      </c>
      <c r="N38" s="370">
        <v>41026</v>
      </c>
      <c r="O38" s="288" t="s">
        <v>289</v>
      </c>
      <c r="P38" s="312">
        <v>12</v>
      </c>
      <c r="Q38" s="312">
        <v>11</v>
      </c>
      <c r="R38" s="312">
        <v>3</v>
      </c>
      <c r="S38" s="334">
        <v>1654</v>
      </c>
      <c r="T38" s="338">
        <v>160</v>
      </c>
      <c r="U38" s="334">
        <v>2501</v>
      </c>
      <c r="V38" s="338">
        <v>259</v>
      </c>
      <c r="W38" s="334">
        <v>2535</v>
      </c>
      <c r="X38" s="338">
        <v>246</v>
      </c>
      <c r="Y38" s="334">
        <f>SUM(S38+U38+W38)</f>
        <v>6690</v>
      </c>
      <c r="Z38" s="338">
        <f>T38+V38+X38</f>
        <v>665</v>
      </c>
      <c r="AA38" s="323">
        <f>IF(Y38&lt;&gt;0,Z38/Q38,"")</f>
        <v>60.45454545454545</v>
      </c>
      <c r="AB38" s="324">
        <f>IF(Y38&lt;&gt;0,Y38/Z38,"")</f>
        <v>10.06015037593985</v>
      </c>
      <c r="AC38" s="334">
        <v>19361</v>
      </c>
      <c r="AD38" s="326">
        <f>IF(AC38&lt;&gt;0,-(AC38-Y38)/AC38,"")</f>
        <v>-0.6544599969009866</v>
      </c>
      <c r="AE38" s="327">
        <f>AG38-Y38</f>
        <v>4819</v>
      </c>
      <c r="AF38" s="323">
        <f>AH38-Z38</f>
        <v>555</v>
      </c>
      <c r="AG38" s="378">
        <v>11509</v>
      </c>
      <c r="AH38" s="379">
        <v>1220</v>
      </c>
      <c r="AI38" s="326">
        <f>Z38*1/AH38</f>
        <v>0.5450819672131147</v>
      </c>
      <c r="AJ38" s="326">
        <f>AF38*1/AH38</f>
        <v>0.45491803278688525</v>
      </c>
      <c r="AK38" s="323">
        <f>AH38/Q38</f>
        <v>110.9090909090909</v>
      </c>
      <c r="AL38" s="324">
        <f>AG38/AH38</f>
        <v>9.433606557377049</v>
      </c>
      <c r="AM38" s="328">
        <v>32207</v>
      </c>
      <c r="AN38" s="326">
        <f t="shared" si="1"/>
        <v>-0.6426553233769057</v>
      </c>
      <c r="AO38" s="334">
        <v>90354.5</v>
      </c>
      <c r="AP38" s="338">
        <v>7515</v>
      </c>
      <c r="AQ38" s="329">
        <f t="shared" si="0"/>
        <v>12.023220226214239</v>
      </c>
      <c r="AR38" s="297">
        <v>41040</v>
      </c>
      <c r="AS38" s="293" t="s">
        <v>430</v>
      </c>
      <c r="AT38" s="234"/>
    </row>
    <row r="39" spans="1:46" s="233" customFormat="1" ht="11.25" customHeight="1">
      <c r="A39" s="295" t="s">
        <v>439</v>
      </c>
      <c r="B39" s="236"/>
      <c r="C39" s="236"/>
      <c r="D39" s="236"/>
      <c r="E39" s="236"/>
      <c r="F39" s="236"/>
      <c r="G39" s="236"/>
      <c r="H39" s="236"/>
      <c r="I39" s="236"/>
      <c r="J39" s="558" t="s">
        <v>718</v>
      </c>
      <c r="K39" s="312"/>
      <c r="L39" s="341"/>
      <c r="M39" s="341" t="s">
        <v>719</v>
      </c>
      <c r="N39" s="370">
        <v>41012</v>
      </c>
      <c r="O39" s="288" t="s">
        <v>53</v>
      </c>
      <c r="P39" s="346">
        <v>28</v>
      </c>
      <c r="Q39" s="346">
        <v>23</v>
      </c>
      <c r="R39" s="346">
        <v>5</v>
      </c>
      <c r="S39" s="347">
        <v>1228</v>
      </c>
      <c r="T39" s="348">
        <v>173</v>
      </c>
      <c r="U39" s="347">
        <v>1977</v>
      </c>
      <c r="V39" s="348">
        <v>266</v>
      </c>
      <c r="W39" s="347">
        <v>2332</v>
      </c>
      <c r="X39" s="348">
        <v>301</v>
      </c>
      <c r="Y39" s="334">
        <f>SUM(S39+U39+W39)</f>
        <v>5537</v>
      </c>
      <c r="Z39" s="338">
        <f>T39+V39+X39</f>
        <v>740</v>
      </c>
      <c r="AA39" s="323">
        <f>IF(Y39&lt;&gt;0,Z39/Q39,"")</f>
        <v>32.17391304347826</v>
      </c>
      <c r="AB39" s="324">
        <f>IF(Y39&lt;&gt;0,Y39/Z39,"")</f>
        <v>7.482432432432432</v>
      </c>
      <c r="AC39" s="334">
        <v>7223</v>
      </c>
      <c r="AD39" s="326">
        <f>IF(AC39&lt;&gt;0,-(AC39-Y39)/AC39,"")</f>
        <v>-0.23342101619825556</v>
      </c>
      <c r="AE39" s="327">
        <f>AG39-Y39</f>
        <v>4067.34</v>
      </c>
      <c r="AF39" s="323">
        <f>AH39-Z39</f>
        <v>607</v>
      </c>
      <c r="AG39" s="378">
        <v>9604.34</v>
      </c>
      <c r="AH39" s="379">
        <v>1347</v>
      </c>
      <c r="AI39" s="326">
        <f>Z39*1/AH39</f>
        <v>0.5493689680772086</v>
      </c>
      <c r="AJ39" s="326">
        <f>AF39*1/AH39</f>
        <v>0.4506310319227914</v>
      </c>
      <c r="AK39" s="323">
        <f>AH39/Q39</f>
        <v>58.56521739130435</v>
      </c>
      <c r="AL39" s="324">
        <f>AG39/AH39</f>
        <v>7.130170749814402</v>
      </c>
      <c r="AM39" s="334">
        <v>13519</v>
      </c>
      <c r="AN39" s="326">
        <f t="shared" si="1"/>
        <v>-0.28956727568607143</v>
      </c>
      <c r="AO39" s="334">
        <f>44660.31+37795.71+16015.5+13519+9604.34</f>
        <v>121594.85999999999</v>
      </c>
      <c r="AP39" s="338">
        <f>5011+4246+2231+1981+1347</f>
        <v>14816</v>
      </c>
      <c r="AQ39" s="329">
        <f t="shared" si="0"/>
        <v>8.206996490280776</v>
      </c>
      <c r="AR39" s="297">
        <v>41040</v>
      </c>
      <c r="AS39" s="293" t="s">
        <v>436</v>
      </c>
      <c r="AT39" s="234"/>
    </row>
    <row r="40" spans="1:46" s="233" customFormat="1" ht="11.25" customHeight="1">
      <c r="A40" s="295" t="s">
        <v>440</v>
      </c>
      <c r="B40" s="236"/>
      <c r="C40" s="236"/>
      <c r="D40" s="293"/>
      <c r="E40" s="293"/>
      <c r="F40" s="236"/>
      <c r="G40" s="293"/>
      <c r="H40" s="236"/>
      <c r="I40" s="293"/>
      <c r="J40" s="555" t="s">
        <v>662</v>
      </c>
      <c r="K40" s="312"/>
      <c r="L40" s="319"/>
      <c r="M40" s="340" t="s">
        <v>664</v>
      </c>
      <c r="N40" s="370">
        <v>40998</v>
      </c>
      <c r="O40" s="288" t="s">
        <v>8</v>
      </c>
      <c r="P40" s="340">
        <v>10</v>
      </c>
      <c r="Q40" s="340">
        <v>10</v>
      </c>
      <c r="R40" s="340">
        <v>6</v>
      </c>
      <c r="S40" s="342">
        <v>1650</v>
      </c>
      <c r="T40" s="343">
        <v>133</v>
      </c>
      <c r="U40" s="342">
        <v>1448</v>
      </c>
      <c r="V40" s="343">
        <v>118</v>
      </c>
      <c r="W40" s="342">
        <v>2220</v>
      </c>
      <c r="X40" s="343">
        <v>180</v>
      </c>
      <c r="Y40" s="334">
        <f>SUM(S40+U40+W40)</f>
        <v>5318</v>
      </c>
      <c r="Z40" s="338">
        <f>T40+V40+X40</f>
        <v>431</v>
      </c>
      <c r="AA40" s="323">
        <f>IF(Y40&lt;&gt;0,Z40/Q40,"")</f>
        <v>43.1</v>
      </c>
      <c r="AB40" s="324">
        <f>IF(Y40&lt;&gt;0,Y40/Z40,"")</f>
        <v>12.338747099767982</v>
      </c>
      <c r="AC40" s="330">
        <v>525</v>
      </c>
      <c r="AD40" s="326">
        <f>IF(AC40&lt;&gt;0,-(AC40-Y40)/AC40,"")</f>
        <v>9.129523809523809</v>
      </c>
      <c r="AE40" s="327">
        <f>AG40-Y40</f>
        <v>4162</v>
      </c>
      <c r="AF40" s="323">
        <f>AH40-Z40</f>
        <v>407</v>
      </c>
      <c r="AG40" s="380">
        <v>9480</v>
      </c>
      <c r="AH40" s="381">
        <v>838</v>
      </c>
      <c r="AI40" s="326">
        <f>Z40*1/AH40</f>
        <v>0.5143198090692124</v>
      </c>
      <c r="AJ40" s="326">
        <f>AF40*1/AH40</f>
        <v>0.48568019093078757</v>
      </c>
      <c r="AK40" s="323">
        <f>AH40/Q40</f>
        <v>83.8</v>
      </c>
      <c r="AL40" s="324">
        <f>AG40/AH40</f>
        <v>11.312649164677804</v>
      </c>
      <c r="AM40" s="334">
        <v>865</v>
      </c>
      <c r="AN40" s="326">
        <f t="shared" si="1"/>
        <v>9.959537572254336</v>
      </c>
      <c r="AO40" s="342">
        <v>60203</v>
      </c>
      <c r="AP40" s="343">
        <v>4788</v>
      </c>
      <c r="AQ40" s="329">
        <f t="shared" si="0"/>
        <v>12.573725981620719</v>
      </c>
      <c r="AR40" s="297">
        <v>41040</v>
      </c>
      <c r="AS40" s="293" t="s">
        <v>784</v>
      </c>
      <c r="AT40" s="234"/>
    </row>
    <row r="41" spans="1:46" s="233" customFormat="1" ht="11.25" customHeight="1">
      <c r="A41" s="295" t="s">
        <v>441</v>
      </c>
      <c r="B41" s="293"/>
      <c r="C41" s="236"/>
      <c r="D41" s="236"/>
      <c r="E41" s="236"/>
      <c r="F41" s="236"/>
      <c r="G41" s="236"/>
      <c r="H41" s="236"/>
      <c r="I41" s="293"/>
      <c r="J41" s="557" t="s">
        <v>768</v>
      </c>
      <c r="K41" s="319"/>
      <c r="L41" s="312" t="s">
        <v>79</v>
      </c>
      <c r="M41" s="340" t="s">
        <v>769</v>
      </c>
      <c r="N41" s="370">
        <v>41026</v>
      </c>
      <c r="O41" s="288" t="s">
        <v>68</v>
      </c>
      <c r="P41" s="312">
        <v>10</v>
      </c>
      <c r="Q41" s="312">
        <v>10</v>
      </c>
      <c r="R41" s="312">
        <v>3</v>
      </c>
      <c r="S41" s="325">
        <v>1002.73</v>
      </c>
      <c r="T41" s="355">
        <v>141</v>
      </c>
      <c r="U41" s="325">
        <v>1420</v>
      </c>
      <c r="V41" s="355">
        <v>182</v>
      </c>
      <c r="W41" s="325">
        <v>2629</v>
      </c>
      <c r="X41" s="355">
        <v>338</v>
      </c>
      <c r="Y41" s="334">
        <f>SUM(S41+U41+W41)</f>
        <v>5051.73</v>
      </c>
      <c r="Z41" s="338">
        <f>T41+V41+X41</f>
        <v>661</v>
      </c>
      <c r="AA41" s="323">
        <f>IF(Y41&lt;&gt;0,Z41/Q41,"")</f>
        <v>66.1</v>
      </c>
      <c r="AB41" s="324">
        <f>IF(Y41&lt;&gt;0,Y41/Z41,"")</f>
        <v>7.642556732223903</v>
      </c>
      <c r="AC41" s="330">
        <v>7459.6900000000005</v>
      </c>
      <c r="AD41" s="326">
        <f>IF(AC41&lt;&gt;0,-(AC41-Y41)/AC41,"")</f>
        <v>-0.32279625560847713</v>
      </c>
      <c r="AE41" s="327">
        <f>AG41-Y41</f>
        <v>3622.960000000001</v>
      </c>
      <c r="AF41" s="323">
        <f>AH41-Z41</f>
        <v>537</v>
      </c>
      <c r="AG41" s="382">
        <v>8674.69</v>
      </c>
      <c r="AH41" s="383">
        <v>1198</v>
      </c>
      <c r="AI41" s="326">
        <f>Z41*1/AH41</f>
        <v>0.5517529215358932</v>
      </c>
      <c r="AJ41" s="326">
        <f>AF41*1/AH41</f>
        <v>0.44824707846410683</v>
      </c>
      <c r="AK41" s="323">
        <f>AH41/Q41</f>
        <v>119.8</v>
      </c>
      <c r="AL41" s="324">
        <f>AG41/AH41</f>
        <v>7.240976627712855</v>
      </c>
      <c r="AM41" s="334">
        <v>13087.2</v>
      </c>
      <c r="AN41" s="326">
        <f t="shared" si="1"/>
        <v>-0.33716226541964667</v>
      </c>
      <c r="AO41" s="328">
        <f>14013.48+13087.2+8674.69</f>
        <v>35775.37</v>
      </c>
      <c r="AP41" s="344">
        <f>1688+1678+1198</f>
        <v>4564</v>
      </c>
      <c r="AQ41" s="329">
        <f t="shared" si="0"/>
        <v>7.838599912357582</v>
      </c>
      <c r="AR41" s="297">
        <v>41040</v>
      </c>
      <c r="AS41" s="293" t="s">
        <v>437</v>
      </c>
      <c r="AT41" s="234"/>
    </row>
    <row r="42" spans="1:46" s="233" customFormat="1" ht="11.25" customHeight="1">
      <c r="A42" s="295" t="s">
        <v>442</v>
      </c>
      <c r="B42" s="293"/>
      <c r="C42" s="236"/>
      <c r="D42" s="236"/>
      <c r="E42" s="236"/>
      <c r="F42" s="236"/>
      <c r="G42" s="236"/>
      <c r="H42" s="236"/>
      <c r="I42" s="293"/>
      <c r="J42" s="557" t="s">
        <v>765</v>
      </c>
      <c r="K42" s="319" t="s">
        <v>118</v>
      </c>
      <c r="L42" s="312" t="s">
        <v>88</v>
      </c>
      <c r="M42" s="340" t="s">
        <v>767</v>
      </c>
      <c r="N42" s="370">
        <v>41026</v>
      </c>
      <c r="O42" s="288" t="s">
        <v>68</v>
      </c>
      <c r="P42" s="312">
        <v>8</v>
      </c>
      <c r="Q42" s="312">
        <v>7</v>
      </c>
      <c r="R42" s="312">
        <v>3</v>
      </c>
      <c r="S42" s="325">
        <v>1402.5</v>
      </c>
      <c r="T42" s="355">
        <v>96</v>
      </c>
      <c r="U42" s="325">
        <v>2117</v>
      </c>
      <c r="V42" s="355">
        <v>146</v>
      </c>
      <c r="W42" s="325">
        <v>2246.5</v>
      </c>
      <c r="X42" s="355">
        <v>159</v>
      </c>
      <c r="Y42" s="334">
        <f>SUM(S42+U42+W42)</f>
        <v>5766</v>
      </c>
      <c r="Z42" s="338">
        <f>T42+V42+X42</f>
        <v>401</v>
      </c>
      <c r="AA42" s="323">
        <f>IF(Y42&lt;&gt;0,Z42/Q42,"")</f>
        <v>57.285714285714285</v>
      </c>
      <c r="AB42" s="324">
        <f>IF(Y42&lt;&gt;0,Y42/Z42,"")</f>
        <v>14.379052369077307</v>
      </c>
      <c r="AC42" s="330">
        <v>15335.5</v>
      </c>
      <c r="AD42" s="326">
        <f>IF(AC42&lt;&gt;0,-(AC42-Y42)/AC42,"")</f>
        <v>-0.6240096508102116</v>
      </c>
      <c r="AE42" s="327">
        <f>AG42-Y42</f>
        <v>2582</v>
      </c>
      <c r="AF42" s="323">
        <f>AH42-Z42</f>
        <v>227</v>
      </c>
      <c r="AG42" s="382">
        <v>8348</v>
      </c>
      <c r="AH42" s="383">
        <v>628</v>
      </c>
      <c r="AI42" s="326">
        <f>Z42*1/AH42</f>
        <v>0.6385350318471338</v>
      </c>
      <c r="AJ42" s="326">
        <f>AF42*1/AH42</f>
        <v>0.3614649681528662</v>
      </c>
      <c r="AK42" s="323">
        <f>AH42/Q42</f>
        <v>89.71428571428571</v>
      </c>
      <c r="AL42" s="324">
        <f>AG42/AH42</f>
        <v>13.292993630573248</v>
      </c>
      <c r="AM42" s="334">
        <v>36947.5</v>
      </c>
      <c r="AN42" s="326">
        <f t="shared" si="1"/>
        <v>-0.7740577846944989</v>
      </c>
      <c r="AO42" s="328">
        <f>35667+36947.5+8348</f>
        <v>80962.5</v>
      </c>
      <c r="AP42" s="344">
        <f>2361+2711+628</f>
        <v>5700</v>
      </c>
      <c r="AQ42" s="329">
        <f t="shared" si="0"/>
        <v>14.203947368421053</v>
      </c>
      <c r="AR42" s="297">
        <v>41040</v>
      </c>
      <c r="AS42" s="293" t="s">
        <v>426</v>
      </c>
      <c r="AT42" s="234"/>
    </row>
    <row r="43" spans="1:46" s="233" customFormat="1" ht="11.25" customHeight="1">
      <c r="A43" s="295" t="s">
        <v>443</v>
      </c>
      <c r="B43" s="236"/>
      <c r="C43" s="236" t="s">
        <v>223</v>
      </c>
      <c r="D43" s="236"/>
      <c r="E43" s="236"/>
      <c r="F43" s="236"/>
      <c r="G43" s="236"/>
      <c r="H43" s="236"/>
      <c r="I43" s="293"/>
      <c r="J43" s="557" t="s">
        <v>692</v>
      </c>
      <c r="K43" s="312"/>
      <c r="L43" s="319"/>
      <c r="M43" s="340" t="s">
        <v>691</v>
      </c>
      <c r="N43" s="370">
        <v>41005</v>
      </c>
      <c r="O43" s="288" t="s">
        <v>68</v>
      </c>
      <c r="P43" s="312">
        <v>40</v>
      </c>
      <c r="Q43" s="312">
        <v>4</v>
      </c>
      <c r="R43" s="312">
        <v>6</v>
      </c>
      <c r="S43" s="325">
        <v>916.5</v>
      </c>
      <c r="T43" s="355">
        <v>93</v>
      </c>
      <c r="U43" s="325">
        <v>1551</v>
      </c>
      <c r="V43" s="355">
        <v>149</v>
      </c>
      <c r="W43" s="325">
        <v>1736.5</v>
      </c>
      <c r="X43" s="355">
        <v>174</v>
      </c>
      <c r="Y43" s="334">
        <f>SUM(S43+U43+W43)</f>
        <v>4204</v>
      </c>
      <c r="Z43" s="338">
        <f>T43+V43+X43</f>
        <v>416</v>
      </c>
      <c r="AA43" s="323">
        <f>IF(Y43&lt;&gt;0,Z43/Q43,"")</f>
        <v>104</v>
      </c>
      <c r="AB43" s="324">
        <f>IF(Y43&lt;&gt;0,Y43/Z43,"")</f>
        <v>10.10576923076923</v>
      </c>
      <c r="AC43" s="330">
        <v>20006.5</v>
      </c>
      <c r="AD43" s="326">
        <f>IF(AC43&lt;&gt;0,-(AC43-Y43)/AC43,"")</f>
        <v>-0.7898682928048384</v>
      </c>
      <c r="AE43" s="327">
        <f>AG43-Y43</f>
        <v>3842.5</v>
      </c>
      <c r="AF43" s="323">
        <f>AH43-Z43</f>
        <v>439</v>
      </c>
      <c r="AG43" s="382">
        <v>8046.5</v>
      </c>
      <c r="AH43" s="383">
        <v>855</v>
      </c>
      <c r="AI43" s="326">
        <f>Z43*1/AH43</f>
        <v>0.4865497076023392</v>
      </c>
      <c r="AJ43" s="326">
        <f>AF43*1/AH43</f>
        <v>0.5134502923976608</v>
      </c>
      <c r="AK43" s="323">
        <f>AH43/Q43</f>
        <v>213.75</v>
      </c>
      <c r="AL43" s="324">
        <f>AG43/AH43</f>
        <v>9.411111111111111</v>
      </c>
      <c r="AM43" s="334">
        <v>37113</v>
      </c>
      <c r="AN43" s="326">
        <f t="shared" si="1"/>
        <v>-0.7831891789938835</v>
      </c>
      <c r="AO43" s="328">
        <f>438778.5+285271+189207.75+143359.5+37113+8046.5</f>
        <v>1101776.25</v>
      </c>
      <c r="AP43" s="344">
        <f>40116+24564+16370+13166+3403+855</f>
        <v>98474</v>
      </c>
      <c r="AQ43" s="329">
        <f t="shared" si="0"/>
        <v>11.188498994658488</v>
      </c>
      <c r="AR43" s="297">
        <v>41040</v>
      </c>
      <c r="AS43" s="293" t="s">
        <v>425</v>
      </c>
      <c r="AT43" s="234"/>
    </row>
    <row r="44" spans="1:46" s="233" customFormat="1" ht="11.25" customHeight="1">
      <c r="A44" s="295" t="s">
        <v>444</v>
      </c>
      <c r="B44" s="236"/>
      <c r="C44" s="236"/>
      <c r="D44" s="236"/>
      <c r="E44" s="236"/>
      <c r="F44" s="236"/>
      <c r="G44" s="236"/>
      <c r="H44" s="236"/>
      <c r="I44" s="236" t="s">
        <v>54</v>
      </c>
      <c r="J44" s="560" t="s">
        <v>689</v>
      </c>
      <c r="K44" s="340"/>
      <c r="L44" s="312"/>
      <c r="M44" s="288" t="s">
        <v>689</v>
      </c>
      <c r="N44" s="369">
        <v>41005</v>
      </c>
      <c r="O44" s="288" t="s">
        <v>53</v>
      </c>
      <c r="P44" s="346">
        <v>80</v>
      </c>
      <c r="Q44" s="346">
        <v>7</v>
      </c>
      <c r="R44" s="346">
        <v>6</v>
      </c>
      <c r="S44" s="347">
        <v>1762</v>
      </c>
      <c r="T44" s="348">
        <v>305</v>
      </c>
      <c r="U44" s="347">
        <v>1800.5</v>
      </c>
      <c r="V44" s="348">
        <v>308</v>
      </c>
      <c r="W44" s="347">
        <v>2459</v>
      </c>
      <c r="X44" s="348">
        <v>420</v>
      </c>
      <c r="Y44" s="334">
        <f>SUM(S44+U44+W44)</f>
        <v>6021.5</v>
      </c>
      <c r="Z44" s="338">
        <f>T44+V44+X44</f>
        <v>1033</v>
      </c>
      <c r="AA44" s="323">
        <f>IF(Y44&lt;&gt;0,Z44/Q44,"")</f>
        <v>147.57142857142858</v>
      </c>
      <c r="AB44" s="324">
        <f>IF(Y44&lt;&gt;0,Y44/Z44,"")</f>
        <v>5.829138431752178</v>
      </c>
      <c r="AC44" s="334">
        <v>8265.5</v>
      </c>
      <c r="AD44" s="326">
        <f>IF(AC44&lt;&gt;0,-(AC44-Y44)/AC44,"")</f>
        <v>-0.27148992801403427</v>
      </c>
      <c r="AE44" s="327">
        <f>AG44-Y44</f>
        <v>1282.5</v>
      </c>
      <c r="AF44" s="323">
        <f>AH44-Z44</f>
        <v>175</v>
      </c>
      <c r="AG44" s="378">
        <v>7304</v>
      </c>
      <c r="AH44" s="379">
        <v>1208</v>
      </c>
      <c r="AI44" s="326">
        <f>Z44*1/AH44</f>
        <v>0.8551324503311258</v>
      </c>
      <c r="AJ44" s="326">
        <f>AF44*1/AH44</f>
        <v>0.14486754966887416</v>
      </c>
      <c r="AK44" s="323">
        <f>AH44/Q44</f>
        <v>172.57142857142858</v>
      </c>
      <c r="AL44" s="324">
        <f>AG44/AH44</f>
        <v>6.046357615894039</v>
      </c>
      <c r="AM44" s="334">
        <v>10951.5</v>
      </c>
      <c r="AN44" s="326">
        <f t="shared" si="1"/>
        <v>-0.33305939825594666</v>
      </c>
      <c r="AO44" s="334">
        <f>211710.1+106331.38+49223.93+25731.34+10951.5+7304</f>
        <v>411252.25</v>
      </c>
      <c r="AP44" s="338">
        <f>27542+13996+6947+3731+1656+1208</f>
        <v>55080</v>
      </c>
      <c r="AQ44" s="329">
        <f t="shared" si="0"/>
        <v>7.466453340595497</v>
      </c>
      <c r="AR44" s="297">
        <v>41040</v>
      </c>
      <c r="AS44" s="293" t="s">
        <v>439</v>
      </c>
      <c r="AT44" s="234"/>
    </row>
    <row r="45" spans="1:46" s="233" customFormat="1" ht="11.25" customHeight="1">
      <c r="A45" s="295" t="s">
        <v>445</v>
      </c>
      <c r="B45" s="293"/>
      <c r="C45" s="236"/>
      <c r="D45" s="236"/>
      <c r="E45" s="293"/>
      <c r="F45" s="236"/>
      <c r="G45" s="293"/>
      <c r="H45" s="236"/>
      <c r="I45" s="293"/>
      <c r="J45" s="558" t="s">
        <v>720</v>
      </c>
      <c r="K45" s="312" t="s">
        <v>743</v>
      </c>
      <c r="L45" s="341" t="s">
        <v>169</v>
      </c>
      <c r="M45" s="341" t="s">
        <v>716</v>
      </c>
      <c r="N45" s="370">
        <v>41012</v>
      </c>
      <c r="O45" s="288" t="s">
        <v>8</v>
      </c>
      <c r="P45" s="340">
        <v>72</v>
      </c>
      <c r="Q45" s="340">
        <v>22</v>
      </c>
      <c r="R45" s="340">
        <v>5</v>
      </c>
      <c r="S45" s="342">
        <v>1013</v>
      </c>
      <c r="T45" s="343">
        <v>134</v>
      </c>
      <c r="U45" s="342">
        <v>1389</v>
      </c>
      <c r="V45" s="343">
        <v>187</v>
      </c>
      <c r="W45" s="342">
        <v>2200</v>
      </c>
      <c r="X45" s="343">
        <v>281</v>
      </c>
      <c r="Y45" s="334">
        <f>SUM(S45+U45+W45)</f>
        <v>4602</v>
      </c>
      <c r="Z45" s="338">
        <f>T45+V45+X45</f>
        <v>602</v>
      </c>
      <c r="AA45" s="323">
        <f>IF(Y45&lt;&gt;0,Z45/Q45,"")</f>
        <v>27.363636363636363</v>
      </c>
      <c r="AB45" s="324">
        <f>IF(Y45&lt;&gt;0,Y45/Z45,"")</f>
        <v>7.644518272425249</v>
      </c>
      <c r="AC45" s="334">
        <v>6581</v>
      </c>
      <c r="AD45" s="326">
        <f>IF(AC45&lt;&gt;0,-(AC45-Y45)/AC45,"")</f>
        <v>-0.3007141771767209</v>
      </c>
      <c r="AE45" s="327">
        <f>AG45-Y45</f>
        <v>2345</v>
      </c>
      <c r="AF45" s="323">
        <f>AH45-Z45</f>
        <v>344</v>
      </c>
      <c r="AG45" s="380">
        <v>6947</v>
      </c>
      <c r="AH45" s="381">
        <v>946</v>
      </c>
      <c r="AI45" s="326">
        <f>Z45*1/AH45</f>
        <v>0.6363636363636364</v>
      </c>
      <c r="AJ45" s="326">
        <f>AF45*1/AH45</f>
        <v>0.36363636363636365</v>
      </c>
      <c r="AK45" s="323">
        <f>AH45/Q45</f>
        <v>43</v>
      </c>
      <c r="AL45" s="324">
        <f>AG45/AH45</f>
        <v>7.343551797040169</v>
      </c>
      <c r="AM45" s="334">
        <v>10335</v>
      </c>
      <c r="AN45" s="326">
        <f t="shared" si="1"/>
        <v>-0.3278180938558297</v>
      </c>
      <c r="AO45" s="342">
        <v>358987</v>
      </c>
      <c r="AP45" s="343">
        <v>34663</v>
      </c>
      <c r="AQ45" s="329">
        <f t="shared" si="0"/>
        <v>10.35648962871073</v>
      </c>
      <c r="AR45" s="297">
        <v>41040</v>
      </c>
      <c r="AS45" s="293" t="s">
        <v>441</v>
      </c>
      <c r="AT45" s="235"/>
    </row>
    <row r="46" spans="1:46" s="233" customFormat="1" ht="11.25" customHeight="1">
      <c r="A46" s="295" t="s">
        <v>446</v>
      </c>
      <c r="B46" s="236"/>
      <c r="C46" s="236"/>
      <c r="D46" s="236"/>
      <c r="E46" s="236"/>
      <c r="F46" s="236">
        <v>2</v>
      </c>
      <c r="G46" s="236"/>
      <c r="H46" s="236"/>
      <c r="I46" s="236"/>
      <c r="J46" s="557" t="s">
        <v>728</v>
      </c>
      <c r="K46" s="340" t="s">
        <v>819</v>
      </c>
      <c r="L46" s="312" t="s">
        <v>94</v>
      </c>
      <c r="M46" s="288" t="s">
        <v>726</v>
      </c>
      <c r="N46" s="370">
        <v>41019</v>
      </c>
      <c r="O46" s="288" t="s">
        <v>52</v>
      </c>
      <c r="P46" s="312">
        <v>6</v>
      </c>
      <c r="Q46" s="312">
        <v>6</v>
      </c>
      <c r="R46" s="312">
        <v>4</v>
      </c>
      <c r="S46" s="334">
        <v>726</v>
      </c>
      <c r="T46" s="338">
        <v>83</v>
      </c>
      <c r="U46" s="334">
        <v>772</v>
      </c>
      <c r="V46" s="338">
        <v>85</v>
      </c>
      <c r="W46" s="334">
        <v>2000</v>
      </c>
      <c r="X46" s="338">
        <v>217</v>
      </c>
      <c r="Y46" s="334">
        <f>SUM(S46+U46+W46)</f>
        <v>3498</v>
      </c>
      <c r="Z46" s="338">
        <f>T46+V46+X46</f>
        <v>385</v>
      </c>
      <c r="AA46" s="323">
        <f>IF(Y46&lt;&gt;0,Z46/Q46,"")</f>
        <v>64.16666666666667</v>
      </c>
      <c r="AB46" s="324">
        <f>IF(Y46&lt;&gt;0,Y46/Z46,"")</f>
        <v>9.085714285714285</v>
      </c>
      <c r="AC46" s="330">
        <v>1764</v>
      </c>
      <c r="AD46" s="326">
        <f>IF(AC46&lt;&gt;0,-(AC46-Y46)/AC46,"")</f>
        <v>0.9829931972789115</v>
      </c>
      <c r="AE46" s="327">
        <f>AG46-Y46</f>
        <v>3384</v>
      </c>
      <c r="AF46" s="323">
        <f>AH46-Z46</f>
        <v>410</v>
      </c>
      <c r="AG46" s="378">
        <v>6882</v>
      </c>
      <c r="AH46" s="379">
        <v>795</v>
      </c>
      <c r="AI46" s="326">
        <f>Z46*1/AH46</f>
        <v>0.48427672955974843</v>
      </c>
      <c r="AJ46" s="326">
        <f>AF46*1/AH46</f>
        <v>0.5157232704402516</v>
      </c>
      <c r="AK46" s="323">
        <f>AH46/Q46</f>
        <v>132.5</v>
      </c>
      <c r="AL46" s="324">
        <f>AG46/AH46</f>
        <v>8.656603773584905</v>
      </c>
      <c r="AM46" s="334">
        <v>3389</v>
      </c>
      <c r="AN46" s="326">
        <f t="shared" si="1"/>
        <v>1.0306875184420183</v>
      </c>
      <c r="AO46" s="334">
        <v>32063.08</v>
      </c>
      <c r="AP46" s="338">
        <v>3912</v>
      </c>
      <c r="AQ46" s="329">
        <f t="shared" si="0"/>
        <v>8.196083844580777</v>
      </c>
      <c r="AR46" s="297">
        <v>41040</v>
      </c>
      <c r="AS46" s="293" t="s">
        <v>457</v>
      </c>
      <c r="AT46" s="235"/>
    </row>
    <row r="47" spans="1:46" s="233" customFormat="1" ht="11.25" customHeight="1">
      <c r="A47" s="295" t="s">
        <v>447</v>
      </c>
      <c r="B47" s="236"/>
      <c r="C47" s="236"/>
      <c r="D47" s="293"/>
      <c r="E47" s="293"/>
      <c r="F47" s="236"/>
      <c r="G47" s="293"/>
      <c r="H47" s="236"/>
      <c r="I47" s="236"/>
      <c r="J47" s="560" t="s">
        <v>640</v>
      </c>
      <c r="K47" s="312" t="s">
        <v>737</v>
      </c>
      <c r="L47" s="312" t="s">
        <v>738</v>
      </c>
      <c r="M47" s="288" t="s">
        <v>641</v>
      </c>
      <c r="N47" s="369">
        <v>40991</v>
      </c>
      <c r="O47" s="288" t="s">
        <v>324</v>
      </c>
      <c r="P47" s="312">
        <v>65</v>
      </c>
      <c r="Q47" s="312">
        <v>6</v>
      </c>
      <c r="R47" s="312">
        <v>8</v>
      </c>
      <c r="S47" s="321">
        <v>1340</v>
      </c>
      <c r="T47" s="322">
        <v>246</v>
      </c>
      <c r="U47" s="321">
        <v>1582</v>
      </c>
      <c r="V47" s="322">
        <v>274</v>
      </c>
      <c r="W47" s="321">
        <v>1664</v>
      </c>
      <c r="X47" s="322">
        <v>283</v>
      </c>
      <c r="Y47" s="334">
        <f>SUM(S47+U47+W47)</f>
        <v>4586</v>
      </c>
      <c r="Z47" s="338">
        <f>T47+V47+X47</f>
        <v>803</v>
      </c>
      <c r="AA47" s="323">
        <f>IF(Y47&lt;&gt;0,Z47/Q47,"")</f>
        <v>133.83333333333334</v>
      </c>
      <c r="AB47" s="324">
        <f>IF(Y47&lt;&gt;0,Y47/Z47,"")</f>
        <v>5.711083437110834</v>
      </c>
      <c r="AC47" s="325">
        <v>2151</v>
      </c>
      <c r="AD47" s="326">
        <f>IF(AC47&lt;&gt;0,-(AC47-Y47)/AC47,"")</f>
        <v>1.1320316132031614</v>
      </c>
      <c r="AE47" s="327">
        <f>AG47-Y47</f>
        <v>1411</v>
      </c>
      <c r="AF47" s="323">
        <f>AH47-Z47</f>
        <v>209</v>
      </c>
      <c r="AG47" s="386">
        <v>5997</v>
      </c>
      <c r="AH47" s="387">
        <v>1012</v>
      </c>
      <c r="AI47" s="326">
        <f>Z47*1/AH47</f>
        <v>0.7934782608695652</v>
      </c>
      <c r="AJ47" s="326">
        <f>AF47*1/AH47</f>
        <v>0.20652173913043478</v>
      </c>
      <c r="AK47" s="323">
        <f>AH47/Q47</f>
        <v>168.66666666666666</v>
      </c>
      <c r="AL47" s="324">
        <f>AG47/AH47</f>
        <v>5.925889328063241</v>
      </c>
      <c r="AM47" s="328">
        <v>3673.5</v>
      </c>
      <c r="AN47" s="326">
        <f t="shared" si="1"/>
        <v>0.6325030624744794</v>
      </c>
      <c r="AO47" s="321">
        <v>630495.41</v>
      </c>
      <c r="AP47" s="322">
        <v>60330</v>
      </c>
      <c r="AQ47" s="329">
        <f t="shared" si="0"/>
        <v>10.450777556771094</v>
      </c>
      <c r="AR47" s="297">
        <v>41040</v>
      </c>
      <c r="AS47" s="293" t="s">
        <v>455</v>
      </c>
      <c r="AT47" s="235"/>
    </row>
    <row r="48" spans="1:46" s="233" customFormat="1" ht="11.25" customHeight="1">
      <c r="A48" s="295" t="s">
        <v>448</v>
      </c>
      <c r="B48" s="293"/>
      <c r="C48" s="236"/>
      <c r="D48" s="236"/>
      <c r="E48" s="236"/>
      <c r="F48" s="236"/>
      <c r="G48" s="236"/>
      <c r="H48" s="236"/>
      <c r="I48" s="236"/>
      <c r="J48" s="552" t="s">
        <v>516</v>
      </c>
      <c r="K48" s="312"/>
      <c r="L48" s="340"/>
      <c r="M48" s="339" t="s">
        <v>518</v>
      </c>
      <c r="N48" s="369">
        <v>40949</v>
      </c>
      <c r="O48" s="288" t="s">
        <v>12</v>
      </c>
      <c r="P48" s="312">
        <v>73</v>
      </c>
      <c r="Q48" s="312">
        <v>7</v>
      </c>
      <c r="R48" s="312">
        <v>14</v>
      </c>
      <c r="S48" s="347">
        <v>534</v>
      </c>
      <c r="T48" s="348">
        <v>82</v>
      </c>
      <c r="U48" s="347">
        <v>634</v>
      </c>
      <c r="V48" s="348">
        <v>91</v>
      </c>
      <c r="W48" s="347">
        <v>1253</v>
      </c>
      <c r="X48" s="348">
        <v>179</v>
      </c>
      <c r="Y48" s="334">
        <f>SUM(S48+U48+W48)</f>
        <v>2421</v>
      </c>
      <c r="Z48" s="338">
        <f>T48+V48+X48</f>
        <v>352</v>
      </c>
      <c r="AA48" s="323">
        <f>IF(Y48&lt;&gt;0,Z48/Q48,"")</f>
        <v>50.285714285714285</v>
      </c>
      <c r="AB48" s="324">
        <f>IF(Y48&lt;&gt;0,Y48/Z48,"")</f>
        <v>6.877840909090909</v>
      </c>
      <c r="AC48" s="330">
        <v>473</v>
      </c>
      <c r="AD48" s="326">
        <f>IF(AC48&lt;&gt;0,-(AC48-Y48)/AC48,"")</f>
        <v>4.118393234672304</v>
      </c>
      <c r="AE48" s="327">
        <f>AG48-Y48</f>
        <v>2976</v>
      </c>
      <c r="AF48" s="323">
        <f>AH48-Z48</f>
        <v>486</v>
      </c>
      <c r="AG48" s="378">
        <v>5397</v>
      </c>
      <c r="AH48" s="379">
        <v>838</v>
      </c>
      <c r="AI48" s="326">
        <f>Z48*1/AH48</f>
        <v>0.4200477326968974</v>
      </c>
      <c r="AJ48" s="326">
        <f>AF48*1/AH48</f>
        <v>0.5799522673031027</v>
      </c>
      <c r="AK48" s="323">
        <f>AH48/Q48</f>
        <v>119.71428571428571</v>
      </c>
      <c r="AL48" s="324">
        <f>AG48/AH48</f>
        <v>6.440334128878281</v>
      </c>
      <c r="AM48" s="328">
        <v>858</v>
      </c>
      <c r="AN48" s="326">
        <f t="shared" si="1"/>
        <v>5.29020979020979</v>
      </c>
      <c r="AO48" s="334">
        <v>928426</v>
      </c>
      <c r="AP48" s="338">
        <v>85450</v>
      </c>
      <c r="AQ48" s="329">
        <f t="shared" si="0"/>
        <v>10.865137507314218</v>
      </c>
      <c r="AR48" s="297">
        <v>41040</v>
      </c>
      <c r="AS48" s="293" t="s">
        <v>785</v>
      </c>
      <c r="AT48" s="235"/>
    </row>
    <row r="49" spans="1:46" s="233" customFormat="1" ht="11.25" customHeight="1">
      <c r="A49" s="295" t="s">
        <v>449</v>
      </c>
      <c r="B49" s="236"/>
      <c r="C49" s="236"/>
      <c r="D49" s="236"/>
      <c r="E49" s="236"/>
      <c r="F49" s="236"/>
      <c r="G49" s="236"/>
      <c r="H49" s="236"/>
      <c r="I49" s="236"/>
      <c r="J49" s="557" t="s">
        <v>581</v>
      </c>
      <c r="K49" s="312"/>
      <c r="L49" s="340"/>
      <c r="M49" s="340" t="s">
        <v>582</v>
      </c>
      <c r="N49" s="370">
        <v>40970</v>
      </c>
      <c r="O49" s="288" t="s">
        <v>68</v>
      </c>
      <c r="P49" s="312">
        <v>100</v>
      </c>
      <c r="Q49" s="312">
        <v>4</v>
      </c>
      <c r="R49" s="312">
        <v>10</v>
      </c>
      <c r="S49" s="325">
        <v>0</v>
      </c>
      <c r="T49" s="355">
        <v>0</v>
      </c>
      <c r="U49" s="325">
        <v>0</v>
      </c>
      <c r="V49" s="355">
        <v>0</v>
      </c>
      <c r="W49" s="325">
        <v>0</v>
      </c>
      <c r="X49" s="355">
        <v>0</v>
      </c>
      <c r="Y49" s="334">
        <f>SUM(S49+U49+W49)</f>
        <v>0</v>
      </c>
      <c r="Z49" s="338">
        <f>T49+V49+X49</f>
        <v>0</v>
      </c>
      <c r="AA49" s="323">
        <f>IF(Y49&lt;&gt;0,Z49/Q49,"")</f>
      </c>
      <c r="AB49" s="324">
        <f>IF(Y49&lt;&gt;0,Y49/Z49,"")</f>
      </c>
      <c r="AC49" s="330">
        <v>0</v>
      </c>
      <c r="AD49" s="326">
        <f>IF(AC49&lt;&gt;0,-(AC49-Y49)/AC49,"")</f>
      </c>
      <c r="AE49" s="327">
        <f>AG49-Y49</f>
        <v>4760.5</v>
      </c>
      <c r="AF49" s="323">
        <f>AH49-Z49</f>
        <v>881</v>
      </c>
      <c r="AG49" s="382">
        <v>4760.5</v>
      </c>
      <c r="AH49" s="383">
        <v>881</v>
      </c>
      <c r="AI49" s="326">
        <f>Z49*1/AH49</f>
        <v>0</v>
      </c>
      <c r="AJ49" s="326">
        <f>AF49*1/AH49</f>
        <v>1</v>
      </c>
      <c r="AK49" s="323">
        <f>AH49/Q49</f>
        <v>220.25</v>
      </c>
      <c r="AL49" s="324">
        <f>AG49/AH49</f>
        <v>5.4035187287173665</v>
      </c>
      <c r="AM49" s="334">
        <v>9986</v>
      </c>
      <c r="AN49" s="326">
        <f t="shared" si="1"/>
        <v>-0.5232825956338875</v>
      </c>
      <c r="AO49" s="328">
        <f>141737.5+69212.99+17385.27+12661+9645+4953+1221.5</f>
        <v>256816.25999999998</v>
      </c>
      <c r="AP49" s="344">
        <f>15777+8169+2548+1919+1615+842+213</f>
        <v>31083</v>
      </c>
      <c r="AQ49" s="329">
        <f t="shared" si="0"/>
        <v>8.262273911784575</v>
      </c>
      <c r="AR49" s="297">
        <v>41040</v>
      </c>
      <c r="AS49" s="293" t="s">
        <v>306</v>
      </c>
      <c r="AT49" s="235"/>
    </row>
    <row r="50" spans="1:46" s="233" customFormat="1" ht="11.25" customHeight="1">
      <c r="A50" s="295" t="s">
        <v>450</v>
      </c>
      <c r="B50" s="236"/>
      <c r="C50" s="236"/>
      <c r="D50" s="236"/>
      <c r="E50" s="236"/>
      <c r="F50" s="236"/>
      <c r="G50" s="236"/>
      <c r="H50" s="236"/>
      <c r="I50" s="236" t="s">
        <v>54</v>
      </c>
      <c r="J50" s="552" t="s">
        <v>583</v>
      </c>
      <c r="K50" s="340"/>
      <c r="L50" s="312"/>
      <c r="M50" s="339" t="s">
        <v>583</v>
      </c>
      <c r="N50" s="369">
        <v>40970</v>
      </c>
      <c r="O50" s="288" t="s">
        <v>12</v>
      </c>
      <c r="P50" s="312">
        <v>285</v>
      </c>
      <c r="Q50" s="312">
        <v>10</v>
      </c>
      <c r="R50" s="312">
        <v>11</v>
      </c>
      <c r="S50" s="347">
        <v>439</v>
      </c>
      <c r="T50" s="348">
        <v>74</v>
      </c>
      <c r="U50" s="347">
        <v>826</v>
      </c>
      <c r="V50" s="348">
        <v>100</v>
      </c>
      <c r="W50" s="347">
        <v>1219</v>
      </c>
      <c r="X50" s="348">
        <v>143</v>
      </c>
      <c r="Y50" s="334">
        <f>SUM(S50+U50+W50)</f>
        <v>2484</v>
      </c>
      <c r="Z50" s="338">
        <f>T50+V50+X50</f>
        <v>317</v>
      </c>
      <c r="AA50" s="323">
        <f>IF(Y50&lt;&gt;0,Z50/Q50,"")</f>
        <v>31.7</v>
      </c>
      <c r="AB50" s="324">
        <f>IF(Y50&lt;&gt;0,Y50/Z50,"")</f>
        <v>7.83596214511041</v>
      </c>
      <c r="AC50" s="330">
        <v>6173</v>
      </c>
      <c r="AD50" s="326">
        <f>IF(AC50&lt;&gt;0,-(AC50-Y50)/AC50,"")</f>
        <v>-0.5976024623359792</v>
      </c>
      <c r="AE50" s="327">
        <f>AG50-Y50</f>
        <v>2172</v>
      </c>
      <c r="AF50" s="323">
        <f>AH50-Z50</f>
        <v>360</v>
      </c>
      <c r="AG50" s="378">
        <v>4656</v>
      </c>
      <c r="AH50" s="379">
        <v>677</v>
      </c>
      <c r="AI50" s="326">
        <f>Z50*1/AH50</f>
        <v>0.46824224519940916</v>
      </c>
      <c r="AJ50" s="326">
        <f>AF50*1/AH50</f>
        <v>0.5317577548005908</v>
      </c>
      <c r="AK50" s="323">
        <f>AH50/Q50</f>
        <v>67.7</v>
      </c>
      <c r="AL50" s="324">
        <f>AG50/AH50</f>
        <v>6.8774002954209745</v>
      </c>
      <c r="AM50" s="328">
        <v>10271</v>
      </c>
      <c r="AN50" s="326">
        <f t="shared" si="1"/>
        <v>-0.5466848408139422</v>
      </c>
      <c r="AO50" s="334">
        <v>14183238</v>
      </c>
      <c r="AP50" s="338">
        <v>1587352</v>
      </c>
      <c r="AQ50" s="329">
        <f t="shared" si="0"/>
        <v>8.935156159440377</v>
      </c>
      <c r="AR50" s="297">
        <v>41040</v>
      </c>
      <c r="AS50" s="293" t="s">
        <v>442</v>
      </c>
      <c r="AT50" s="235"/>
    </row>
    <row r="51" spans="1:46" s="233" customFormat="1" ht="11.25" customHeight="1">
      <c r="A51" s="295" t="s">
        <v>451</v>
      </c>
      <c r="B51" s="236"/>
      <c r="C51" s="236"/>
      <c r="D51" s="236"/>
      <c r="E51" s="236"/>
      <c r="F51" s="236"/>
      <c r="G51" s="236"/>
      <c r="H51" s="236"/>
      <c r="I51" s="236"/>
      <c r="J51" s="552" t="s">
        <v>194</v>
      </c>
      <c r="K51" s="312"/>
      <c r="L51" s="319"/>
      <c r="M51" s="339" t="s">
        <v>171</v>
      </c>
      <c r="N51" s="369">
        <v>40907</v>
      </c>
      <c r="O51" s="288" t="s">
        <v>68</v>
      </c>
      <c r="P51" s="312">
        <v>19</v>
      </c>
      <c r="Q51" s="312">
        <v>1</v>
      </c>
      <c r="R51" s="312">
        <v>3</v>
      </c>
      <c r="S51" s="325">
        <v>0</v>
      </c>
      <c r="T51" s="355">
        <v>0</v>
      </c>
      <c r="U51" s="325">
        <v>0</v>
      </c>
      <c r="V51" s="355">
        <v>0</v>
      </c>
      <c r="W51" s="325">
        <v>0</v>
      </c>
      <c r="X51" s="355">
        <v>0</v>
      </c>
      <c r="Y51" s="334">
        <f>SUM(S51+U51+W51)</f>
        <v>0</v>
      </c>
      <c r="Z51" s="338">
        <f>T51+V51+X51</f>
        <v>0</v>
      </c>
      <c r="AA51" s="323">
        <f>IF(Y51&lt;&gt;0,Z51/Q51,"")</f>
      </c>
      <c r="AB51" s="324">
        <f>IF(Y51&lt;&gt;0,Y51/Z51,"")</f>
      </c>
      <c r="AC51" s="330">
        <v>0</v>
      </c>
      <c r="AD51" s="326">
        <f>IF(AC51&lt;&gt;0,-(AC51-Y51)/AC51,"")</f>
      </c>
      <c r="AE51" s="327">
        <f>AG51-Y51</f>
        <v>3801.5</v>
      </c>
      <c r="AF51" s="323">
        <f>AH51-Z51</f>
        <v>760</v>
      </c>
      <c r="AG51" s="382">
        <v>3801.5</v>
      </c>
      <c r="AH51" s="383">
        <v>760</v>
      </c>
      <c r="AI51" s="326">
        <f>Z51*1/AH51</f>
        <v>0</v>
      </c>
      <c r="AJ51" s="326">
        <f>AF51*1/AH51</f>
        <v>1</v>
      </c>
      <c r="AK51" s="323">
        <f>AH51/Q51</f>
        <v>760</v>
      </c>
      <c r="AL51" s="324">
        <f>AG51/AH51</f>
        <v>5.001973684210526</v>
      </c>
      <c r="AM51" s="328"/>
      <c r="AN51" s="326">
        <f t="shared" si="1"/>
      </c>
      <c r="AO51" s="328">
        <f>108631+115157+28332.5+21104.5+2954+17358.36+18153+140+9001.5+242+1826+554+3801.5</f>
        <v>327255.36</v>
      </c>
      <c r="AP51" s="344">
        <f>8552+8628+2468+2132+301+2376+2114+19+1177+28+248+58+760</f>
        <v>28861</v>
      </c>
      <c r="AQ51" s="329">
        <f t="shared" si="0"/>
        <v>11.339016666089186</v>
      </c>
      <c r="AR51" s="297">
        <v>41040</v>
      </c>
      <c r="AS51" s="293"/>
      <c r="AT51" s="235"/>
    </row>
    <row r="52" spans="1:46" s="233" customFormat="1" ht="11.25" customHeight="1">
      <c r="A52" s="295" t="s">
        <v>452</v>
      </c>
      <c r="B52" s="236"/>
      <c r="C52" s="236"/>
      <c r="D52" s="236"/>
      <c r="E52" s="236"/>
      <c r="F52" s="236"/>
      <c r="G52" s="236"/>
      <c r="H52" s="236"/>
      <c r="I52" s="236" t="s">
        <v>54</v>
      </c>
      <c r="J52" s="557" t="s">
        <v>642</v>
      </c>
      <c r="K52" s="340" t="s">
        <v>643</v>
      </c>
      <c r="L52" s="312"/>
      <c r="M52" s="288" t="s">
        <v>642</v>
      </c>
      <c r="N52" s="370">
        <v>40991</v>
      </c>
      <c r="O52" s="288" t="s">
        <v>52</v>
      </c>
      <c r="P52" s="312">
        <v>47</v>
      </c>
      <c r="Q52" s="312">
        <v>7</v>
      </c>
      <c r="R52" s="312">
        <v>8</v>
      </c>
      <c r="S52" s="334">
        <v>426.5</v>
      </c>
      <c r="T52" s="338">
        <v>66</v>
      </c>
      <c r="U52" s="334">
        <v>816.5</v>
      </c>
      <c r="V52" s="338">
        <v>121</v>
      </c>
      <c r="W52" s="334">
        <v>762.5</v>
      </c>
      <c r="X52" s="338">
        <v>115</v>
      </c>
      <c r="Y52" s="334">
        <f>SUM(S52+U52+W52)</f>
        <v>2005.5</v>
      </c>
      <c r="Z52" s="338">
        <f>T52+V52+X52</f>
        <v>302</v>
      </c>
      <c r="AA52" s="323">
        <f>IF(Y52&lt;&gt;0,Z52/Q52,"")</f>
        <v>43.142857142857146</v>
      </c>
      <c r="AB52" s="324">
        <f>IF(Y52&lt;&gt;0,Y52/Z52,"")</f>
        <v>6.6407284768211925</v>
      </c>
      <c r="AC52" s="330">
        <v>4690</v>
      </c>
      <c r="AD52" s="326">
        <f>IF(AC52&lt;&gt;0,-(AC52-Y52)/AC52,"")</f>
        <v>-0.5723880597014925</v>
      </c>
      <c r="AE52" s="327">
        <f>AG52-Y52</f>
        <v>1273</v>
      </c>
      <c r="AF52" s="323">
        <f>AH52-Z52</f>
        <v>211</v>
      </c>
      <c r="AG52" s="378">
        <v>3278.5</v>
      </c>
      <c r="AH52" s="379">
        <v>513</v>
      </c>
      <c r="AI52" s="326">
        <f>Z52*1/AH52</f>
        <v>0.5886939571150097</v>
      </c>
      <c r="AJ52" s="326">
        <f>AF52*1/AH52</f>
        <v>0.41130604288499023</v>
      </c>
      <c r="AK52" s="323">
        <f>AH52/Q52</f>
        <v>73.28571428571429</v>
      </c>
      <c r="AL52" s="324">
        <f>AG52/AH52</f>
        <v>6.39083820662768</v>
      </c>
      <c r="AM52" s="334">
        <v>8571</v>
      </c>
      <c r="AN52" s="326">
        <f t="shared" si="1"/>
        <v>-0.6174892077937231</v>
      </c>
      <c r="AO52" s="334">
        <v>282297.09</v>
      </c>
      <c r="AP52" s="338">
        <v>33684</v>
      </c>
      <c r="AQ52" s="329">
        <f t="shared" si="0"/>
        <v>8.380747239045245</v>
      </c>
      <c r="AR52" s="297">
        <v>41040</v>
      </c>
      <c r="AS52" s="293" t="s">
        <v>444</v>
      </c>
      <c r="AT52" s="235"/>
    </row>
    <row r="53" spans="1:46" s="233" customFormat="1" ht="11.25" customHeight="1">
      <c r="A53" s="295" t="s">
        <v>326</v>
      </c>
      <c r="B53" s="236"/>
      <c r="C53" s="236" t="s">
        <v>223</v>
      </c>
      <c r="D53" s="236"/>
      <c r="E53" s="236"/>
      <c r="F53" s="236"/>
      <c r="G53" s="236"/>
      <c r="H53" s="236"/>
      <c r="I53" s="236"/>
      <c r="J53" s="552" t="s">
        <v>927</v>
      </c>
      <c r="K53" s="312" t="s">
        <v>118</v>
      </c>
      <c r="L53" s="319" t="s">
        <v>88</v>
      </c>
      <c r="M53" s="339" t="s">
        <v>931</v>
      </c>
      <c r="N53" s="370">
        <v>40697</v>
      </c>
      <c r="O53" s="288" t="s">
        <v>68</v>
      </c>
      <c r="P53" s="312">
        <v>111</v>
      </c>
      <c r="Q53" s="312">
        <v>1</v>
      </c>
      <c r="R53" s="312">
        <v>22</v>
      </c>
      <c r="S53" s="325">
        <v>0</v>
      </c>
      <c r="T53" s="355">
        <v>0</v>
      </c>
      <c r="U53" s="325">
        <v>0</v>
      </c>
      <c r="V53" s="355">
        <v>0</v>
      </c>
      <c r="W53" s="325">
        <v>0</v>
      </c>
      <c r="X53" s="355">
        <v>0</v>
      </c>
      <c r="Y53" s="334">
        <f>SUM(S53+U53+W53)</f>
        <v>0</v>
      </c>
      <c r="Z53" s="338">
        <f>T53+V53+X53</f>
        <v>0</v>
      </c>
      <c r="AA53" s="323"/>
      <c r="AB53" s="324"/>
      <c r="AC53" s="334">
        <v>0</v>
      </c>
      <c r="AD53" s="326"/>
      <c r="AE53" s="327">
        <f>AG53-Y53</f>
        <v>3564</v>
      </c>
      <c r="AF53" s="323">
        <f>AH53-Z53</f>
        <v>713</v>
      </c>
      <c r="AG53" s="382">
        <v>3564</v>
      </c>
      <c r="AH53" s="383">
        <v>713</v>
      </c>
      <c r="AI53" s="326">
        <f>Z53*1/AH53</f>
        <v>0</v>
      </c>
      <c r="AJ53" s="326">
        <f>AF53*1/AH53</f>
        <v>1</v>
      </c>
      <c r="AK53" s="323">
        <f>AH53/Q53</f>
        <v>713</v>
      </c>
      <c r="AL53" s="324">
        <f>AG53/AH53</f>
        <v>4.998597475455821</v>
      </c>
      <c r="AM53" s="328"/>
      <c r="AN53" s="326"/>
      <c r="AO53" s="328">
        <f>1292+812789+521835.5+296398.75+210726.75+106359.5+46956.5+15908+8715+4517.5+1879+2596.5+764+381+221+175+260+1654.5+356.5+950.5+1782+6415.5+3564</f>
        <v>2046498</v>
      </c>
      <c r="AP53" s="344">
        <f>124+79271+51753+30277+22107+12041+6459+2442+1421+653+309+602+108+53+31+25+52+399+59+238+446+3225+713</f>
        <v>212808</v>
      </c>
      <c r="AQ53" s="329">
        <f t="shared" si="0"/>
        <v>9.61664035186647</v>
      </c>
      <c r="AR53" s="297">
        <v>41040</v>
      </c>
      <c r="AS53" s="293" t="s">
        <v>306</v>
      </c>
      <c r="AT53" s="235"/>
    </row>
    <row r="54" spans="1:46" s="233" customFormat="1" ht="11.25" customHeight="1">
      <c r="A54" s="295" t="s">
        <v>453</v>
      </c>
      <c r="B54" s="236"/>
      <c r="C54" s="236" t="s">
        <v>223</v>
      </c>
      <c r="D54" s="236"/>
      <c r="E54" s="236"/>
      <c r="F54" s="236"/>
      <c r="G54" s="236"/>
      <c r="H54" s="236"/>
      <c r="I54" s="236"/>
      <c r="J54" s="552" t="s">
        <v>69</v>
      </c>
      <c r="K54" s="312" t="s">
        <v>885</v>
      </c>
      <c r="L54" s="339" t="s">
        <v>88</v>
      </c>
      <c r="M54" s="319" t="s">
        <v>70</v>
      </c>
      <c r="N54" s="369">
        <v>40844</v>
      </c>
      <c r="O54" s="288" t="s">
        <v>68</v>
      </c>
      <c r="P54" s="312">
        <v>65</v>
      </c>
      <c r="Q54" s="312">
        <v>1</v>
      </c>
      <c r="R54" s="312">
        <v>14</v>
      </c>
      <c r="S54" s="325">
        <v>0</v>
      </c>
      <c r="T54" s="355">
        <v>0</v>
      </c>
      <c r="U54" s="325">
        <v>0</v>
      </c>
      <c r="V54" s="355">
        <v>0</v>
      </c>
      <c r="W54" s="325">
        <v>0</v>
      </c>
      <c r="X54" s="355">
        <v>0</v>
      </c>
      <c r="Y54" s="334">
        <f>SUM(S54+U54+W54)</f>
        <v>0</v>
      </c>
      <c r="Z54" s="338">
        <f>T54+V54+X54</f>
        <v>0</v>
      </c>
      <c r="AA54" s="323">
        <f>IF(Y54&lt;&gt;0,Z54/Q54,"")</f>
      </c>
      <c r="AB54" s="324">
        <f>IF(Y54&lt;&gt;0,Y54/Z54,"")</f>
      </c>
      <c r="AC54" s="334">
        <v>0</v>
      </c>
      <c r="AD54" s="326">
        <f>IF(AC54&lt;&gt;0,-(AC54-Y54)/AC54,"")</f>
      </c>
      <c r="AE54" s="327">
        <f>AG54-Y54</f>
        <v>3564</v>
      </c>
      <c r="AF54" s="323">
        <f>AH54-Z54</f>
        <v>713</v>
      </c>
      <c r="AG54" s="382">
        <v>3564</v>
      </c>
      <c r="AH54" s="383">
        <v>713</v>
      </c>
      <c r="AI54" s="326">
        <f>Z54*1/AH54</f>
        <v>0</v>
      </c>
      <c r="AJ54" s="326">
        <f>AF54*1/AH54</f>
        <v>1</v>
      </c>
      <c r="AK54" s="323">
        <f>AH54/Q54</f>
        <v>713</v>
      </c>
      <c r="AL54" s="324">
        <f>AG54/AH54</f>
        <v>4.998597475455821</v>
      </c>
      <c r="AM54" s="328"/>
      <c r="AN54" s="326">
        <f aca="true" t="shared" si="2" ref="AN54:AN78">IF(AM54&lt;&gt;0,-(AM54-AG54)/AM54,"")</f>
      </c>
      <c r="AO54" s="328">
        <f>436701.5+604505+232735.5+57290.5+18114+16414.5+17253.5+4587+2405+7426+2522+4990+3920.5+3564</f>
        <v>1412429</v>
      </c>
      <c r="AP54" s="344">
        <f>39979+54264+21249+5324+1678+2463+2408+819+357+1233+383+999+784+713</f>
        <v>132653</v>
      </c>
      <c r="AQ54" s="329">
        <f t="shared" si="0"/>
        <v>10.647546606559972</v>
      </c>
      <c r="AR54" s="297">
        <v>41040</v>
      </c>
      <c r="AS54" s="293" t="s">
        <v>306</v>
      </c>
      <c r="AT54" s="235"/>
    </row>
    <row r="55" spans="1:46" s="233" customFormat="1" ht="11.25" customHeight="1">
      <c r="A55" s="295" t="s">
        <v>454</v>
      </c>
      <c r="B55" s="236"/>
      <c r="C55" s="236"/>
      <c r="D55" s="236"/>
      <c r="E55" s="236"/>
      <c r="F55" s="236"/>
      <c r="G55" s="236"/>
      <c r="H55" s="236"/>
      <c r="I55" s="236"/>
      <c r="J55" s="552" t="s">
        <v>626</v>
      </c>
      <c r="K55" s="312"/>
      <c r="L55" s="353"/>
      <c r="M55" s="339" t="s">
        <v>627</v>
      </c>
      <c r="N55" s="369">
        <v>40984</v>
      </c>
      <c r="O55" s="288" t="s">
        <v>12</v>
      </c>
      <c r="P55" s="312">
        <v>41</v>
      </c>
      <c r="Q55" s="312">
        <v>8</v>
      </c>
      <c r="R55" s="312">
        <v>9</v>
      </c>
      <c r="S55" s="347">
        <v>631</v>
      </c>
      <c r="T55" s="348">
        <v>101</v>
      </c>
      <c r="U55" s="347">
        <v>528</v>
      </c>
      <c r="V55" s="348">
        <v>74</v>
      </c>
      <c r="W55" s="347">
        <v>856</v>
      </c>
      <c r="X55" s="348">
        <v>137</v>
      </c>
      <c r="Y55" s="334">
        <f>SUM(S55+U55+W55)</f>
        <v>2015</v>
      </c>
      <c r="Z55" s="338">
        <f>T55+V55+X55</f>
        <v>312</v>
      </c>
      <c r="AA55" s="323">
        <f>IF(Y55&lt;&gt;0,Z55/Q55,"")</f>
        <v>39</v>
      </c>
      <c r="AB55" s="324">
        <f>IF(Y55&lt;&gt;0,Y55/Z55,"")</f>
        <v>6.458333333333333</v>
      </c>
      <c r="AC55" s="330">
        <v>3235</v>
      </c>
      <c r="AD55" s="326">
        <f>IF(AC55&lt;&gt;0,-(AC55-Y55)/AC55,"")</f>
        <v>-0.37712519319938176</v>
      </c>
      <c r="AE55" s="327">
        <f>AG55-Y55</f>
        <v>1468</v>
      </c>
      <c r="AF55" s="323">
        <f>AH55-Z55</f>
        <v>238</v>
      </c>
      <c r="AG55" s="378">
        <v>3483</v>
      </c>
      <c r="AH55" s="379">
        <v>550</v>
      </c>
      <c r="AI55" s="326">
        <f>Z55*1/AH55</f>
        <v>0.5672727272727273</v>
      </c>
      <c r="AJ55" s="326">
        <f>AF55*1/AH55</f>
        <v>0.43272727272727274</v>
      </c>
      <c r="AK55" s="323">
        <f>AH55/Q55</f>
        <v>68.75</v>
      </c>
      <c r="AL55" s="324">
        <f>AG55/AH55</f>
        <v>6.332727272727273</v>
      </c>
      <c r="AM55" s="328">
        <v>5442</v>
      </c>
      <c r="AN55" s="326">
        <f t="shared" si="2"/>
        <v>-0.3599779492833517</v>
      </c>
      <c r="AO55" s="334">
        <v>386156</v>
      </c>
      <c r="AP55" s="338">
        <v>37592</v>
      </c>
      <c r="AQ55" s="329">
        <f t="shared" si="0"/>
        <v>10.272291977016387</v>
      </c>
      <c r="AR55" s="297">
        <v>41040</v>
      </c>
      <c r="AS55" s="293" t="s">
        <v>448</v>
      </c>
      <c r="AT55" s="235"/>
    </row>
    <row r="56" spans="1:46" s="233" customFormat="1" ht="11.25" customHeight="1">
      <c r="A56" s="295" t="s">
        <v>455</v>
      </c>
      <c r="B56" s="236"/>
      <c r="C56" s="236"/>
      <c r="D56" s="236"/>
      <c r="E56" s="236"/>
      <c r="F56" s="236"/>
      <c r="G56" s="236"/>
      <c r="H56" s="236"/>
      <c r="I56" s="236"/>
      <c r="J56" s="560" t="s">
        <v>620</v>
      </c>
      <c r="K56" s="288"/>
      <c r="L56" s="288"/>
      <c r="M56" s="288" t="s">
        <v>619</v>
      </c>
      <c r="N56" s="369">
        <v>40984</v>
      </c>
      <c r="O56" s="288" t="s">
        <v>53</v>
      </c>
      <c r="P56" s="346">
        <v>25</v>
      </c>
      <c r="Q56" s="346">
        <v>3</v>
      </c>
      <c r="R56" s="346">
        <v>9</v>
      </c>
      <c r="S56" s="347">
        <v>582.5</v>
      </c>
      <c r="T56" s="348">
        <v>117</v>
      </c>
      <c r="U56" s="347">
        <v>844</v>
      </c>
      <c r="V56" s="348">
        <v>179</v>
      </c>
      <c r="W56" s="347">
        <v>1292</v>
      </c>
      <c r="X56" s="348">
        <v>234</v>
      </c>
      <c r="Y56" s="334">
        <f>SUM(S56+U56+W56)</f>
        <v>2718.5</v>
      </c>
      <c r="Z56" s="338">
        <f>T56+V56+X56</f>
        <v>530</v>
      </c>
      <c r="AA56" s="323">
        <f>IF(Y56&lt;&gt;0,Z56/Q56,"")</f>
        <v>176.66666666666666</v>
      </c>
      <c r="AB56" s="324">
        <f>IF(Y56&lt;&gt;0,Y56/Z56,"")</f>
        <v>5.129245283018868</v>
      </c>
      <c r="AC56" s="330">
        <v>4943</v>
      </c>
      <c r="AD56" s="326">
        <f>IF(AC56&lt;&gt;0,-(AC56-Y56)/AC56,"")</f>
        <v>-0.45003034594375885</v>
      </c>
      <c r="AE56" s="327">
        <f>AG56-Y56</f>
        <v>577.46</v>
      </c>
      <c r="AF56" s="323">
        <f>AH56-Z56</f>
        <v>85</v>
      </c>
      <c r="AG56" s="378">
        <v>3295.96</v>
      </c>
      <c r="AH56" s="379">
        <v>615</v>
      </c>
      <c r="AI56" s="326">
        <f>Z56*1/AH56</f>
        <v>0.8617886178861789</v>
      </c>
      <c r="AJ56" s="326">
        <f>AF56*1/AH56</f>
        <v>0.13821138211382114</v>
      </c>
      <c r="AK56" s="323">
        <f>AH56/Q56</f>
        <v>205</v>
      </c>
      <c r="AL56" s="324">
        <f>AG56/AH56</f>
        <v>5.359284552845528</v>
      </c>
      <c r="AM56" s="334">
        <v>9839.25</v>
      </c>
      <c r="AN56" s="326">
        <f t="shared" si="2"/>
        <v>-0.6650191833727164</v>
      </c>
      <c r="AO56" s="334">
        <f>122912.69+58583.03+37413.97+10432+17893.5+17930.78+8047.5+9839.25+3295.96</f>
        <v>286348.68</v>
      </c>
      <c r="AP56" s="338">
        <f>10193+4985+3446+1321+2499+2645+1177+1459+615</f>
        <v>28340</v>
      </c>
      <c r="AQ56" s="329">
        <f t="shared" si="0"/>
        <v>10.104046577275934</v>
      </c>
      <c r="AR56" s="297">
        <v>41040</v>
      </c>
      <c r="AS56" s="293" t="s">
        <v>443</v>
      </c>
      <c r="AT56" s="235"/>
    </row>
    <row r="57" spans="1:46" s="233" customFormat="1" ht="11.25" customHeight="1">
      <c r="A57" s="295" t="s">
        <v>456</v>
      </c>
      <c r="B57" s="293"/>
      <c r="C57" s="236"/>
      <c r="D57" s="236" t="s">
        <v>193</v>
      </c>
      <c r="E57" s="293"/>
      <c r="F57" s="236"/>
      <c r="G57" s="293"/>
      <c r="H57" s="236"/>
      <c r="I57" s="293"/>
      <c r="J57" s="555" t="s">
        <v>663</v>
      </c>
      <c r="K57" s="312" t="s">
        <v>743</v>
      </c>
      <c r="L57" s="288" t="s">
        <v>169</v>
      </c>
      <c r="M57" s="340" t="s">
        <v>665</v>
      </c>
      <c r="N57" s="370">
        <v>40998</v>
      </c>
      <c r="O57" s="288" t="s">
        <v>8</v>
      </c>
      <c r="P57" s="340">
        <v>104</v>
      </c>
      <c r="Q57" s="340">
        <v>9</v>
      </c>
      <c r="R57" s="340">
        <v>7</v>
      </c>
      <c r="S57" s="342">
        <v>277</v>
      </c>
      <c r="T57" s="343">
        <v>44</v>
      </c>
      <c r="U57" s="342">
        <v>868</v>
      </c>
      <c r="V57" s="343">
        <v>124</v>
      </c>
      <c r="W57" s="342">
        <v>814</v>
      </c>
      <c r="X57" s="343">
        <v>111</v>
      </c>
      <c r="Y57" s="334">
        <f>SUM(S57+U57+W57)</f>
        <v>1959</v>
      </c>
      <c r="Z57" s="338">
        <f>T57+V57+X57</f>
        <v>279</v>
      </c>
      <c r="AA57" s="323">
        <f>IF(Y57&lt;&gt;0,Z57/Q57,"")</f>
        <v>31</v>
      </c>
      <c r="AB57" s="324">
        <f>IF(Y57&lt;&gt;0,Y57/Z57,"")</f>
        <v>7.021505376344086</v>
      </c>
      <c r="AC57" s="330">
        <v>2195</v>
      </c>
      <c r="AD57" s="326">
        <f>IF(AC57&lt;&gt;0,-(AC57-Y57)/AC57,"")</f>
        <v>-0.10751708428246014</v>
      </c>
      <c r="AE57" s="327">
        <f>AG57-Y57</f>
        <v>1168</v>
      </c>
      <c r="AF57" s="323">
        <f>AH57-Z57</f>
        <v>181</v>
      </c>
      <c r="AG57" s="380">
        <v>3127</v>
      </c>
      <c r="AH57" s="381">
        <v>460</v>
      </c>
      <c r="AI57" s="326">
        <f>Z57*1/AH57</f>
        <v>0.6065217391304348</v>
      </c>
      <c r="AJ57" s="326">
        <f>AF57*1/AH57</f>
        <v>0.3934782608695652</v>
      </c>
      <c r="AK57" s="323">
        <f>AH57/Q57</f>
        <v>51.111111111111114</v>
      </c>
      <c r="AL57" s="324">
        <f>AG57/AH57</f>
        <v>6.797826086956522</v>
      </c>
      <c r="AM57" s="334">
        <v>5137</v>
      </c>
      <c r="AN57" s="326">
        <f t="shared" si="2"/>
        <v>-0.3912789565894491</v>
      </c>
      <c r="AO57" s="342">
        <v>720275</v>
      </c>
      <c r="AP57" s="343">
        <v>71444</v>
      </c>
      <c r="AQ57" s="329">
        <f t="shared" si="0"/>
        <v>10.081672358770506</v>
      </c>
      <c r="AR57" s="297">
        <v>41040</v>
      </c>
      <c r="AS57" s="293" t="s">
        <v>449</v>
      </c>
      <c r="AT57" s="235"/>
    </row>
    <row r="58" spans="1:46" s="233" customFormat="1" ht="11.25" customHeight="1">
      <c r="A58" s="295" t="s">
        <v>457</v>
      </c>
      <c r="B58" s="236"/>
      <c r="C58" s="236"/>
      <c r="D58" s="236" t="s">
        <v>193</v>
      </c>
      <c r="E58" s="236">
        <v>3</v>
      </c>
      <c r="F58" s="236"/>
      <c r="G58" s="236" t="s">
        <v>250</v>
      </c>
      <c r="H58" s="236" t="s">
        <v>55</v>
      </c>
      <c r="I58" s="236"/>
      <c r="J58" s="560" t="s">
        <v>379</v>
      </c>
      <c r="K58" s="339"/>
      <c r="L58" s="319" t="s">
        <v>92</v>
      </c>
      <c r="M58" s="288" t="s">
        <v>380</v>
      </c>
      <c r="N58" s="370">
        <v>40928</v>
      </c>
      <c r="O58" s="288" t="s">
        <v>10</v>
      </c>
      <c r="P58" s="331">
        <v>202</v>
      </c>
      <c r="Q58" s="331">
        <v>3</v>
      </c>
      <c r="R58" s="331">
        <v>17</v>
      </c>
      <c r="S58" s="342">
        <v>495</v>
      </c>
      <c r="T58" s="343">
        <v>129</v>
      </c>
      <c r="U58" s="342">
        <v>608</v>
      </c>
      <c r="V58" s="343">
        <v>152</v>
      </c>
      <c r="W58" s="342">
        <v>648</v>
      </c>
      <c r="X58" s="343">
        <v>162</v>
      </c>
      <c r="Y58" s="334">
        <f>SUM(S58+U58+W58)</f>
        <v>1751</v>
      </c>
      <c r="Z58" s="338">
        <f>T58+V58+X58</f>
        <v>443</v>
      </c>
      <c r="AA58" s="323">
        <f>IF(Y58&lt;&gt;0,Z58/Q58,"")</f>
        <v>147.66666666666666</v>
      </c>
      <c r="AB58" s="324">
        <f>IF(Y58&lt;&gt;0,Y58/Z58,"")</f>
        <v>3.9525959367945824</v>
      </c>
      <c r="AC58" s="330">
        <v>36</v>
      </c>
      <c r="AD58" s="326">
        <f>IF(AC58&lt;&gt;0,-(AC58-Y58)/AC58,"")</f>
        <v>47.638888888888886</v>
      </c>
      <c r="AE58" s="327">
        <f>AG58-Y58</f>
        <v>754</v>
      </c>
      <c r="AF58" s="323">
        <f>AH58-Z58</f>
        <v>194</v>
      </c>
      <c r="AG58" s="380">
        <v>2505</v>
      </c>
      <c r="AH58" s="381">
        <v>637</v>
      </c>
      <c r="AI58" s="326">
        <f>Z58*1/AH58</f>
        <v>0.695447409733124</v>
      </c>
      <c r="AJ58" s="326">
        <f>AF58*1/AH58</f>
        <v>0.304552590266876</v>
      </c>
      <c r="AK58" s="323">
        <f>AH58/Q58</f>
        <v>212.33333333333334</v>
      </c>
      <c r="AL58" s="324">
        <f>AG58/AH58</f>
        <v>3.9324960753532183</v>
      </c>
      <c r="AM58" s="334">
        <v>171</v>
      </c>
      <c r="AN58" s="326">
        <f t="shared" si="2"/>
        <v>13.649122807017545</v>
      </c>
      <c r="AO58" s="342">
        <v>5256550</v>
      </c>
      <c r="AP58" s="343">
        <v>528683</v>
      </c>
      <c r="AQ58" s="329">
        <f t="shared" si="0"/>
        <v>9.94272560305514</v>
      </c>
      <c r="AR58" s="297">
        <v>41040</v>
      </c>
      <c r="AS58" s="293" t="s">
        <v>791</v>
      </c>
      <c r="AT58" s="234"/>
    </row>
    <row r="59" spans="1:46" s="233" customFormat="1" ht="11.25" customHeight="1">
      <c r="A59" s="295" t="s">
        <v>458</v>
      </c>
      <c r="B59" s="236"/>
      <c r="C59" s="236"/>
      <c r="D59" s="236"/>
      <c r="E59" s="236"/>
      <c r="F59" s="236"/>
      <c r="G59" s="236"/>
      <c r="H59" s="236"/>
      <c r="I59" s="236" t="s">
        <v>54</v>
      </c>
      <c r="J59" s="555" t="s">
        <v>484</v>
      </c>
      <c r="K59" s="312"/>
      <c r="L59" s="312"/>
      <c r="M59" s="340" t="s">
        <v>484</v>
      </c>
      <c r="N59" s="369">
        <v>40935</v>
      </c>
      <c r="O59" s="288" t="s">
        <v>12</v>
      </c>
      <c r="P59" s="312">
        <v>352</v>
      </c>
      <c r="Q59" s="312">
        <v>1</v>
      </c>
      <c r="R59" s="312">
        <v>16</v>
      </c>
      <c r="S59" s="347">
        <v>171</v>
      </c>
      <c r="T59" s="348">
        <v>27</v>
      </c>
      <c r="U59" s="347">
        <v>171</v>
      </c>
      <c r="V59" s="348">
        <v>27</v>
      </c>
      <c r="W59" s="347">
        <v>171</v>
      </c>
      <c r="X59" s="348">
        <v>27</v>
      </c>
      <c r="Y59" s="334">
        <f>SUM(S59+U59+W59)</f>
        <v>513</v>
      </c>
      <c r="Z59" s="338">
        <f>T59+V59+X59</f>
        <v>81</v>
      </c>
      <c r="AA59" s="323">
        <f>IF(Y59&lt;&gt;0,Z59/Q59,"")</f>
        <v>81</v>
      </c>
      <c r="AB59" s="324">
        <f>IF(Y59&lt;&gt;0,Y59/Z59,"")</f>
        <v>6.333333333333333</v>
      </c>
      <c r="AC59" s="357">
        <v>198</v>
      </c>
      <c r="AD59" s="326">
        <f>IF(AC59&lt;&gt;0,-(AC59-Y59)/AC59,"")</f>
        <v>1.5909090909090908</v>
      </c>
      <c r="AE59" s="327">
        <f>AG59-Y59</f>
        <v>1881</v>
      </c>
      <c r="AF59" s="323">
        <f>AH59-Z59</f>
        <v>297</v>
      </c>
      <c r="AG59" s="378">
        <v>2394</v>
      </c>
      <c r="AH59" s="379">
        <v>378</v>
      </c>
      <c r="AI59" s="326">
        <f>Z59*1/AH59</f>
        <v>0.21428571428571427</v>
      </c>
      <c r="AJ59" s="326">
        <f>AF59*1/AH59</f>
        <v>0.7857142857142857</v>
      </c>
      <c r="AK59" s="323">
        <f>AH59/Q59</f>
        <v>378</v>
      </c>
      <c r="AL59" s="324">
        <f>AG59/AH59</f>
        <v>6.333333333333333</v>
      </c>
      <c r="AM59" s="328">
        <v>270</v>
      </c>
      <c r="AN59" s="326">
        <f t="shared" si="2"/>
        <v>7.866666666666666</v>
      </c>
      <c r="AO59" s="334">
        <v>18170755</v>
      </c>
      <c r="AP59" s="338">
        <v>1971433</v>
      </c>
      <c r="AQ59" s="329">
        <f t="shared" si="0"/>
        <v>9.217028932761092</v>
      </c>
      <c r="AR59" s="297">
        <v>41040</v>
      </c>
      <c r="AS59" s="293" t="s">
        <v>788</v>
      </c>
      <c r="AT59" s="234"/>
    </row>
    <row r="60" spans="1:46" s="233" customFormat="1" ht="11.25" customHeight="1">
      <c r="A60" s="295" t="s">
        <v>357</v>
      </c>
      <c r="B60" s="236"/>
      <c r="C60" s="236" t="s">
        <v>223</v>
      </c>
      <c r="D60" s="236"/>
      <c r="E60" s="236"/>
      <c r="F60" s="236"/>
      <c r="G60" s="236"/>
      <c r="H60" s="236"/>
      <c r="I60" s="236" t="s">
        <v>54</v>
      </c>
      <c r="J60" s="552" t="s">
        <v>67</v>
      </c>
      <c r="K60" s="288"/>
      <c r="L60" s="288"/>
      <c r="M60" s="339" t="s">
        <v>67</v>
      </c>
      <c r="N60" s="370">
        <v>40844</v>
      </c>
      <c r="O60" s="288" t="s">
        <v>68</v>
      </c>
      <c r="P60" s="312">
        <v>278</v>
      </c>
      <c r="Q60" s="312">
        <v>1</v>
      </c>
      <c r="R60" s="312">
        <v>23</v>
      </c>
      <c r="S60" s="325">
        <v>0</v>
      </c>
      <c r="T60" s="355">
        <v>0</v>
      </c>
      <c r="U60" s="325">
        <v>0</v>
      </c>
      <c r="V60" s="355">
        <v>0</v>
      </c>
      <c r="W60" s="325">
        <v>0</v>
      </c>
      <c r="X60" s="355">
        <v>0</v>
      </c>
      <c r="Y60" s="334">
        <f>SUM(S60+U60+W60)</f>
        <v>0</v>
      </c>
      <c r="Z60" s="338">
        <f>T60+V60+X60</f>
        <v>0</v>
      </c>
      <c r="AA60" s="323">
        <f>IF(Y60&lt;&gt;0,Z60/Q60,"")</f>
      </c>
      <c r="AB60" s="324">
        <f>IF(Y60&lt;&gt;0,Y60/Z60,"")</f>
      </c>
      <c r="AC60" s="330">
        <v>0</v>
      </c>
      <c r="AD60" s="326">
        <f>IF(AC60&lt;&gt;0,-(AC60-Y60)/AC60,"")</f>
      </c>
      <c r="AE60" s="327">
        <f>AG60-Y60</f>
        <v>2376</v>
      </c>
      <c r="AF60" s="323">
        <f>AH60-Z60</f>
        <v>475</v>
      </c>
      <c r="AG60" s="382">
        <v>2376</v>
      </c>
      <c r="AH60" s="383">
        <v>475</v>
      </c>
      <c r="AI60" s="326">
        <f>Z60*1/AH60</f>
        <v>0</v>
      </c>
      <c r="AJ60" s="326">
        <f>AF60*1/AH60</f>
        <v>1</v>
      </c>
      <c r="AK60" s="323">
        <f>AH60/Q60</f>
        <v>475</v>
      </c>
      <c r="AL60" s="324">
        <f>AG60/AH60</f>
        <v>5.002105263157895</v>
      </c>
      <c r="AM60" s="328"/>
      <c r="AN60" s="326">
        <f t="shared" si="2"/>
      </c>
      <c r="AO60" s="328">
        <f>2021467.25+4147826.75+1641146.5+1086471.5+837723.5+353523.5+115157+12431.5+1554+13261.5+3397.5+17222.5+17226.5+5821+1188+2851+2851+2530+4832+1188+1425.5+1425.5+2376</f>
        <v>10294897.5</v>
      </c>
      <c r="AP60" s="344">
        <f>231121+459388+190384+130345+104513+46481+14878+1830+250+1860+737+1888+2090+661+238+570+284+543+673+238+285+238+475</f>
        <v>1189970</v>
      </c>
      <c r="AQ60" s="329">
        <f t="shared" si="0"/>
        <v>8.651392472079127</v>
      </c>
      <c r="AR60" s="297">
        <v>41040</v>
      </c>
      <c r="AS60" s="293" t="s">
        <v>306</v>
      </c>
      <c r="AT60" s="234"/>
    </row>
    <row r="61" spans="1:46" s="233" customFormat="1" ht="11.25" customHeight="1">
      <c r="A61" s="295" t="s">
        <v>459</v>
      </c>
      <c r="B61" s="293"/>
      <c r="C61" s="236"/>
      <c r="D61" s="236" t="s">
        <v>193</v>
      </c>
      <c r="E61" s="236">
        <v>3</v>
      </c>
      <c r="F61" s="236"/>
      <c r="G61" s="236"/>
      <c r="H61" s="236" t="s">
        <v>55</v>
      </c>
      <c r="I61" s="236"/>
      <c r="J61" s="552" t="s">
        <v>730</v>
      </c>
      <c r="K61" s="312" t="s">
        <v>316</v>
      </c>
      <c r="L61" s="319" t="s">
        <v>92</v>
      </c>
      <c r="M61" s="339" t="s">
        <v>731</v>
      </c>
      <c r="N61" s="369">
        <v>41019</v>
      </c>
      <c r="O61" s="288" t="s">
        <v>10</v>
      </c>
      <c r="P61" s="331">
        <v>132</v>
      </c>
      <c r="Q61" s="331">
        <v>4</v>
      </c>
      <c r="R61" s="331">
        <v>4</v>
      </c>
      <c r="S61" s="342">
        <v>180</v>
      </c>
      <c r="T61" s="343">
        <v>21</v>
      </c>
      <c r="U61" s="342">
        <v>246</v>
      </c>
      <c r="V61" s="343">
        <v>26</v>
      </c>
      <c r="W61" s="342">
        <v>172</v>
      </c>
      <c r="X61" s="343">
        <v>18</v>
      </c>
      <c r="Y61" s="334">
        <f>SUM(S61+U61+W61)</f>
        <v>598</v>
      </c>
      <c r="Z61" s="338">
        <f>T61+V61+X61</f>
        <v>65</v>
      </c>
      <c r="AA61" s="323">
        <f>IF(Y61&lt;&gt;0,Z61/Q61,"")</f>
        <v>16.25</v>
      </c>
      <c r="AB61" s="324">
        <f>IF(Y61&lt;&gt;0,Y61/Z61,"")</f>
        <v>9.2</v>
      </c>
      <c r="AC61" s="330">
        <v>41642</v>
      </c>
      <c r="AD61" s="326">
        <f>IF(AC61&lt;&gt;0,-(AC61-Y61)/AC61,"")</f>
        <v>-0.9856394985831612</v>
      </c>
      <c r="AE61" s="327">
        <f>AG61-Y61</f>
        <v>1752</v>
      </c>
      <c r="AF61" s="323">
        <f>AH61-Z61</f>
        <v>194</v>
      </c>
      <c r="AG61" s="380">
        <v>2350</v>
      </c>
      <c r="AH61" s="381">
        <v>259</v>
      </c>
      <c r="AI61" s="326">
        <f>Z61*1/AH61</f>
        <v>0.25096525096525096</v>
      </c>
      <c r="AJ61" s="326">
        <f>AF61*1/AH61</f>
        <v>0.749034749034749</v>
      </c>
      <c r="AK61" s="323">
        <f>AH61/Q61</f>
        <v>64.75</v>
      </c>
      <c r="AL61" s="324">
        <f>AG61/AH61</f>
        <v>9.073359073359073</v>
      </c>
      <c r="AM61" s="328">
        <v>52188</v>
      </c>
      <c r="AN61" s="326">
        <f t="shared" si="2"/>
        <v>-0.9549704913006821</v>
      </c>
      <c r="AO61" s="342">
        <v>933455</v>
      </c>
      <c r="AP61" s="343">
        <v>81697</v>
      </c>
      <c r="AQ61" s="329">
        <f t="shared" si="0"/>
        <v>11.425817349474277</v>
      </c>
      <c r="AR61" s="297">
        <v>41040</v>
      </c>
      <c r="AS61" s="293" t="s">
        <v>419</v>
      </c>
      <c r="AT61" s="234"/>
    </row>
    <row r="62" spans="1:45" s="233" customFormat="1" ht="11.25" customHeight="1">
      <c r="A62" s="295" t="s">
        <v>460</v>
      </c>
      <c r="B62" s="236"/>
      <c r="C62" s="236" t="s">
        <v>223</v>
      </c>
      <c r="D62" s="236"/>
      <c r="E62" s="236"/>
      <c r="F62" s="236"/>
      <c r="G62" s="236"/>
      <c r="H62" s="236"/>
      <c r="I62" s="236"/>
      <c r="J62" s="557" t="s">
        <v>222</v>
      </c>
      <c r="K62" s="288" t="s">
        <v>740</v>
      </c>
      <c r="L62" s="288" t="s">
        <v>922</v>
      </c>
      <c r="M62" s="288" t="s">
        <v>209</v>
      </c>
      <c r="N62" s="370">
        <v>40725</v>
      </c>
      <c r="O62" s="288" t="s">
        <v>289</v>
      </c>
      <c r="P62" s="312">
        <v>3</v>
      </c>
      <c r="Q62" s="312">
        <v>2</v>
      </c>
      <c r="R62" s="312">
        <v>30</v>
      </c>
      <c r="S62" s="334">
        <v>0</v>
      </c>
      <c r="T62" s="338">
        <v>0</v>
      </c>
      <c r="U62" s="334">
        <v>0</v>
      </c>
      <c r="V62" s="338">
        <v>0</v>
      </c>
      <c r="W62" s="334">
        <v>0</v>
      </c>
      <c r="X62" s="338">
        <v>0</v>
      </c>
      <c r="Y62" s="334">
        <f>SUM(S62+U62+W62)</f>
        <v>0</v>
      </c>
      <c r="Z62" s="338">
        <f>T62+V62+X62</f>
        <v>0</v>
      </c>
      <c r="AA62" s="323">
        <f>IF(Y62&lt;&gt;0,Z62/Q62,"")</f>
      </c>
      <c r="AB62" s="324">
        <f>IF(Y62&lt;&gt;0,Y62/Z62,"")</f>
      </c>
      <c r="AC62" s="330">
        <v>0</v>
      </c>
      <c r="AD62" s="326">
        <f>IF(AC62&lt;&gt;0,-(AC62-Y62)/AC62,"")</f>
      </c>
      <c r="AE62" s="327">
        <f>AG62-Y62</f>
        <v>2195</v>
      </c>
      <c r="AF62" s="323">
        <f>AH62-Z62</f>
        <v>438</v>
      </c>
      <c r="AG62" s="378">
        <v>2195</v>
      </c>
      <c r="AH62" s="379">
        <v>438</v>
      </c>
      <c r="AI62" s="326">
        <f>Z62*1/AH62</f>
        <v>0</v>
      </c>
      <c r="AJ62" s="326">
        <f>AF62*1/AH62</f>
        <v>1</v>
      </c>
      <c r="AK62" s="323">
        <f>AH62/Q62</f>
        <v>219</v>
      </c>
      <c r="AL62" s="324">
        <f>AG62/AH62</f>
        <v>5.011415525114155</v>
      </c>
      <c r="AM62" s="334"/>
      <c r="AN62" s="326">
        <f t="shared" si="2"/>
      </c>
      <c r="AO62" s="334">
        <v>95681.5</v>
      </c>
      <c r="AP62" s="338">
        <v>12850</v>
      </c>
      <c r="AQ62" s="329">
        <f t="shared" si="0"/>
        <v>7.44603112840467</v>
      </c>
      <c r="AR62" s="297">
        <v>41040</v>
      </c>
      <c r="AS62" s="293" t="s">
        <v>306</v>
      </c>
    </row>
    <row r="63" spans="1:45" s="233" customFormat="1" ht="11.25" customHeight="1">
      <c r="A63" s="295" t="s">
        <v>461</v>
      </c>
      <c r="B63" s="236"/>
      <c r="C63" s="293"/>
      <c r="D63" s="293"/>
      <c r="E63" s="293"/>
      <c r="F63" s="236"/>
      <c r="G63" s="293"/>
      <c r="H63" s="236"/>
      <c r="I63" s="236" t="s">
        <v>54</v>
      </c>
      <c r="J63" s="560" t="s">
        <v>492</v>
      </c>
      <c r="K63" s="312" t="s">
        <v>824</v>
      </c>
      <c r="L63" s="288"/>
      <c r="M63" s="288" t="s">
        <v>492</v>
      </c>
      <c r="N63" s="370">
        <v>40942</v>
      </c>
      <c r="O63" s="288" t="s">
        <v>52</v>
      </c>
      <c r="P63" s="312">
        <v>42</v>
      </c>
      <c r="Q63" s="312">
        <v>2</v>
      </c>
      <c r="R63" s="312">
        <v>15</v>
      </c>
      <c r="S63" s="334">
        <v>32</v>
      </c>
      <c r="T63" s="338">
        <v>5</v>
      </c>
      <c r="U63" s="334">
        <v>28</v>
      </c>
      <c r="V63" s="338">
        <v>4</v>
      </c>
      <c r="W63" s="334">
        <v>122</v>
      </c>
      <c r="X63" s="338">
        <v>19</v>
      </c>
      <c r="Y63" s="334">
        <f>SUM(S63+U63+W63)</f>
        <v>182</v>
      </c>
      <c r="Z63" s="338">
        <f>T63+V63+X63</f>
        <v>28</v>
      </c>
      <c r="AA63" s="323">
        <f>IF(Y63&lt;&gt;0,Z63/Q63,"")</f>
        <v>14</v>
      </c>
      <c r="AB63" s="324">
        <f>IF(Y63&lt;&gt;0,Y63/Z63,"")</f>
        <v>6.5</v>
      </c>
      <c r="AC63" s="325">
        <v>98</v>
      </c>
      <c r="AD63" s="326">
        <f>IF(AC63&lt;&gt;0,-(AC63-Y63)/AC63,"")</f>
        <v>0.8571428571428571</v>
      </c>
      <c r="AE63" s="327">
        <f>AG63-Y63</f>
        <v>1912</v>
      </c>
      <c r="AF63" s="323">
        <f>AH63-Z63</f>
        <v>376</v>
      </c>
      <c r="AG63" s="378">
        <v>2094</v>
      </c>
      <c r="AH63" s="379">
        <v>404</v>
      </c>
      <c r="AI63" s="326">
        <f>Z63*1/AH63</f>
        <v>0.06930693069306931</v>
      </c>
      <c r="AJ63" s="326">
        <f>AF63*1/AH63</f>
        <v>0.9306930693069307</v>
      </c>
      <c r="AK63" s="323">
        <f>AH63/Q63</f>
        <v>202</v>
      </c>
      <c r="AL63" s="324">
        <f>AG63/AH63</f>
        <v>5.183168316831683</v>
      </c>
      <c r="AM63" s="328">
        <v>171</v>
      </c>
      <c r="AN63" s="326">
        <f t="shared" si="2"/>
        <v>11.24561403508772</v>
      </c>
      <c r="AO63" s="334">
        <v>289120.01</v>
      </c>
      <c r="AP63" s="338">
        <v>32731</v>
      </c>
      <c r="AQ63" s="329">
        <f t="shared" si="0"/>
        <v>8.833216522562708</v>
      </c>
      <c r="AR63" s="297">
        <v>41040</v>
      </c>
      <c r="AS63" s="293" t="s">
        <v>792</v>
      </c>
    </row>
    <row r="64" spans="1:45" s="233" customFormat="1" ht="11.25" customHeight="1">
      <c r="A64" s="295" t="s">
        <v>462</v>
      </c>
      <c r="B64" s="236"/>
      <c r="C64" s="236" t="s">
        <v>223</v>
      </c>
      <c r="D64" s="293"/>
      <c r="E64" s="293"/>
      <c r="F64" s="236"/>
      <c r="G64" s="236" t="s">
        <v>250</v>
      </c>
      <c r="H64" s="236"/>
      <c r="I64" s="236" t="s">
        <v>54</v>
      </c>
      <c r="J64" s="557" t="s">
        <v>104</v>
      </c>
      <c r="K64" s="312"/>
      <c r="L64" s="312"/>
      <c r="M64" s="312" t="s">
        <v>104</v>
      </c>
      <c r="N64" s="370">
        <v>40879</v>
      </c>
      <c r="O64" s="288" t="s">
        <v>53</v>
      </c>
      <c r="P64" s="346">
        <v>135</v>
      </c>
      <c r="Q64" s="346">
        <v>1</v>
      </c>
      <c r="R64" s="346">
        <v>18</v>
      </c>
      <c r="S64" s="347">
        <v>500</v>
      </c>
      <c r="T64" s="348">
        <v>100</v>
      </c>
      <c r="U64" s="347">
        <v>637</v>
      </c>
      <c r="V64" s="348">
        <v>127</v>
      </c>
      <c r="W64" s="347">
        <v>750</v>
      </c>
      <c r="X64" s="348">
        <v>150</v>
      </c>
      <c r="Y64" s="334">
        <f>SUM(S64+U64+W64)</f>
        <v>1887</v>
      </c>
      <c r="Z64" s="338">
        <f>T64+V64+X64</f>
        <v>377</v>
      </c>
      <c r="AA64" s="323">
        <f>IF(Y64&lt;&gt;0,Z64/Q64,"")</f>
        <v>377</v>
      </c>
      <c r="AB64" s="324">
        <f>IF(Y64&lt;&gt;0,Y64/Z64,"")</f>
        <v>5.005305039787799</v>
      </c>
      <c r="AC64" s="330">
        <v>140</v>
      </c>
      <c r="AD64" s="326">
        <f>IF(AC64&lt;&gt;0,-(AC64-Y64)/AC64,"")</f>
        <v>12.478571428571428</v>
      </c>
      <c r="AE64" s="327">
        <f>AG64-Y64</f>
        <v>0</v>
      </c>
      <c r="AF64" s="323">
        <f>AH64-Z64</f>
        <v>0</v>
      </c>
      <c r="AG64" s="378">
        <v>1887</v>
      </c>
      <c r="AH64" s="379">
        <v>377</v>
      </c>
      <c r="AI64" s="326">
        <f>Z64*1/AH64</f>
        <v>1</v>
      </c>
      <c r="AJ64" s="326">
        <f>AF64*1/AH64</f>
        <v>0</v>
      </c>
      <c r="AK64" s="323">
        <f>AH64/Q64</f>
        <v>377</v>
      </c>
      <c r="AL64" s="324">
        <f>AG64/AH64</f>
        <v>5.005305039787799</v>
      </c>
      <c r="AM64" s="334">
        <v>200</v>
      </c>
      <c r="AN64" s="326">
        <f t="shared" si="2"/>
        <v>8.435</v>
      </c>
      <c r="AO64" s="334">
        <f>1709882.25+1194489.75+708906.5+376327+70+197271.5+73341.5+70692.5+50480.5+9953.5+3058+838+28+63+74+2402+315+200+1887</f>
        <v>4400280</v>
      </c>
      <c r="AP64" s="338">
        <f>195314+135261+80447+45395+10+25625+10302+10950+7727+1402+435+131+4+9+10+480+63+40+377</f>
        <v>513982</v>
      </c>
      <c r="AQ64" s="329">
        <f t="shared" si="0"/>
        <v>8.561155838142191</v>
      </c>
      <c r="AR64" s="297">
        <v>41040</v>
      </c>
      <c r="AS64" s="293" t="s">
        <v>790</v>
      </c>
    </row>
    <row r="65" spans="1:45" s="233" customFormat="1" ht="11.25" customHeight="1">
      <c r="A65" s="295" t="s">
        <v>463</v>
      </c>
      <c r="B65" s="236"/>
      <c r="C65" s="236"/>
      <c r="D65" s="236"/>
      <c r="E65" s="236"/>
      <c r="F65" s="236"/>
      <c r="G65" s="236"/>
      <c r="H65" s="294"/>
      <c r="I65" s="293"/>
      <c r="J65" s="558" t="s">
        <v>628</v>
      </c>
      <c r="K65" s="339"/>
      <c r="L65" s="319" t="s">
        <v>832</v>
      </c>
      <c r="M65" s="288" t="s">
        <v>629</v>
      </c>
      <c r="N65" s="369">
        <v>40984</v>
      </c>
      <c r="O65" s="288" t="s">
        <v>10</v>
      </c>
      <c r="P65" s="331">
        <v>15</v>
      </c>
      <c r="Q65" s="331">
        <v>2</v>
      </c>
      <c r="R65" s="331">
        <v>9</v>
      </c>
      <c r="S65" s="342">
        <v>300</v>
      </c>
      <c r="T65" s="343">
        <v>30</v>
      </c>
      <c r="U65" s="342">
        <v>220</v>
      </c>
      <c r="V65" s="343">
        <v>22</v>
      </c>
      <c r="W65" s="342">
        <v>485</v>
      </c>
      <c r="X65" s="343">
        <v>49</v>
      </c>
      <c r="Y65" s="334">
        <f>SUM(S65+U65+W65)</f>
        <v>1005</v>
      </c>
      <c r="Z65" s="338">
        <f>T65+V65+X65</f>
        <v>101</v>
      </c>
      <c r="AA65" s="323">
        <f>IF(Y65&lt;&gt;0,Z65/Q65,"")</f>
        <v>50.5</v>
      </c>
      <c r="AB65" s="324">
        <f>IF(Y65&lt;&gt;0,Y65/Z65,"")</f>
        <v>9.950495049504951</v>
      </c>
      <c r="AC65" s="325">
        <v>2758</v>
      </c>
      <c r="AD65" s="326">
        <f>IF(AC65&lt;&gt;0,-(AC65-Y65)/AC65,"")</f>
        <v>-0.635605511240029</v>
      </c>
      <c r="AE65" s="327">
        <f>AG65-Y65</f>
        <v>845</v>
      </c>
      <c r="AF65" s="323">
        <f>AH65-Z65</f>
        <v>84</v>
      </c>
      <c r="AG65" s="380">
        <v>1850</v>
      </c>
      <c r="AH65" s="381">
        <v>185</v>
      </c>
      <c r="AI65" s="326">
        <f>Z65*1/AH65</f>
        <v>0.5459459459459459</v>
      </c>
      <c r="AJ65" s="326">
        <f>AF65*1/AH65</f>
        <v>0.4540540540540541</v>
      </c>
      <c r="AK65" s="323">
        <f>AH65/Q65</f>
        <v>92.5</v>
      </c>
      <c r="AL65" s="324">
        <f>AG65/AH65</f>
        <v>10</v>
      </c>
      <c r="AM65" s="328">
        <v>5735</v>
      </c>
      <c r="AN65" s="326">
        <f t="shared" si="2"/>
        <v>-0.6774193548387096</v>
      </c>
      <c r="AO65" s="342">
        <v>98134</v>
      </c>
      <c r="AP65" s="343">
        <v>8840</v>
      </c>
      <c r="AQ65" s="329">
        <f t="shared" si="0"/>
        <v>11.101131221719458</v>
      </c>
      <c r="AR65" s="297">
        <v>41040</v>
      </c>
      <c r="AS65" s="293" t="s">
        <v>447</v>
      </c>
    </row>
    <row r="66" spans="1:45" s="233" customFormat="1" ht="11.25" customHeight="1">
      <c r="A66" s="295" t="s">
        <v>264</v>
      </c>
      <c r="B66" s="236"/>
      <c r="C66" s="236" t="s">
        <v>223</v>
      </c>
      <c r="D66" s="236"/>
      <c r="E66" s="236"/>
      <c r="F66" s="236"/>
      <c r="G66" s="236" t="s">
        <v>250</v>
      </c>
      <c r="H66" s="294"/>
      <c r="I66" s="293"/>
      <c r="J66" s="558" t="s">
        <v>191</v>
      </c>
      <c r="K66" s="288" t="s">
        <v>705</v>
      </c>
      <c r="L66" s="288" t="s">
        <v>914</v>
      </c>
      <c r="M66" s="288" t="s">
        <v>135</v>
      </c>
      <c r="N66" s="369">
        <v>40893</v>
      </c>
      <c r="O66" s="288" t="s">
        <v>10</v>
      </c>
      <c r="P66" s="312">
        <v>133</v>
      </c>
      <c r="Q66" s="331">
        <v>1</v>
      </c>
      <c r="R66" s="331">
        <v>14</v>
      </c>
      <c r="S66" s="342">
        <v>200</v>
      </c>
      <c r="T66" s="343">
        <v>40</v>
      </c>
      <c r="U66" s="342">
        <v>380</v>
      </c>
      <c r="V66" s="343">
        <v>76</v>
      </c>
      <c r="W66" s="342">
        <v>405</v>
      </c>
      <c r="X66" s="343">
        <v>81</v>
      </c>
      <c r="Y66" s="334">
        <f>SUM(S66+U66+W66)</f>
        <v>985</v>
      </c>
      <c r="Z66" s="338">
        <f>T66+V66+X66</f>
        <v>197</v>
      </c>
      <c r="AA66" s="323">
        <f>IF(Y66&lt;&gt;0,Z66/Q66,"")</f>
        <v>197</v>
      </c>
      <c r="AB66" s="324">
        <f>IF(Y66&lt;&gt;0,Y66/Z66,"")</f>
        <v>5</v>
      </c>
      <c r="AC66" s="334">
        <v>985</v>
      </c>
      <c r="AD66" s="326">
        <f>IF(AC66&lt;&gt;0,-(AC66-Y66)/AC66,"")</f>
        <v>0</v>
      </c>
      <c r="AE66" s="327">
        <f>AG66-Y66</f>
        <v>800</v>
      </c>
      <c r="AF66" s="323">
        <f>AH66-Z66</f>
        <v>249</v>
      </c>
      <c r="AG66" s="380">
        <v>1785</v>
      </c>
      <c r="AH66" s="381">
        <v>446</v>
      </c>
      <c r="AI66" s="326">
        <f>Z66*1/AH66</f>
        <v>0.44170403587443946</v>
      </c>
      <c r="AJ66" s="326">
        <f>AF66*1/AH66</f>
        <v>0.5582959641255605</v>
      </c>
      <c r="AK66" s="323">
        <f>AH66/Q66</f>
        <v>446</v>
      </c>
      <c r="AL66" s="324">
        <f>AG66/AH66</f>
        <v>4.002242152466367</v>
      </c>
      <c r="AM66" s="328"/>
      <c r="AN66" s="326">
        <f t="shared" si="2"/>
      </c>
      <c r="AO66" s="342">
        <v>7221451</v>
      </c>
      <c r="AP66" s="343">
        <v>715115</v>
      </c>
      <c r="AQ66" s="329">
        <f t="shared" si="0"/>
        <v>10.098307265265028</v>
      </c>
      <c r="AR66" s="297">
        <v>41040</v>
      </c>
      <c r="AS66" s="293" t="s">
        <v>306</v>
      </c>
    </row>
    <row r="67" spans="1:45" s="233" customFormat="1" ht="11.25" customHeight="1">
      <c r="A67" s="295" t="s">
        <v>464</v>
      </c>
      <c r="B67" s="236"/>
      <c r="C67" s="236" t="s">
        <v>223</v>
      </c>
      <c r="D67" s="236"/>
      <c r="E67" s="236"/>
      <c r="F67" s="236"/>
      <c r="G67" s="236"/>
      <c r="H67" s="236"/>
      <c r="I67" s="236" t="s">
        <v>54</v>
      </c>
      <c r="J67" s="552" t="s">
        <v>231</v>
      </c>
      <c r="K67" s="312"/>
      <c r="L67" s="340"/>
      <c r="M67" s="339" t="s">
        <v>231</v>
      </c>
      <c r="N67" s="370">
        <v>40809</v>
      </c>
      <c r="O67" s="288" t="s">
        <v>68</v>
      </c>
      <c r="P67" s="312">
        <v>66</v>
      </c>
      <c r="Q67" s="312">
        <v>1</v>
      </c>
      <c r="R67" s="312">
        <v>26</v>
      </c>
      <c r="S67" s="325">
        <v>0</v>
      </c>
      <c r="T67" s="355">
        <v>0</v>
      </c>
      <c r="U67" s="325">
        <v>0</v>
      </c>
      <c r="V67" s="355">
        <v>0</v>
      </c>
      <c r="W67" s="325">
        <v>0</v>
      </c>
      <c r="X67" s="355">
        <v>0</v>
      </c>
      <c r="Y67" s="334">
        <f>SUM(S67+U67+W67)</f>
        <v>0</v>
      </c>
      <c r="Z67" s="338">
        <f>T67+V67+X67</f>
        <v>0</v>
      </c>
      <c r="AA67" s="323">
        <f>IF(Y67&lt;&gt;0,Z67/Q67,"")</f>
      </c>
      <c r="AB67" s="324">
        <f>IF(Y67&lt;&gt;0,Y67/Z67,"")</f>
      </c>
      <c r="AC67" s="334">
        <v>0</v>
      </c>
      <c r="AD67" s="326">
        <f>IF(AC67&lt;&gt;0,-(AC67-Y67)/AC67,"")</f>
      </c>
      <c r="AE67" s="327">
        <f>AG67-Y67</f>
        <v>1782</v>
      </c>
      <c r="AF67" s="323">
        <f>AH67-Z67</f>
        <v>356</v>
      </c>
      <c r="AG67" s="382">
        <v>1782</v>
      </c>
      <c r="AH67" s="383">
        <v>356</v>
      </c>
      <c r="AI67" s="326">
        <f>Z67*1/AH67</f>
        <v>0</v>
      </c>
      <c r="AJ67" s="326">
        <f>AF67*1/AH67</f>
        <v>1</v>
      </c>
      <c r="AK67" s="323">
        <f>AH67/Q67</f>
        <v>356</v>
      </c>
      <c r="AL67" s="324">
        <f>AG67/AH67</f>
        <v>5.00561797752809</v>
      </c>
      <c r="AM67" s="328"/>
      <c r="AN67" s="326">
        <f t="shared" si="2"/>
      </c>
      <c r="AO67" s="328">
        <f>382290+386122+344313.5+244996+104138.75+43618.5+27632+12528+6812+832+1782+2257+1782+5477.5+2138.5+4669.5+970+2851.5+950.5+2732.5+1188+1188+1425.5+1188+1188+1782</f>
        <v>1586853.25</v>
      </c>
      <c r="AP67" s="344">
        <f>34863+36137+32260+23896+12188+5940+2894+1417+1234+90+446+565+446+1293+535+1220+404+571+190+546+238+238+285+238+238+356</f>
        <v>158728</v>
      </c>
      <c r="AQ67" s="329">
        <f t="shared" si="0"/>
        <v>9.997311438435563</v>
      </c>
      <c r="AR67" s="297">
        <v>41040</v>
      </c>
      <c r="AS67" s="293" t="s">
        <v>306</v>
      </c>
    </row>
    <row r="68" spans="1:45" s="233" customFormat="1" ht="11.25" customHeight="1">
      <c r="A68" s="295" t="s">
        <v>465</v>
      </c>
      <c r="B68" s="236"/>
      <c r="C68" s="236" t="s">
        <v>223</v>
      </c>
      <c r="D68" s="236" t="s">
        <v>193</v>
      </c>
      <c r="E68" s="236"/>
      <c r="F68" s="236"/>
      <c r="G68" s="236"/>
      <c r="H68" s="236" t="s">
        <v>55</v>
      </c>
      <c r="I68" s="236"/>
      <c r="J68" s="552" t="s">
        <v>234</v>
      </c>
      <c r="K68" s="312"/>
      <c r="L68" s="288"/>
      <c r="M68" s="339" t="s">
        <v>248</v>
      </c>
      <c r="N68" s="370">
        <v>40655</v>
      </c>
      <c r="O68" s="288" t="s">
        <v>68</v>
      </c>
      <c r="P68" s="312">
        <v>156</v>
      </c>
      <c r="Q68" s="312">
        <v>1</v>
      </c>
      <c r="R68" s="312">
        <v>31</v>
      </c>
      <c r="S68" s="325">
        <v>0</v>
      </c>
      <c r="T68" s="355">
        <v>0</v>
      </c>
      <c r="U68" s="325">
        <v>0</v>
      </c>
      <c r="V68" s="355">
        <v>0</v>
      </c>
      <c r="W68" s="325">
        <v>0</v>
      </c>
      <c r="X68" s="355">
        <v>0</v>
      </c>
      <c r="Y68" s="334">
        <f>SUM(S68+U68+W68)</f>
        <v>0</v>
      </c>
      <c r="Z68" s="338">
        <f>T68+V68+X68</f>
        <v>0</v>
      </c>
      <c r="AA68" s="323">
        <f>IF(Y68&lt;&gt;0,Z68/Q68,"")</f>
      </c>
      <c r="AB68" s="324">
        <f>IF(Y68&lt;&gt;0,Y68/Z68,"")</f>
      </c>
      <c r="AC68" s="330">
        <v>0</v>
      </c>
      <c r="AD68" s="326">
        <f>IF(AC68&lt;&gt;0,-(AC68-Y68)/AC68,"")</f>
      </c>
      <c r="AE68" s="327">
        <f>AG68-Y68</f>
        <v>1782</v>
      </c>
      <c r="AF68" s="323">
        <f>AH68-Z68</f>
        <v>356</v>
      </c>
      <c r="AG68" s="382">
        <v>1782</v>
      </c>
      <c r="AH68" s="383">
        <v>356</v>
      </c>
      <c r="AI68" s="326">
        <f>Z68*1/AH68</f>
        <v>0</v>
      </c>
      <c r="AJ68" s="326">
        <f>AF68*1/AH68</f>
        <v>1</v>
      </c>
      <c r="AK68" s="323">
        <f>AH68/Q68</f>
        <v>356</v>
      </c>
      <c r="AL68" s="324">
        <f>AG68/AH68</f>
        <v>5.00561797752809</v>
      </c>
      <c r="AM68" s="328"/>
      <c r="AN68" s="326">
        <f t="shared" si="2"/>
      </c>
      <c r="AO68" s="328">
        <f>633760.5+136320.5+35218.5+12632+4659.5+2946+8058+2678+3172+3399.5+598+564+1471+2243+357+860+1425.5+8382.5+1782+968+1958+1164+407.5+84+1917+3121+130+60+1782+6415.5+1782</f>
        <v>880316.5</v>
      </c>
      <c r="AP68" s="344">
        <f>74640+17307+4811+1875+917+522+1372+426+632+730+116+93+159+384+67+172+356+2088+446+190+480+372+60+12+847+951+13+6+356+1284+356</f>
        <v>112040</v>
      </c>
      <c r="AQ68" s="329">
        <f t="shared" si="0"/>
        <v>7.857162620492681</v>
      </c>
      <c r="AR68" s="297">
        <v>41040</v>
      </c>
      <c r="AS68" s="293" t="s">
        <v>306</v>
      </c>
    </row>
    <row r="69" spans="1:45" s="233" customFormat="1" ht="11.25" customHeight="1">
      <c r="A69" s="295" t="s">
        <v>466</v>
      </c>
      <c r="B69" s="293"/>
      <c r="C69" s="236"/>
      <c r="D69" s="293"/>
      <c r="E69" s="293"/>
      <c r="F69" s="236"/>
      <c r="G69" s="293"/>
      <c r="H69" s="236"/>
      <c r="I69" s="236"/>
      <c r="J69" s="560" t="s">
        <v>512</v>
      </c>
      <c r="K69" s="319" t="s">
        <v>121</v>
      </c>
      <c r="L69" s="312" t="s">
        <v>738</v>
      </c>
      <c r="M69" s="288" t="s">
        <v>511</v>
      </c>
      <c r="N69" s="369">
        <v>40949</v>
      </c>
      <c r="O69" s="288" t="s">
        <v>324</v>
      </c>
      <c r="P69" s="312">
        <v>27</v>
      </c>
      <c r="Q69" s="312">
        <v>2</v>
      </c>
      <c r="R69" s="312">
        <v>12</v>
      </c>
      <c r="S69" s="321">
        <v>576</v>
      </c>
      <c r="T69" s="322">
        <v>115</v>
      </c>
      <c r="U69" s="321">
        <v>569</v>
      </c>
      <c r="V69" s="322">
        <v>114</v>
      </c>
      <c r="W69" s="321">
        <v>605</v>
      </c>
      <c r="X69" s="322">
        <v>119</v>
      </c>
      <c r="Y69" s="334">
        <f>SUM(S69+U69+W69)</f>
        <v>1750</v>
      </c>
      <c r="Z69" s="338">
        <f>T69+V69+X69</f>
        <v>348</v>
      </c>
      <c r="AA69" s="323">
        <f>IF(Y69&lt;&gt;0,Z69/Q69,"")</f>
        <v>174</v>
      </c>
      <c r="AB69" s="324">
        <f>IF(Y69&lt;&gt;0,Y69/Z69,"")</f>
        <v>5.028735632183908</v>
      </c>
      <c r="AC69" s="325">
        <v>971</v>
      </c>
      <c r="AD69" s="326">
        <f>IF(AC69&lt;&gt;0,-(AC69-Y69)/AC69,"")</f>
        <v>0.8022657054582905</v>
      </c>
      <c r="AE69" s="327">
        <f>AG69-Y69</f>
        <v>24</v>
      </c>
      <c r="AF69" s="323">
        <f>AH69-Z69</f>
        <v>4</v>
      </c>
      <c r="AG69" s="386">
        <v>1774</v>
      </c>
      <c r="AH69" s="387">
        <v>352</v>
      </c>
      <c r="AI69" s="326">
        <f>Z69*1/AH69</f>
        <v>0.9886363636363636</v>
      </c>
      <c r="AJ69" s="326">
        <f>AF69*1/AH69</f>
        <v>0.011363636363636364</v>
      </c>
      <c r="AK69" s="323">
        <f>AH69/Q69</f>
        <v>176</v>
      </c>
      <c r="AL69" s="324">
        <f>AG69/AH69</f>
        <v>5.0397727272727275</v>
      </c>
      <c r="AM69" s="328">
        <v>1683</v>
      </c>
      <c r="AN69" s="326">
        <f t="shared" si="2"/>
        <v>0.0540701128936423</v>
      </c>
      <c r="AO69" s="321">
        <v>324987</v>
      </c>
      <c r="AP69" s="322">
        <v>28199</v>
      </c>
      <c r="AQ69" s="329">
        <f t="shared" si="0"/>
        <v>11.524770381928438</v>
      </c>
      <c r="AR69" s="297">
        <v>41040</v>
      </c>
      <c r="AS69" s="293" t="s">
        <v>657</v>
      </c>
    </row>
    <row r="70" spans="1:46" s="233" customFormat="1" ht="11.25" customHeight="1">
      <c r="A70" s="295" t="s">
        <v>358</v>
      </c>
      <c r="B70" s="236"/>
      <c r="C70" s="236"/>
      <c r="D70" s="236" t="s">
        <v>193</v>
      </c>
      <c r="E70" s="236">
        <v>3</v>
      </c>
      <c r="F70" s="236">
        <v>2</v>
      </c>
      <c r="G70" s="236"/>
      <c r="H70" s="236" t="s">
        <v>55</v>
      </c>
      <c r="I70" s="236"/>
      <c r="J70" s="552" t="s">
        <v>336</v>
      </c>
      <c r="K70" s="312"/>
      <c r="L70" s="288"/>
      <c r="M70" s="339" t="s">
        <v>337</v>
      </c>
      <c r="N70" s="370">
        <v>40921</v>
      </c>
      <c r="O70" s="288" t="s">
        <v>12</v>
      </c>
      <c r="P70" s="312">
        <v>101</v>
      </c>
      <c r="Q70" s="312">
        <v>2</v>
      </c>
      <c r="R70" s="312">
        <v>18</v>
      </c>
      <c r="S70" s="347">
        <v>193</v>
      </c>
      <c r="T70" s="348">
        <v>30</v>
      </c>
      <c r="U70" s="347">
        <v>231</v>
      </c>
      <c r="V70" s="348">
        <v>45</v>
      </c>
      <c r="W70" s="347">
        <v>234</v>
      </c>
      <c r="X70" s="348">
        <v>38</v>
      </c>
      <c r="Y70" s="334">
        <f>SUM(S70+U70+W70)</f>
        <v>658</v>
      </c>
      <c r="Z70" s="338">
        <f>T70+V70+X70</f>
        <v>113</v>
      </c>
      <c r="AA70" s="323">
        <f>IF(Y70&lt;&gt;0,Z70/Q70,"")</f>
        <v>56.5</v>
      </c>
      <c r="AB70" s="324">
        <f>IF(Y70&lt;&gt;0,Y70/Z70,"")</f>
        <v>5.823008849557522</v>
      </c>
      <c r="AC70" s="330">
        <v>766</v>
      </c>
      <c r="AD70" s="326">
        <f>IF(AC70&lt;&gt;0,-(AC70-Y70)/AC70,"")</f>
        <v>-0.1409921671018277</v>
      </c>
      <c r="AE70" s="327">
        <f>AG70-Y70</f>
        <v>881</v>
      </c>
      <c r="AF70" s="323">
        <f>AH70-Z70</f>
        <v>177</v>
      </c>
      <c r="AG70" s="378">
        <v>1539</v>
      </c>
      <c r="AH70" s="379">
        <v>290</v>
      </c>
      <c r="AI70" s="326">
        <f>Z70*1/AH70</f>
        <v>0.3896551724137931</v>
      </c>
      <c r="AJ70" s="326">
        <f>AF70*1/AH70</f>
        <v>0.6103448275862069</v>
      </c>
      <c r="AK70" s="323">
        <f>AH70/Q70</f>
        <v>145</v>
      </c>
      <c r="AL70" s="324">
        <f>AG70/AH70</f>
        <v>5.3068965517241375</v>
      </c>
      <c r="AM70" s="328">
        <v>1384</v>
      </c>
      <c r="AN70" s="326">
        <f t="shared" si="2"/>
        <v>0.1119942196531792</v>
      </c>
      <c r="AO70" s="334">
        <v>7251053</v>
      </c>
      <c r="AP70" s="338">
        <v>694074</v>
      </c>
      <c r="AQ70" s="329">
        <f t="shared" si="0"/>
        <v>10.447089215270994</v>
      </c>
      <c r="AR70" s="297">
        <v>41040</v>
      </c>
      <c r="AS70" s="293" t="s">
        <v>680</v>
      </c>
      <c r="AT70" s="273"/>
    </row>
    <row r="71" spans="1:46" s="233" customFormat="1" ht="11.25" customHeight="1">
      <c r="A71" s="295" t="s">
        <v>656</v>
      </c>
      <c r="B71" s="236"/>
      <c r="C71" s="236"/>
      <c r="D71" s="236"/>
      <c r="E71" s="236"/>
      <c r="F71" s="236"/>
      <c r="G71" s="236"/>
      <c r="H71" s="236"/>
      <c r="I71" s="236"/>
      <c r="J71" s="558" t="s">
        <v>381</v>
      </c>
      <c r="K71" s="312" t="s">
        <v>89</v>
      </c>
      <c r="L71" s="341" t="s">
        <v>91</v>
      </c>
      <c r="M71" s="341" t="s">
        <v>375</v>
      </c>
      <c r="N71" s="370">
        <v>40928</v>
      </c>
      <c r="O71" s="288" t="s">
        <v>12</v>
      </c>
      <c r="P71" s="312">
        <v>57</v>
      </c>
      <c r="Q71" s="312">
        <v>2</v>
      </c>
      <c r="R71" s="312">
        <v>17</v>
      </c>
      <c r="S71" s="347">
        <v>150</v>
      </c>
      <c r="T71" s="348">
        <v>23</v>
      </c>
      <c r="U71" s="347">
        <v>334</v>
      </c>
      <c r="V71" s="348">
        <v>51</v>
      </c>
      <c r="W71" s="347">
        <v>434</v>
      </c>
      <c r="X71" s="348">
        <v>69</v>
      </c>
      <c r="Y71" s="334">
        <f>SUM(S71+U71+W71)</f>
        <v>918</v>
      </c>
      <c r="Z71" s="338">
        <f>T71+V71+X71</f>
        <v>143</v>
      </c>
      <c r="AA71" s="323">
        <f>IF(Y71&lt;&gt;0,Z71/Q71,"")</f>
        <v>71.5</v>
      </c>
      <c r="AB71" s="324">
        <f>IF(Y71&lt;&gt;0,Y71/Z71,"")</f>
        <v>6.419580419580419</v>
      </c>
      <c r="AC71" s="330">
        <v>1206</v>
      </c>
      <c r="AD71" s="326">
        <f>IF(AC71&lt;&gt;0,-(AC71-Y71)/AC71,"")</f>
        <v>-0.23880597014925373</v>
      </c>
      <c r="AE71" s="327">
        <f>AG71-Y71</f>
        <v>515</v>
      </c>
      <c r="AF71" s="323">
        <f>AH71-Z71</f>
        <v>86</v>
      </c>
      <c r="AG71" s="378">
        <v>1433</v>
      </c>
      <c r="AH71" s="379">
        <v>229</v>
      </c>
      <c r="AI71" s="326">
        <f>Z71*1/AH71</f>
        <v>0.6244541484716157</v>
      </c>
      <c r="AJ71" s="326">
        <f>AF71*1/AH71</f>
        <v>0.37554585152838427</v>
      </c>
      <c r="AK71" s="323">
        <f>AH71/Q71</f>
        <v>114.5</v>
      </c>
      <c r="AL71" s="324">
        <f>AG71/AH71</f>
        <v>6.25764192139738</v>
      </c>
      <c r="AM71" s="334">
        <v>2038</v>
      </c>
      <c r="AN71" s="326">
        <f t="shared" si="2"/>
        <v>-0.2968596663395486</v>
      </c>
      <c r="AO71" s="334">
        <v>1129416</v>
      </c>
      <c r="AP71" s="338">
        <v>120818</v>
      </c>
      <c r="AQ71" s="329">
        <f t="shared" si="0"/>
        <v>9.348077273253985</v>
      </c>
      <c r="AR71" s="297">
        <v>41040</v>
      </c>
      <c r="AS71" s="293" t="s">
        <v>656</v>
      </c>
      <c r="AT71" s="234"/>
    </row>
    <row r="72" spans="1:46" s="233" customFormat="1" ht="11.25" customHeight="1">
      <c r="A72" s="295" t="s">
        <v>467</v>
      </c>
      <c r="B72" s="236"/>
      <c r="C72" s="236"/>
      <c r="D72" s="236"/>
      <c r="E72" s="236"/>
      <c r="F72" s="236"/>
      <c r="G72" s="236"/>
      <c r="H72" s="236"/>
      <c r="I72" s="236" t="s">
        <v>54</v>
      </c>
      <c r="J72" s="560" t="s">
        <v>727</v>
      </c>
      <c r="K72" s="312"/>
      <c r="L72" s="341"/>
      <c r="M72" s="341" t="s">
        <v>727</v>
      </c>
      <c r="N72" s="370">
        <v>41019</v>
      </c>
      <c r="O72" s="288" t="s">
        <v>53</v>
      </c>
      <c r="P72" s="346">
        <v>10</v>
      </c>
      <c r="Q72" s="346">
        <v>5</v>
      </c>
      <c r="R72" s="346">
        <v>4</v>
      </c>
      <c r="S72" s="347">
        <v>238</v>
      </c>
      <c r="T72" s="348">
        <v>33</v>
      </c>
      <c r="U72" s="347">
        <v>201</v>
      </c>
      <c r="V72" s="348">
        <v>29</v>
      </c>
      <c r="W72" s="347">
        <v>344</v>
      </c>
      <c r="X72" s="348">
        <v>49</v>
      </c>
      <c r="Y72" s="334">
        <f>SUM(S72+U72+W72)</f>
        <v>783</v>
      </c>
      <c r="Z72" s="338">
        <f>T72+V72+X72</f>
        <v>111</v>
      </c>
      <c r="AA72" s="323">
        <f>IF(Y72&lt;&gt;0,Z72/Q72,"")</f>
        <v>22.2</v>
      </c>
      <c r="AB72" s="324">
        <f>IF(Y72&lt;&gt;0,Y72/Z72,"")</f>
        <v>7.054054054054054</v>
      </c>
      <c r="AC72" s="330">
        <v>1410</v>
      </c>
      <c r="AD72" s="326">
        <f>IF(AC72&lt;&gt;0,-(AC72-Y72)/AC72,"")</f>
        <v>-0.44468085106382976</v>
      </c>
      <c r="AE72" s="327">
        <f>AG72-Y72</f>
        <v>649</v>
      </c>
      <c r="AF72" s="323">
        <f>AH72-Z72</f>
        <v>107</v>
      </c>
      <c r="AG72" s="378">
        <v>1432</v>
      </c>
      <c r="AH72" s="379">
        <v>218</v>
      </c>
      <c r="AI72" s="326">
        <f>Z72*1/AH72</f>
        <v>0.5091743119266054</v>
      </c>
      <c r="AJ72" s="326">
        <f>AF72*1/AH72</f>
        <v>0.4908256880733945</v>
      </c>
      <c r="AK72" s="323">
        <f>AH72/Q72</f>
        <v>43.6</v>
      </c>
      <c r="AL72" s="324">
        <f>AG72/AH72</f>
        <v>6.568807339449541</v>
      </c>
      <c r="AM72" s="334">
        <v>2862.74</v>
      </c>
      <c r="AN72" s="326">
        <f t="shared" si="2"/>
        <v>-0.4997799311149458</v>
      </c>
      <c r="AO72" s="334">
        <f>9511.47+5201.92+2862.74+1432</f>
        <v>19008.129999999997</v>
      </c>
      <c r="AP72" s="338">
        <f>1194+685+402+218</f>
        <v>2499</v>
      </c>
      <c r="AQ72" s="329">
        <f aca="true" t="shared" si="3" ref="AQ72:AQ135">AO72/AP72</f>
        <v>7.606294517807122</v>
      </c>
      <c r="AR72" s="297">
        <v>41040</v>
      </c>
      <c r="AS72" s="293" t="s">
        <v>461</v>
      </c>
      <c r="AT72" s="234"/>
    </row>
    <row r="73" spans="1:46" s="233" customFormat="1" ht="11.25" customHeight="1">
      <c r="A73" s="295" t="s">
        <v>657</v>
      </c>
      <c r="B73" s="236"/>
      <c r="C73" s="236" t="s">
        <v>223</v>
      </c>
      <c r="D73" s="293"/>
      <c r="E73" s="293"/>
      <c r="F73" s="236"/>
      <c r="G73" s="293"/>
      <c r="H73" s="293"/>
      <c r="I73" s="236" t="s">
        <v>54</v>
      </c>
      <c r="J73" s="552" t="s">
        <v>101</v>
      </c>
      <c r="K73" s="339" t="s">
        <v>116</v>
      </c>
      <c r="L73" s="319"/>
      <c r="M73" s="339" t="s">
        <v>101</v>
      </c>
      <c r="N73" s="370">
        <v>40879</v>
      </c>
      <c r="O73" s="288" t="s">
        <v>68</v>
      </c>
      <c r="P73" s="312">
        <v>202</v>
      </c>
      <c r="Q73" s="312">
        <v>1</v>
      </c>
      <c r="R73" s="312">
        <v>19</v>
      </c>
      <c r="S73" s="325">
        <v>0</v>
      </c>
      <c r="T73" s="355">
        <v>0</v>
      </c>
      <c r="U73" s="325">
        <v>0</v>
      </c>
      <c r="V73" s="355">
        <v>0</v>
      </c>
      <c r="W73" s="325">
        <v>0</v>
      </c>
      <c r="X73" s="355">
        <v>0</v>
      </c>
      <c r="Y73" s="334">
        <f>SUM(S73+U73+W73)</f>
        <v>0</v>
      </c>
      <c r="Z73" s="338">
        <f>T73+V73+X73</f>
        <v>0</v>
      </c>
      <c r="AA73" s="323">
        <f>IF(Y73&lt;&gt;0,Z73/Q73,"")</f>
      </c>
      <c r="AB73" s="324">
        <f>IF(Y73&lt;&gt;0,Y73/Z73,"")</f>
      </c>
      <c r="AC73" s="330">
        <v>0</v>
      </c>
      <c r="AD73" s="326">
        <f>IF(AC73&lt;&gt;0,-(AC73-Y73)/AC73,"")</f>
      </c>
      <c r="AE73" s="327">
        <f>AG73-Y73</f>
        <v>1425.5</v>
      </c>
      <c r="AF73" s="323">
        <f>AH73-Z73</f>
        <v>285</v>
      </c>
      <c r="AG73" s="382">
        <v>1425.5</v>
      </c>
      <c r="AH73" s="383">
        <v>285</v>
      </c>
      <c r="AI73" s="326">
        <f>Z73*1/AH73</f>
        <v>0</v>
      </c>
      <c r="AJ73" s="326">
        <f>AF73*1/AH73</f>
        <v>1</v>
      </c>
      <c r="AK73" s="323">
        <f>AH73/Q73</f>
        <v>285</v>
      </c>
      <c r="AL73" s="324">
        <f>AG73/AH73</f>
        <v>5.0017543859649125</v>
      </c>
      <c r="AM73" s="328"/>
      <c r="AN73" s="326">
        <f t="shared" si="2"/>
      </c>
      <c r="AO73" s="328">
        <f>1080241.5+1088121+871543+502064+300294.5+131358.5+96969.5+68985+9253.5+5204.5+1760.5+2732.5+950.5+21051.01+1308+788+950.5+1188+1425.5</f>
        <v>4186189.51</v>
      </c>
      <c r="AP73" s="344">
        <f>121812+123965+100674+61096+39726+19116+14898+10338+1416+922+322+523+190+5321+312+187+190+238+285</f>
        <v>501531</v>
      </c>
      <c r="AQ73" s="329">
        <f t="shared" si="3"/>
        <v>8.346821053932857</v>
      </c>
      <c r="AR73" s="297">
        <v>41040</v>
      </c>
      <c r="AS73" s="293" t="s">
        <v>306</v>
      </c>
      <c r="AT73" s="234"/>
    </row>
    <row r="74" spans="1:46" s="233" customFormat="1" ht="11.25" customHeight="1">
      <c r="A74" s="295" t="s">
        <v>468</v>
      </c>
      <c r="B74" s="236"/>
      <c r="C74" s="236" t="s">
        <v>223</v>
      </c>
      <c r="D74" s="236" t="s">
        <v>193</v>
      </c>
      <c r="E74" s="236"/>
      <c r="F74" s="293"/>
      <c r="G74" s="236"/>
      <c r="H74" s="236"/>
      <c r="I74" s="236"/>
      <c r="J74" s="552" t="s">
        <v>390</v>
      </c>
      <c r="K74" s="339" t="s">
        <v>402</v>
      </c>
      <c r="L74" s="339" t="s">
        <v>88</v>
      </c>
      <c r="M74" s="339" t="s">
        <v>396</v>
      </c>
      <c r="N74" s="370">
        <v>40781</v>
      </c>
      <c r="O74" s="288" t="s">
        <v>68</v>
      </c>
      <c r="P74" s="312">
        <v>96</v>
      </c>
      <c r="Q74" s="312">
        <v>1</v>
      </c>
      <c r="R74" s="312">
        <v>23</v>
      </c>
      <c r="S74" s="325">
        <v>0</v>
      </c>
      <c r="T74" s="355">
        <v>0</v>
      </c>
      <c r="U74" s="325">
        <v>0</v>
      </c>
      <c r="V74" s="355">
        <v>0</v>
      </c>
      <c r="W74" s="325">
        <v>0</v>
      </c>
      <c r="X74" s="355">
        <v>0</v>
      </c>
      <c r="Y74" s="334">
        <f>SUM(S74+U74+W74)</f>
        <v>0</v>
      </c>
      <c r="Z74" s="338">
        <f>T74+V74+X74</f>
        <v>0</v>
      </c>
      <c r="AA74" s="323">
        <f>IF(Y74&lt;&gt;0,Z74/Q74,"")</f>
      </c>
      <c r="AB74" s="324">
        <f>IF(Y74&lt;&gt;0,Y74/Z74,"")</f>
      </c>
      <c r="AC74" s="330">
        <v>0</v>
      </c>
      <c r="AD74" s="326">
        <f>IF(AC74&lt;&gt;0,-(AC74-Y74)/AC74,"")</f>
      </c>
      <c r="AE74" s="327">
        <f>AG74-Y74</f>
        <v>1425.5</v>
      </c>
      <c r="AF74" s="323">
        <f>AH74-Z74</f>
        <v>285</v>
      </c>
      <c r="AG74" s="382">
        <v>1425.5</v>
      </c>
      <c r="AH74" s="383">
        <v>285</v>
      </c>
      <c r="AI74" s="326">
        <f>Z74*1/AH74</f>
        <v>0</v>
      </c>
      <c r="AJ74" s="326">
        <f>AF74*1/AH74</f>
        <v>1</v>
      </c>
      <c r="AK74" s="323">
        <f>AH74/Q74</f>
        <v>285</v>
      </c>
      <c r="AL74" s="324">
        <f>AG74/AH74</f>
        <v>5.0017543859649125</v>
      </c>
      <c r="AM74" s="328"/>
      <c r="AN74" s="326">
        <f t="shared" si="2"/>
      </c>
      <c r="AO74" s="328">
        <f>29056+844874+618474.25+386880.75+207889+130968.5+129398.5+101615+71628.5+47296.5+22263.5+13505+4171.5+5940+3840+5098.5+8056+3564+392+1059+768+1425.5+3801.5+1425.5</f>
        <v>2643391</v>
      </c>
      <c r="AP74" s="344">
        <f>4385+80857+63348+40336+22079+15879+16790+12949+9380+7537+4227+2497+926+1486+944+1206+1963+892+26+520+375+285+760+285</f>
        <v>289932</v>
      </c>
      <c r="AQ74" s="329">
        <f t="shared" si="3"/>
        <v>9.117279224093926</v>
      </c>
      <c r="AR74" s="297">
        <v>41040</v>
      </c>
      <c r="AS74" s="293" t="s">
        <v>306</v>
      </c>
      <c r="AT74" s="234"/>
    </row>
    <row r="75" spans="1:46" s="233" customFormat="1" ht="11.25" customHeight="1">
      <c r="A75" s="295" t="s">
        <v>658</v>
      </c>
      <c r="B75" s="293"/>
      <c r="C75" s="236"/>
      <c r="D75" s="236"/>
      <c r="E75" s="236"/>
      <c r="F75" s="236"/>
      <c r="G75" s="236"/>
      <c r="H75" s="236"/>
      <c r="I75" s="236"/>
      <c r="J75" s="560" t="s">
        <v>584</v>
      </c>
      <c r="K75" s="319"/>
      <c r="L75" s="319" t="s">
        <v>92</v>
      </c>
      <c r="M75" s="288" t="s">
        <v>584</v>
      </c>
      <c r="N75" s="370">
        <v>40970</v>
      </c>
      <c r="O75" s="288" t="s">
        <v>10</v>
      </c>
      <c r="P75" s="331">
        <v>31</v>
      </c>
      <c r="Q75" s="331">
        <v>2</v>
      </c>
      <c r="R75" s="331">
        <v>10</v>
      </c>
      <c r="S75" s="342">
        <v>100</v>
      </c>
      <c r="T75" s="343">
        <v>14</v>
      </c>
      <c r="U75" s="342">
        <v>335</v>
      </c>
      <c r="V75" s="343">
        <v>41</v>
      </c>
      <c r="W75" s="342">
        <v>359</v>
      </c>
      <c r="X75" s="343">
        <v>51</v>
      </c>
      <c r="Y75" s="334">
        <f>SUM(S75+U75+W75)</f>
        <v>794</v>
      </c>
      <c r="Z75" s="338">
        <f>T75+V75+X75</f>
        <v>106</v>
      </c>
      <c r="AA75" s="323">
        <f>IF(Y75&lt;&gt;0,Z75/Q75,"")</f>
        <v>53</v>
      </c>
      <c r="AB75" s="324">
        <f>IF(Y75&lt;&gt;0,Y75/Z75,"")</f>
        <v>7.490566037735849</v>
      </c>
      <c r="AC75" s="330">
        <v>83</v>
      </c>
      <c r="AD75" s="326">
        <f>IF(AC75&lt;&gt;0,-(AC75-Y75)/AC75,"")</f>
        <v>8.566265060240964</v>
      </c>
      <c r="AE75" s="327">
        <f>AG75-Y75</f>
        <v>604</v>
      </c>
      <c r="AF75" s="323">
        <f>AH75-Z75</f>
        <v>83</v>
      </c>
      <c r="AG75" s="380">
        <v>1398</v>
      </c>
      <c r="AH75" s="381">
        <v>189</v>
      </c>
      <c r="AI75" s="326">
        <f>Z75*1/AH75</f>
        <v>0.5608465608465608</v>
      </c>
      <c r="AJ75" s="326">
        <f>AF75*1/AH75</f>
        <v>0.43915343915343913</v>
      </c>
      <c r="AK75" s="323">
        <f>AH75/Q75</f>
        <v>94.5</v>
      </c>
      <c r="AL75" s="324">
        <f>AG75/AH75</f>
        <v>7.396825396825397</v>
      </c>
      <c r="AM75" s="334">
        <v>216</v>
      </c>
      <c r="AN75" s="326">
        <f t="shared" si="2"/>
        <v>5.472222222222222</v>
      </c>
      <c r="AO75" s="342">
        <v>347925</v>
      </c>
      <c r="AP75" s="343">
        <v>27913</v>
      </c>
      <c r="AQ75" s="329">
        <f t="shared" si="3"/>
        <v>12.464622219037725</v>
      </c>
      <c r="AR75" s="297">
        <v>41040</v>
      </c>
      <c r="AS75" s="293" t="s">
        <v>789</v>
      </c>
      <c r="AT75" s="234"/>
    </row>
    <row r="76" spans="1:46" s="233" customFormat="1" ht="11.25" customHeight="1">
      <c r="A76" s="295" t="s">
        <v>659</v>
      </c>
      <c r="B76" s="236"/>
      <c r="C76" s="236"/>
      <c r="D76" s="293"/>
      <c r="E76" s="293"/>
      <c r="F76" s="236"/>
      <c r="G76" s="293"/>
      <c r="H76" s="236"/>
      <c r="I76" s="236" t="s">
        <v>54</v>
      </c>
      <c r="J76" s="558" t="s">
        <v>269</v>
      </c>
      <c r="K76" s="312" t="s">
        <v>822</v>
      </c>
      <c r="L76" s="341"/>
      <c r="M76" s="341" t="s">
        <v>269</v>
      </c>
      <c r="N76" s="370">
        <v>41012</v>
      </c>
      <c r="O76" s="288" t="s">
        <v>52</v>
      </c>
      <c r="P76" s="312">
        <v>19</v>
      </c>
      <c r="Q76" s="312">
        <v>5</v>
      </c>
      <c r="R76" s="312">
        <v>5</v>
      </c>
      <c r="S76" s="334">
        <v>199</v>
      </c>
      <c r="T76" s="338">
        <v>31</v>
      </c>
      <c r="U76" s="334">
        <v>116</v>
      </c>
      <c r="V76" s="338">
        <v>18</v>
      </c>
      <c r="W76" s="334">
        <v>282</v>
      </c>
      <c r="X76" s="338">
        <v>42</v>
      </c>
      <c r="Y76" s="334">
        <f>SUM(S76+U76+W76)</f>
        <v>597</v>
      </c>
      <c r="Z76" s="338">
        <f>T76+V76+X76</f>
        <v>91</v>
      </c>
      <c r="AA76" s="323">
        <f>IF(Y76&lt;&gt;0,Z76/Q76,"")</f>
        <v>18.2</v>
      </c>
      <c r="AB76" s="324">
        <f>IF(Y76&lt;&gt;0,Y76/Z76,"")</f>
        <v>6.56043956043956</v>
      </c>
      <c r="AC76" s="334">
        <v>468</v>
      </c>
      <c r="AD76" s="326">
        <f>IF(AC76&lt;&gt;0,-(AC76-Y76)/AC76,"")</f>
        <v>0.27564102564102566</v>
      </c>
      <c r="AE76" s="327">
        <f>AG76-Y76</f>
        <v>712</v>
      </c>
      <c r="AF76" s="323">
        <f>AH76-Z76</f>
        <v>112</v>
      </c>
      <c r="AG76" s="378">
        <v>1309</v>
      </c>
      <c r="AH76" s="379">
        <v>203</v>
      </c>
      <c r="AI76" s="326">
        <f>Z76*1/AH76</f>
        <v>0.4482758620689655</v>
      </c>
      <c r="AJ76" s="326">
        <f>AF76*1/AH76</f>
        <v>0.5517241379310345</v>
      </c>
      <c r="AK76" s="323">
        <f>AH76/Q76</f>
        <v>40.6</v>
      </c>
      <c r="AL76" s="324">
        <f>AG76/AH76</f>
        <v>6.448275862068965</v>
      </c>
      <c r="AM76" s="334">
        <v>865</v>
      </c>
      <c r="AN76" s="326">
        <f t="shared" si="2"/>
        <v>0.5132947976878612</v>
      </c>
      <c r="AO76" s="334">
        <v>16302.57</v>
      </c>
      <c r="AP76" s="338">
        <v>2003</v>
      </c>
      <c r="AQ76" s="329">
        <f t="shared" si="3"/>
        <v>8.139076385421866</v>
      </c>
      <c r="AR76" s="297">
        <v>41040</v>
      </c>
      <c r="AS76" s="293" t="s">
        <v>684</v>
      </c>
      <c r="AT76" s="234"/>
    </row>
    <row r="77" spans="1:46" s="233" customFormat="1" ht="11.25" customHeight="1">
      <c r="A77" s="295" t="s">
        <v>680</v>
      </c>
      <c r="B77" s="236"/>
      <c r="C77" s="236"/>
      <c r="D77" s="236" t="s">
        <v>193</v>
      </c>
      <c r="E77" s="236"/>
      <c r="F77" s="236">
        <v>2</v>
      </c>
      <c r="G77" s="236"/>
      <c r="H77" s="236" t="s">
        <v>55</v>
      </c>
      <c r="I77" s="236"/>
      <c r="J77" s="557" t="s">
        <v>604</v>
      </c>
      <c r="K77" s="319"/>
      <c r="L77" s="312"/>
      <c r="M77" s="340" t="s">
        <v>603</v>
      </c>
      <c r="N77" s="370">
        <v>40977</v>
      </c>
      <c r="O77" s="288" t="s">
        <v>68</v>
      </c>
      <c r="P77" s="312">
        <v>167</v>
      </c>
      <c r="Q77" s="312">
        <v>8</v>
      </c>
      <c r="R77" s="312">
        <v>10</v>
      </c>
      <c r="S77" s="325">
        <v>15</v>
      </c>
      <c r="T77" s="355">
        <v>2</v>
      </c>
      <c r="U77" s="325">
        <v>235</v>
      </c>
      <c r="V77" s="355">
        <v>29</v>
      </c>
      <c r="W77" s="325">
        <v>222</v>
      </c>
      <c r="X77" s="355">
        <v>29</v>
      </c>
      <c r="Y77" s="334">
        <f>SUM(S77+U77+W77)</f>
        <v>472</v>
      </c>
      <c r="Z77" s="338">
        <f>T77+V77+X77</f>
        <v>60</v>
      </c>
      <c r="AA77" s="323">
        <f>IF(Y77&lt;&gt;0,Z77/Q77,"")</f>
        <v>7.5</v>
      </c>
      <c r="AB77" s="324">
        <f>IF(Y77&lt;&gt;0,Y77/Z77,"")</f>
        <v>7.866666666666666</v>
      </c>
      <c r="AC77" s="330">
        <v>3736.5</v>
      </c>
      <c r="AD77" s="326">
        <f>IF(AC77&lt;&gt;0,-(AC77-Y77)/AC77,"")</f>
        <v>-0.873678576207681</v>
      </c>
      <c r="AE77" s="327">
        <f>AG77-Y77</f>
        <v>694</v>
      </c>
      <c r="AF77" s="323">
        <f>AH77-Z77</f>
        <v>304</v>
      </c>
      <c r="AG77" s="382">
        <v>1166</v>
      </c>
      <c r="AH77" s="383">
        <v>364</v>
      </c>
      <c r="AI77" s="326">
        <f>Z77*1/AH77</f>
        <v>0.16483516483516483</v>
      </c>
      <c r="AJ77" s="326">
        <f>AF77*1/AH77</f>
        <v>0.8351648351648352</v>
      </c>
      <c r="AK77" s="323">
        <f>AH77/Q77</f>
        <v>45.5</v>
      </c>
      <c r="AL77" s="324">
        <f>AG77/AH77</f>
        <v>3.2032967032967035</v>
      </c>
      <c r="AM77" s="334">
        <v>10579.5</v>
      </c>
      <c r="AN77" s="326">
        <f t="shared" si="2"/>
        <v>-0.8897868519306206</v>
      </c>
      <c r="AO77" s="328">
        <f>1278312.83+795298.21+326656.42+218120.4+102315.55+39542.45+35229+10764.9+10579.5+1166</f>
        <v>2817985.26</v>
      </c>
      <c r="AP77" s="344">
        <f>140325+90866+39187+26956+13904+5855+6505+2100+2065+364</f>
        <v>328127</v>
      </c>
      <c r="AQ77" s="329">
        <f t="shared" si="3"/>
        <v>8.588093207812827</v>
      </c>
      <c r="AR77" s="297">
        <v>41040</v>
      </c>
      <c r="AS77" s="293" t="s">
        <v>440</v>
      </c>
      <c r="AT77" s="234"/>
    </row>
    <row r="78" spans="1:46" s="233" customFormat="1" ht="11.25" customHeight="1">
      <c r="A78" s="295" t="s">
        <v>469</v>
      </c>
      <c r="B78" s="236"/>
      <c r="C78" s="236"/>
      <c r="D78" s="293"/>
      <c r="E78" s="293"/>
      <c r="F78" s="236"/>
      <c r="G78" s="293"/>
      <c r="H78" s="236"/>
      <c r="I78" s="236"/>
      <c r="J78" s="560" t="s">
        <v>608</v>
      </c>
      <c r="K78" s="340"/>
      <c r="L78" s="312" t="s">
        <v>826</v>
      </c>
      <c r="M78" s="288" t="s">
        <v>598</v>
      </c>
      <c r="N78" s="370">
        <v>40977</v>
      </c>
      <c r="O78" s="288" t="s">
        <v>289</v>
      </c>
      <c r="P78" s="312">
        <v>3</v>
      </c>
      <c r="Q78" s="312">
        <v>1</v>
      </c>
      <c r="R78" s="312">
        <v>10</v>
      </c>
      <c r="S78" s="334">
        <v>122</v>
      </c>
      <c r="T78" s="338">
        <v>18</v>
      </c>
      <c r="U78" s="334">
        <v>94</v>
      </c>
      <c r="V78" s="338">
        <v>13</v>
      </c>
      <c r="W78" s="334">
        <v>299</v>
      </c>
      <c r="X78" s="338">
        <v>42</v>
      </c>
      <c r="Y78" s="334">
        <f>SUM(S78+U78+W78)</f>
        <v>515</v>
      </c>
      <c r="Z78" s="338">
        <f>T78+V78+X78</f>
        <v>73</v>
      </c>
      <c r="AA78" s="323">
        <f>IF(Y78&lt;&gt;0,Z78/Q78,"")</f>
        <v>73</v>
      </c>
      <c r="AB78" s="324">
        <f>IF(Y78&lt;&gt;0,Y78/Z78,"")</f>
        <v>7.054794520547945</v>
      </c>
      <c r="AC78" s="325">
        <v>684</v>
      </c>
      <c r="AD78" s="326">
        <f>IF(AC78&lt;&gt;0,-(AC78-Y78)/AC78,"")</f>
        <v>-0.24707602339181287</v>
      </c>
      <c r="AE78" s="327">
        <f>AG78-Y78</f>
        <v>234</v>
      </c>
      <c r="AF78" s="323">
        <f>AH78-Z78</f>
        <v>34</v>
      </c>
      <c r="AG78" s="378">
        <v>749</v>
      </c>
      <c r="AH78" s="379">
        <v>107</v>
      </c>
      <c r="AI78" s="326">
        <f>Z78*1/AH78</f>
        <v>0.6822429906542056</v>
      </c>
      <c r="AJ78" s="326">
        <f>AF78*1/AH78</f>
        <v>0.3177570093457944</v>
      </c>
      <c r="AK78" s="323">
        <f>AH78/Q78</f>
        <v>107</v>
      </c>
      <c r="AL78" s="324">
        <f>AG78/AH78</f>
        <v>7</v>
      </c>
      <c r="AM78" s="328">
        <v>1556</v>
      </c>
      <c r="AN78" s="326">
        <f t="shared" si="2"/>
        <v>-0.5186375321336761</v>
      </c>
      <c r="AO78" s="334">
        <v>31718.5</v>
      </c>
      <c r="AP78" s="338">
        <v>3444</v>
      </c>
      <c r="AQ78" s="329">
        <f t="shared" si="3"/>
        <v>9.209785133565621</v>
      </c>
      <c r="AR78" s="297">
        <v>41040</v>
      </c>
      <c r="AS78" s="293" t="s">
        <v>658</v>
      </c>
      <c r="AT78" s="234"/>
    </row>
    <row r="79" spans="1:46" s="233" customFormat="1" ht="11.25" customHeight="1">
      <c r="A79" s="295" t="s">
        <v>681</v>
      </c>
      <c r="B79" s="236"/>
      <c r="C79" s="236" t="s">
        <v>223</v>
      </c>
      <c r="D79" s="236"/>
      <c r="E79" s="236"/>
      <c r="F79" s="236"/>
      <c r="G79" s="236"/>
      <c r="H79" s="236"/>
      <c r="I79" s="236"/>
      <c r="J79" s="552" t="s">
        <v>928</v>
      </c>
      <c r="K79" s="312" t="s">
        <v>930</v>
      </c>
      <c r="L79" s="319" t="s">
        <v>120</v>
      </c>
      <c r="M79" s="339" t="s">
        <v>929</v>
      </c>
      <c r="N79" s="370">
        <v>40754</v>
      </c>
      <c r="O79" s="288" t="s">
        <v>68</v>
      </c>
      <c r="P79" s="312">
        <v>19</v>
      </c>
      <c r="Q79" s="312">
        <v>1</v>
      </c>
      <c r="R79" s="312">
        <v>15</v>
      </c>
      <c r="S79" s="325">
        <v>0</v>
      </c>
      <c r="T79" s="355">
        <v>0</v>
      </c>
      <c r="U79" s="325">
        <v>0</v>
      </c>
      <c r="V79" s="355">
        <v>0</v>
      </c>
      <c r="W79" s="325">
        <v>0</v>
      </c>
      <c r="X79" s="355">
        <v>0</v>
      </c>
      <c r="Y79" s="334">
        <f>SUM(S79+U79+W79)</f>
        <v>0</v>
      </c>
      <c r="Z79" s="338">
        <f>T79+V79+X79</f>
        <v>0</v>
      </c>
      <c r="AA79" s="323"/>
      <c r="AB79" s="324"/>
      <c r="AC79" s="334">
        <v>0</v>
      </c>
      <c r="AD79" s="326"/>
      <c r="AE79" s="327">
        <f>AG79-Y79</f>
        <v>594</v>
      </c>
      <c r="AF79" s="323">
        <f>AH79-Z79</f>
        <v>119</v>
      </c>
      <c r="AG79" s="382">
        <v>594</v>
      </c>
      <c r="AH79" s="383">
        <v>119</v>
      </c>
      <c r="AI79" s="326">
        <f>Z79*1/AH79</f>
        <v>0</v>
      </c>
      <c r="AJ79" s="326">
        <f>AF79*1/AH79</f>
        <v>1</v>
      </c>
      <c r="AK79" s="323">
        <f>AH79/Q79</f>
        <v>119</v>
      </c>
      <c r="AL79" s="324">
        <f>AG79/AH79</f>
        <v>4.991596638655462</v>
      </c>
      <c r="AM79" s="328"/>
      <c r="AN79" s="326"/>
      <c r="AO79" s="328">
        <f>69032+15425.5+9802+4755.5+7049.5+3610.5+8536+6024.5+2322+245+405.5+1307+950.5+594</f>
        <v>130059.5</v>
      </c>
      <c r="AP79" s="344">
        <f>5509+1589+1417+704+842+602+1038+829+323+37+46+327+238+119</f>
        <v>13620</v>
      </c>
      <c r="AQ79" s="329">
        <f t="shared" si="3"/>
        <v>9.549155653450807</v>
      </c>
      <c r="AR79" s="297">
        <v>41040</v>
      </c>
      <c r="AS79" s="293" t="s">
        <v>306</v>
      </c>
      <c r="AT79" s="234"/>
    </row>
    <row r="80" spans="1:46" s="233" customFormat="1" ht="11.25" customHeight="1">
      <c r="A80" s="295" t="s">
        <v>325</v>
      </c>
      <c r="B80" s="236"/>
      <c r="C80" s="293"/>
      <c r="D80" s="236"/>
      <c r="E80" s="236"/>
      <c r="F80" s="236"/>
      <c r="G80" s="236"/>
      <c r="H80" s="236"/>
      <c r="I80" s="236" t="s">
        <v>54</v>
      </c>
      <c r="J80" s="557" t="s">
        <v>616</v>
      </c>
      <c r="K80" s="340" t="s">
        <v>617</v>
      </c>
      <c r="L80" s="312"/>
      <c r="M80" s="288" t="s">
        <v>616</v>
      </c>
      <c r="N80" s="370">
        <v>40984</v>
      </c>
      <c r="O80" s="288" t="s">
        <v>52</v>
      </c>
      <c r="P80" s="312">
        <v>206</v>
      </c>
      <c r="Q80" s="312">
        <v>2</v>
      </c>
      <c r="R80" s="312">
        <v>9</v>
      </c>
      <c r="S80" s="334">
        <v>60</v>
      </c>
      <c r="T80" s="338">
        <v>10</v>
      </c>
      <c r="U80" s="334">
        <v>154</v>
      </c>
      <c r="V80" s="338">
        <v>23</v>
      </c>
      <c r="W80" s="334">
        <v>135</v>
      </c>
      <c r="X80" s="338">
        <v>19</v>
      </c>
      <c r="Y80" s="334">
        <f>SUM(S80+U80+W80)</f>
        <v>349</v>
      </c>
      <c r="Z80" s="338">
        <f>T80+V80+X80</f>
        <v>52</v>
      </c>
      <c r="AA80" s="323">
        <f>IF(Y80&lt;&gt;0,Z80/Q80,"")</f>
        <v>26</v>
      </c>
      <c r="AB80" s="324">
        <f>IF(Y80&lt;&gt;0,Y80/Z80,"")</f>
        <v>6.711538461538462</v>
      </c>
      <c r="AC80" s="330">
        <v>861</v>
      </c>
      <c r="AD80" s="326">
        <f>IF(AC80&lt;&gt;0,-(AC80-Y80)/AC80,"")</f>
        <v>-0.59465737514518</v>
      </c>
      <c r="AE80" s="327">
        <f>AG80-Y80</f>
        <v>228</v>
      </c>
      <c r="AF80" s="323">
        <f>AH80-Z80</f>
        <v>36</v>
      </c>
      <c r="AG80" s="378">
        <v>577</v>
      </c>
      <c r="AH80" s="379">
        <v>88</v>
      </c>
      <c r="AI80" s="326">
        <f>Z80*1/AH80</f>
        <v>0.5909090909090909</v>
      </c>
      <c r="AJ80" s="326">
        <f>AF80*1/AH80</f>
        <v>0.4090909090909091</v>
      </c>
      <c r="AK80" s="323">
        <f>AH80/Q80</f>
        <v>44</v>
      </c>
      <c r="AL80" s="324">
        <f>AG80/AH80</f>
        <v>6.556818181818182</v>
      </c>
      <c r="AM80" s="334">
        <v>3567</v>
      </c>
      <c r="AN80" s="326">
        <f aca="true" t="shared" si="4" ref="AN80:AN143">IF(AM80&lt;&gt;0,-(AM80-AG80)/AM80,"")</f>
        <v>-0.8382394168769274</v>
      </c>
      <c r="AO80" s="334">
        <v>617289.34</v>
      </c>
      <c r="AP80" s="338">
        <v>78708</v>
      </c>
      <c r="AQ80" s="329">
        <f t="shared" si="3"/>
        <v>7.84277760837526</v>
      </c>
      <c r="AR80" s="297">
        <v>41040</v>
      </c>
      <c r="AS80" s="293" t="s">
        <v>456</v>
      </c>
      <c r="AT80" s="234"/>
    </row>
    <row r="81" spans="1:46" s="233" customFormat="1" ht="11.25" customHeight="1">
      <c r="A81" s="295" t="s">
        <v>933</v>
      </c>
      <c r="B81" s="236"/>
      <c r="C81" s="236"/>
      <c r="D81" s="236"/>
      <c r="E81" s="236"/>
      <c r="F81" s="236"/>
      <c r="G81" s="236"/>
      <c r="H81" s="236"/>
      <c r="I81" s="236" t="s">
        <v>54</v>
      </c>
      <c r="J81" s="560" t="s">
        <v>618</v>
      </c>
      <c r="K81" s="312"/>
      <c r="L81" s="288"/>
      <c r="M81" s="288" t="s">
        <v>618</v>
      </c>
      <c r="N81" s="369">
        <v>40984</v>
      </c>
      <c r="O81" s="288" t="s">
        <v>53</v>
      </c>
      <c r="P81" s="346">
        <v>121</v>
      </c>
      <c r="Q81" s="346">
        <v>1</v>
      </c>
      <c r="R81" s="346">
        <v>9</v>
      </c>
      <c r="S81" s="347">
        <v>90</v>
      </c>
      <c r="T81" s="348">
        <v>30</v>
      </c>
      <c r="U81" s="347">
        <v>67.5</v>
      </c>
      <c r="V81" s="348">
        <v>24</v>
      </c>
      <c r="W81" s="347">
        <v>90</v>
      </c>
      <c r="X81" s="348">
        <v>34</v>
      </c>
      <c r="Y81" s="334">
        <f>SUM(S81+U81+W81)</f>
        <v>247.5</v>
      </c>
      <c r="Z81" s="338">
        <f>T81+V81+X81</f>
        <v>88</v>
      </c>
      <c r="AA81" s="323">
        <f>IF(Y81&lt;&gt;0,Z81/Q81,"")</f>
        <v>88</v>
      </c>
      <c r="AB81" s="324">
        <f>IF(Y81&lt;&gt;0,Y81/Z81,"")</f>
        <v>2.8125</v>
      </c>
      <c r="AC81" s="330">
        <v>468</v>
      </c>
      <c r="AD81" s="326">
        <f>IF(AC81&lt;&gt;0,-(AC81-Y81)/AC81,"")</f>
        <v>-0.47115384615384615</v>
      </c>
      <c r="AE81" s="327">
        <f>AG81-Y81</f>
        <v>307.5</v>
      </c>
      <c r="AF81" s="323">
        <f>AH81-Z81</f>
        <v>116</v>
      </c>
      <c r="AG81" s="378">
        <v>555</v>
      </c>
      <c r="AH81" s="379">
        <v>204</v>
      </c>
      <c r="AI81" s="326">
        <f>Z81*1/AH81</f>
        <v>0.43137254901960786</v>
      </c>
      <c r="AJ81" s="326">
        <f>AF81*1/AH81</f>
        <v>0.5686274509803921</v>
      </c>
      <c r="AK81" s="323">
        <f>AH81/Q81</f>
        <v>204</v>
      </c>
      <c r="AL81" s="324">
        <f>AG81/AH81</f>
        <v>2.7205882352941178</v>
      </c>
      <c r="AM81" s="334">
        <v>733</v>
      </c>
      <c r="AN81" s="326">
        <f t="shared" si="4"/>
        <v>-0.24283765347885403</v>
      </c>
      <c r="AO81" s="334">
        <f>473567.49+256734.07+139144.54+37019.89+12727+8216.5+1450+733+555</f>
        <v>930147.4900000001</v>
      </c>
      <c r="AP81" s="338">
        <f>52358+28804+16705+5262+2060+1531+259+129+204</f>
        <v>107312</v>
      </c>
      <c r="AQ81" s="329">
        <f t="shared" si="3"/>
        <v>8.667693175041004</v>
      </c>
      <c r="AR81" s="297">
        <v>41040</v>
      </c>
      <c r="AS81" s="293" t="s">
        <v>787</v>
      </c>
      <c r="AT81" s="234"/>
    </row>
    <row r="82" spans="1:46" s="233" customFormat="1" ht="11.25" customHeight="1">
      <c r="A82" s="295" t="s">
        <v>934</v>
      </c>
      <c r="B82" s="293"/>
      <c r="C82" s="236"/>
      <c r="D82" s="293"/>
      <c r="E82" s="293"/>
      <c r="F82" s="236"/>
      <c r="G82" s="293"/>
      <c r="H82" s="236"/>
      <c r="I82" s="236"/>
      <c r="J82" s="560" t="s">
        <v>513</v>
      </c>
      <c r="K82" s="288" t="s">
        <v>821</v>
      </c>
      <c r="L82" s="288" t="s">
        <v>94</v>
      </c>
      <c r="M82" s="288" t="s">
        <v>514</v>
      </c>
      <c r="N82" s="370">
        <v>40949</v>
      </c>
      <c r="O82" s="288" t="s">
        <v>52</v>
      </c>
      <c r="P82" s="312">
        <v>26</v>
      </c>
      <c r="Q82" s="312">
        <v>1</v>
      </c>
      <c r="R82" s="312">
        <v>13</v>
      </c>
      <c r="S82" s="334">
        <v>72</v>
      </c>
      <c r="T82" s="338">
        <v>24</v>
      </c>
      <c r="U82" s="334">
        <v>294</v>
      </c>
      <c r="V82" s="338">
        <v>92</v>
      </c>
      <c r="W82" s="334">
        <v>108</v>
      </c>
      <c r="X82" s="338">
        <v>36</v>
      </c>
      <c r="Y82" s="334">
        <f>SUM(S82+U82+W82)</f>
        <v>474</v>
      </c>
      <c r="Z82" s="338">
        <f>T82+V82+X82</f>
        <v>152</v>
      </c>
      <c r="AA82" s="323">
        <f>IF(Y82&lt;&gt;0,Z82/Q82,"")</f>
        <v>152</v>
      </c>
      <c r="AB82" s="324">
        <f>IF(Y82&lt;&gt;0,Y82/Z82,"")</f>
        <v>3.1184210526315788</v>
      </c>
      <c r="AC82" s="325">
        <v>478</v>
      </c>
      <c r="AD82" s="326">
        <f>IF(AC82&lt;&gt;0,-(AC82-Y82)/AC82,"")</f>
        <v>-0.008368200836820083</v>
      </c>
      <c r="AE82" s="327">
        <f>AG82-Y82</f>
        <v>81</v>
      </c>
      <c r="AF82" s="323">
        <f>AH82-Z82</f>
        <v>27</v>
      </c>
      <c r="AG82" s="378">
        <v>555</v>
      </c>
      <c r="AH82" s="379">
        <v>179</v>
      </c>
      <c r="AI82" s="326">
        <f>Z82*1/AH82</f>
        <v>0.8491620111731844</v>
      </c>
      <c r="AJ82" s="326">
        <f>AF82*1/AH82</f>
        <v>0.15083798882681565</v>
      </c>
      <c r="AK82" s="323">
        <f>AH82/Q82</f>
        <v>179</v>
      </c>
      <c r="AL82" s="324">
        <f>AG82/AH82</f>
        <v>3.100558659217877</v>
      </c>
      <c r="AM82" s="328">
        <v>900</v>
      </c>
      <c r="AN82" s="326">
        <f t="shared" si="4"/>
        <v>-0.38333333333333336</v>
      </c>
      <c r="AO82" s="334">
        <v>195509.71</v>
      </c>
      <c r="AP82" s="338">
        <v>21153</v>
      </c>
      <c r="AQ82" s="329">
        <f t="shared" si="3"/>
        <v>9.242646905876235</v>
      </c>
      <c r="AR82" s="297">
        <v>41040</v>
      </c>
      <c r="AS82" s="293" t="s">
        <v>683</v>
      </c>
      <c r="AT82" s="234"/>
    </row>
    <row r="83" spans="1:46" s="233" customFormat="1" ht="11.25" customHeight="1">
      <c r="A83" s="295" t="s">
        <v>682</v>
      </c>
      <c r="B83" s="293"/>
      <c r="C83" s="236"/>
      <c r="D83" s="236" t="s">
        <v>193</v>
      </c>
      <c r="E83" s="236">
        <v>3</v>
      </c>
      <c r="F83" s="236">
        <v>2</v>
      </c>
      <c r="G83" s="236"/>
      <c r="H83" s="236"/>
      <c r="I83" s="236"/>
      <c r="J83" s="552" t="s">
        <v>606</v>
      </c>
      <c r="K83" s="319"/>
      <c r="L83" s="312"/>
      <c r="M83" s="339" t="s">
        <v>607</v>
      </c>
      <c r="N83" s="369">
        <v>40977</v>
      </c>
      <c r="O83" s="288" t="s">
        <v>12</v>
      </c>
      <c r="P83" s="312">
        <v>101</v>
      </c>
      <c r="Q83" s="312">
        <v>1</v>
      </c>
      <c r="R83" s="312">
        <v>10</v>
      </c>
      <c r="S83" s="347">
        <v>175</v>
      </c>
      <c r="T83" s="348">
        <v>25</v>
      </c>
      <c r="U83" s="347">
        <v>49</v>
      </c>
      <c r="V83" s="348">
        <v>7</v>
      </c>
      <c r="W83" s="347">
        <v>28</v>
      </c>
      <c r="X83" s="348">
        <v>4</v>
      </c>
      <c r="Y83" s="334">
        <f>SUM(S83+U83+W83)</f>
        <v>252</v>
      </c>
      <c r="Z83" s="338">
        <f>T83+V83+X83</f>
        <v>36</v>
      </c>
      <c r="AA83" s="323">
        <f>IF(Y83&lt;&gt;0,Z83/Q83,"")</f>
        <v>36</v>
      </c>
      <c r="AB83" s="324">
        <f>IF(Y83&lt;&gt;0,Y83/Z83,"")</f>
        <v>7</v>
      </c>
      <c r="AC83" s="330">
        <v>553</v>
      </c>
      <c r="AD83" s="326">
        <f>IF(AC83&lt;&gt;0,-(AC83-Y83)/AC83,"")</f>
        <v>-0.5443037974683544</v>
      </c>
      <c r="AE83" s="327">
        <f>AG83-Y83</f>
        <v>203</v>
      </c>
      <c r="AF83" s="323">
        <f>AH83-Z83</f>
        <v>29</v>
      </c>
      <c r="AG83" s="378">
        <v>455</v>
      </c>
      <c r="AH83" s="379">
        <v>65</v>
      </c>
      <c r="AI83" s="326">
        <f>Z83*1/AH83</f>
        <v>0.5538461538461539</v>
      </c>
      <c r="AJ83" s="326">
        <f>AF83*1/AH83</f>
        <v>0.4461538461538462</v>
      </c>
      <c r="AK83" s="323">
        <f>AH83/Q83</f>
        <v>65</v>
      </c>
      <c r="AL83" s="324">
        <f>AG83/AH83</f>
        <v>7</v>
      </c>
      <c r="AM83" s="328">
        <v>785</v>
      </c>
      <c r="AN83" s="326">
        <f t="shared" si="4"/>
        <v>-0.42038216560509556</v>
      </c>
      <c r="AO83" s="334">
        <v>1712857</v>
      </c>
      <c r="AP83" s="338">
        <v>151560</v>
      </c>
      <c r="AQ83" s="329">
        <f t="shared" si="3"/>
        <v>11.301510952757983</v>
      </c>
      <c r="AR83" s="297">
        <v>41040</v>
      </c>
      <c r="AS83" s="293" t="s">
        <v>786</v>
      </c>
      <c r="AT83" s="234"/>
    </row>
    <row r="84" spans="1:46" s="233" customFormat="1" ht="11.25" customHeight="1">
      <c r="A84" s="295" t="s">
        <v>683</v>
      </c>
      <c r="B84" s="236"/>
      <c r="C84" s="293"/>
      <c r="D84" s="236"/>
      <c r="E84" s="236"/>
      <c r="F84" s="236"/>
      <c r="G84" s="236"/>
      <c r="H84" s="236"/>
      <c r="I84" s="236" t="s">
        <v>54</v>
      </c>
      <c r="J84" s="557" t="s">
        <v>685</v>
      </c>
      <c r="K84" s="312" t="s">
        <v>820</v>
      </c>
      <c r="L84" s="288"/>
      <c r="M84" s="288" t="s">
        <v>685</v>
      </c>
      <c r="N84" s="370">
        <v>41005</v>
      </c>
      <c r="O84" s="288" t="s">
        <v>52</v>
      </c>
      <c r="P84" s="312">
        <v>21</v>
      </c>
      <c r="Q84" s="312">
        <v>4</v>
      </c>
      <c r="R84" s="312">
        <v>6</v>
      </c>
      <c r="S84" s="334">
        <v>44</v>
      </c>
      <c r="T84" s="338">
        <v>8</v>
      </c>
      <c r="U84" s="334">
        <v>76</v>
      </c>
      <c r="V84" s="338">
        <v>14</v>
      </c>
      <c r="W84" s="334">
        <v>103</v>
      </c>
      <c r="X84" s="338">
        <v>16</v>
      </c>
      <c r="Y84" s="334">
        <f>SUM(S84+U84+W84)</f>
        <v>223</v>
      </c>
      <c r="Z84" s="338">
        <f>T84+V84+X84</f>
        <v>38</v>
      </c>
      <c r="AA84" s="323">
        <f>IF(Y84&lt;&gt;0,Z84/Q84,"")</f>
        <v>9.5</v>
      </c>
      <c r="AB84" s="324">
        <f>IF(Y84&lt;&gt;0,Y84/Z84,"")</f>
        <v>5.868421052631579</v>
      </c>
      <c r="AC84" s="330">
        <v>1100</v>
      </c>
      <c r="AD84" s="326">
        <f>IF(AC84&lt;&gt;0,-(AC84-Y84)/AC84,"")</f>
        <v>-0.7972727272727272</v>
      </c>
      <c r="AE84" s="327">
        <f>AG84-Y84</f>
        <v>222</v>
      </c>
      <c r="AF84" s="323">
        <f>AH84-Z84</f>
        <v>36</v>
      </c>
      <c r="AG84" s="378">
        <v>445</v>
      </c>
      <c r="AH84" s="379">
        <v>74</v>
      </c>
      <c r="AI84" s="326">
        <f>Z84*1/AH84</f>
        <v>0.5135135135135135</v>
      </c>
      <c r="AJ84" s="326">
        <f>AF84*1/AH84</f>
        <v>0.4864864864864865</v>
      </c>
      <c r="AK84" s="323">
        <f>AH84/Q84</f>
        <v>18.5</v>
      </c>
      <c r="AL84" s="324">
        <f>AG84/AH84</f>
        <v>6.013513513513513</v>
      </c>
      <c r="AM84" s="334">
        <v>2002.49</v>
      </c>
      <c r="AN84" s="326">
        <f t="shared" si="4"/>
        <v>-0.7777766680482799</v>
      </c>
      <c r="AO84" s="334">
        <v>19088.25</v>
      </c>
      <c r="AP84" s="338">
        <v>2507</v>
      </c>
      <c r="AQ84" s="329">
        <f t="shared" si="3"/>
        <v>7.613980853609893</v>
      </c>
      <c r="AR84" s="297">
        <v>41040</v>
      </c>
      <c r="AS84" s="293" t="s">
        <v>467</v>
      </c>
      <c r="AT84" s="234"/>
    </row>
    <row r="85" spans="1:46" s="233" customFormat="1" ht="11.25" customHeight="1">
      <c r="A85" s="295" t="s">
        <v>684</v>
      </c>
      <c r="B85" s="236"/>
      <c r="C85" s="236" t="s">
        <v>223</v>
      </c>
      <c r="D85" s="236" t="s">
        <v>193</v>
      </c>
      <c r="E85" s="236"/>
      <c r="F85" s="236">
        <v>2</v>
      </c>
      <c r="G85" s="236" t="s">
        <v>250</v>
      </c>
      <c r="H85" s="236" t="s">
        <v>55</v>
      </c>
      <c r="I85" s="236"/>
      <c r="J85" s="552" t="s">
        <v>133</v>
      </c>
      <c r="K85" s="312" t="s">
        <v>494</v>
      </c>
      <c r="L85" s="341" t="s">
        <v>91</v>
      </c>
      <c r="M85" s="339" t="s">
        <v>134</v>
      </c>
      <c r="N85" s="370">
        <v>40893</v>
      </c>
      <c r="O85" s="288" t="s">
        <v>68</v>
      </c>
      <c r="P85" s="312">
        <v>131</v>
      </c>
      <c r="Q85" s="312">
        <v>2</v>
      </c>
      <c r="R85" s="312">
        <v>19</v>
      </c>
      <c r="S85" s="325">
        <v>0</v>
      </c>
      <c r="T85" s="355">
        <v>0</v>
      </c>
      <c r="U85" s="325">
        <v>0</v>
      </c>
      <c r="V85" s="355">
        <v>0</v>
      </c>
      <c r="W85" s="325">
        <v>0</v>
      </c>
      <c r="X85" s="355">
        <v>0</v>
      </c>
      <c r="Y85" s="334">
        <f>SUM(S85+U85+W85)</f>
        <v>0</v>
      </c>
      <c r="Z85" s="338">
        <f>T85+V85+X85</f>
        <v>0</v>
      </c>
      <c r="AA85" s="323">
        <f>IF(Y85&lt;&gt;0,Z85/Q85,"")</f>
      </c>
      <c r="AB85" s="324">
        <f>IF(Y85&lt;&gt;0,Y85/Z85,"")</f>
      </c>
      <c r="AC85" s="330">
        <v>0</v>
      </c>
      <c r="AD85" s="326">
        <f>IF(AC85&lt;&gt;0,-(AC85-Y85)/AC85,"")</f>
      </c>
      <c r="AE85" s="327">
        <f>AG85-Y85</f>
        <v>392</v>
      </c>
      <c r="AF85" s="323">
        <f>AH85-Z85</f>
        <v>28</v>
      </c>
      <c r="AG85" s="382">
        <v>392</v>
      </c>
      <c r="AH85" s="383">
        <v>28</v>
      </c>
      <c r="AI85" s="326">
        <f>Z85*1/AH85</f>
        <v>0</v>
      </c>
      <c r="AJ85" s="326">
        <f>AF85*1/AH85</f>
        <v>1</v>
      </c>
      <c r="AK85" s="323">
        <f>AH85/Q85</f>
        <v>14</v>
      </c>
      <c r="AL85" s="324">
        <f>AG85/AH85</f>
        <v>14</v>
      </c>
      <c r="AM85" s="328"/>
      <c r="AN85" s="326">
        <f t="shared" si="4"/>
      </c>
      <c r="AO85" s="328">
        <f>1320389+1047397.5+530759.5+445722+254656.5+279760.5+107391.5+47477+25130+6341+19078.5+7416+6006+4427+9183+263+1814+713+392</f>
        <v>4114317</v>
      </c>
      <c r="AP85" s="344">
        <f>139659+113627+60100+49146+32088+35564+15150+6705+3672+1942+4389+1420+1179+871+1748+38+361+142+28</f>
        <v>467829</v>
      </c>
      <c r="AQ85" s="329">
        <f t="shared" si="3"/>
        <v>8.794489012010798</v>
      </c>
      <c r="AR85" s="297">
        <v>41040</v>
      </c>
      <c r="AS85" s="293" t="s">
        <v>306</v>
      </c>
      <c r="AT85" s="234"/>
    </row>
    <row r="86" spans="1:46" s="233" customFormat="1" ht="11.25" customHeight="1">
      <c r="A86" s="295" t="s">
        <v>784</v>
      </c>
      <c r="B86" s="236"/>
      <c r="C86" s="236"/>
      <c r="D86" s="236"/>
      <c r="E86" s="236"/>
      <c r="F86" s="236"/>
      <c r="G86" s="236"/>
      <c r="H86" s="294"/>
      <c r="I86" s="236"/>
      <c r="J86" s="560" t="s">
        <v>344</v>
      </c>
      <c r="K86" s="312"/>
      <c r="L86" s="340"/>
      <c r="M86" s="288" t="s">
        <v>345</v>
      </c>
      <c r="N86" s="370">
        <v>40556</v>
      </c>
      <c r="O86" s="288" t="s">
        <v>10</v>
      </c>
      <c r="P86" s="312">
        <v>85</v>
      </c>
      <c r="Q86" s="312">
        <v>2</v>
      </c>
      <c r="R86" s="312">
        <v>9</v>
      </c>
      <c r="S86" s="347">
        <v>106</v>
      </c>
      <c r="T86" s="348">
        <v>16</v>
      </c>
      <c r="U86" s="347">
        <v>460</v>
      </c>
      <c r="V86" s="348">
        <v>75</v>
      </c>
      <c r="W86" s="347">
        <v>231</v>
      </c>
      <c r="X86" s="348">
        <v>48</v>
      </c>
      <c r="Y86" s="334">
        <f>SUM(S86+U86+W86)</f>
        <v>797</v>
      </c>
      <c r="Z86" s="338">
        <f>T86+V86+X86</f>
        <v>139</v>
      </c>
      <c r="AA86" s="323">
        <f>IF(Y86&lt;&gt;0,Z86/Q86,"")</f>
        <v>69.5</v>
      </c>
      <c r="AB86" s="324">
        <f>IF(Y86&lt;&gt;0,Y86/Z86,"")</f>
        <v>5.733812949640288</v>
      </c>
      <c r="AC86" s="330">
        <v>0</v>
      </c>
      <c r="AD86" s="326">
        <f>IF(AC86&lt;&gt;0,-(AC86-Y86)/AC86,"")</f>
      </c>
      <c r="AE86" s="327">
        <f>AG86-Y86</f>
        <v>-515</v>
      </c>
      <c r="AF86" s="323">
        <f>AH86-Z86</f>
        <v>-75</v>
      </c>
      <c r="AG86" s="380">
        <v>282</v>
      </c>
      <c r="AH86" s="381">
        <v>64</v>
      </c>
      <c r="AI86" s="326">
        <f>Z86*1/AH86</f>
        <v>2.171875</v>
      </c>
      <c r="AJ86" s="326">
        <f>AF86*1/AH86</f>
        <v>-1.171875</v>
      </c>
      <c r="AK86" s="323">
        <f>AH86/Q86</f>
        <v>32</v>
      </c>
      <c r="AL86" s="324">
        <f>AG86/AH86</f>
        <v>4.40625</v>
      </c>
      <c r="AM86" s="334"/>
      <c r="AN86" s="326">
        <f t="shared" si="4"/>
      </c>
      <c r="AO86" s="342">
        <v>1966070</v>
      </c>
      <c r="AP86" s="343">
        <v>178329</v>
      </c>
      <c r="AQ86" s="329">
        <f t="shared" si="3"/>
        <v>11.024959484996831</v>
      </c>
      <c r="AR86" s="297">
        <v>41040</v>
      </c>
      <c r="AS86" s="293" t="s">
        <v>306</v>
      </c>
      <c r="AT86" s="234"/>
    </row>
    <row r="87" spans="1:46" s="233" customFormat="1" ht="11.25" customHeight="1">
      <c r="A87" s="295" t="s">
        <v>785</v>
      </c>
      <c r="B87" s="236"/>
      <c r="C87" s="236"/>
      <c r="D87" s="236"/>
      <c r="E87" s="236"/>
      <c r="F87" s="236"/>
      <c r="G87" s="236"/>
      <c r="H87" s="236"/>
      <c r="I87" s="236"/>
      <c r="J87" s="557" t="s">
        <v>611</v>
      </c>
      <c r="K87" s="319"/>
      <c r="L87" s="312"/>
      <c r="M87" s="340" t="s">
        <v>605</v>
      </c>
      <c r="N87" s="370">
        <v>40977</v>
      </c>
      <c r="O87" s="288" t="s">
        <v>68</v>
      </c>
      <c r="P87" s="346">
        <v>25</v>
      </c>
      <c r="Q87" s="312">
        <v>1</v>
      </c>
      <c r="R87" s="312">
        <v>10</v>
      </c>
      <c r="S87" s="325">
        <v>0</v>
      </c>
      <c r="T87" s="355">
        <v>0</v>
      </c>
      <c r="U87" s="325">
        <v>0</v>
      </c>
      <c r="V87" s="355">
        <v>0</v>
      </c>
      <c r="W87" s="325">
        <v>0</v>
      </c>
      <c r="X87" s="355">
        <v>0</v>
      </c>
      <c r="Y87" s="334">
        <f>SUM(S87+U87+W87)</f>
        <v>0</v>
      </c>
      <c r="Z87" s="338">
        <f>T87+V87+X87</f>
        <v>0</v>
      </c>
      <c r="AA87" s="323">
        <f>IF(Y87&lt;&gt;0,Z87/Q87,"")</f>
      </c>
      <c r="AB87" s="324">
        <f>IF(Y87&lt;&gt;0,Y87/Z87,"")</f>
      </c>
      <c r="AC87" s="330">
        <v>0</v>
      </c>
      <c r="AD87" s="326">
        <f>IF(AC87&lt;&gt;0,-(AC87-Y87)/AC87,"")</f>
      </c>
      <c r="AE87" s="327">
        <f>AG87-Y87</f>
        <v>269</v>
      </c>
      <c r="AF87" s="323">
        <f>AH87-Z87</f>
        <v>38</v>
      </c>
      <c r="AG87" s="382">
        <v>269</v>
      </c>
      <c r="AH87" s="383">
        <v>38</v>
      </c>
      <c r="AI87" s="326">
        <f>Z87*1/AH87</f>
        <v>0</v>
      </c>
      <c r="AJ87" s="326">
        <f>AF87*1/AH87</f>
        <v>1</v>
      </c>
      <c r="AK87" s="323">
        <f>AH87/Q87</f>
        <v>38</v>
      </c>
      <c r="AL87" s="324">
        <f>AG87/AH87</f>
        <v>7.078947368421052</v>
      </c>
      <c r="AM87" s="334">
        <v>4880.5</v>
      </c>
      <c r="AN87" s="326">
        <f t="shared" si="4"/>
        <v>-0.9448826964450364</v>
      </c>
      <c r="AO87" s="328">
        <f>44155.29+14545.19+3232+1413+3874.5+4880.5+7560.5+4403+1609+269</f>
        <v>85941.98000000001</v>
      </c>
      <c r="AP87" s="344">
        <f>4205+1615+429+198+552+711+1106+704+269+38</f>
        <v>9827</v>
      </c>
      <c r="AQ87" s="329">
        <f t="shared" si="3"/>
        <v>8.74549506461789</v>
      </c>
      <c r="AR87" s="297">
        <v>41040</v>
      </c>
      <c r="AS87" s="293" t="s">
        <v>306</v>
      </c>
      <c r="AT87" s="234"/>
    </row>
    <row r="88" spans="1:46" s="233" customFormat="1" ht="11.25" customHeight="1">
      <c r="A88" s="295" t="s">
        <v>708</v>
      </c>
      <c r="B88" s="236"/>
      <c r="C88" s="236"/>
      <c r="D88" s="236"/>
      <c r="E88" s="293"/>
      <c r="F88" s="236">
        <v>2</v>
      </c>
      <c r="G88" s="293"/>
      <c r="H88" s="236"/>
      <c r="I88" s="293"/>
      <c r="J88" s="555" t="s">
        <v>647</v>
      </c>
      <c r="K88" s="319"/>
      <c r="L88" s="312" t="s">
        <v>744</v>
      </c>
      <c r="M88" s="340" t="s">
        <v>647</v>
      </c>
      <c r="N88" s="369">
        <v>40991</v>
      </c>
      <c r="O88" s="288" t="s">
        <v>8</v>
      </c>
      <c r="P88" s="340">
        <v>30</v>
      </c>
      <c r="Q88" s="340">
        <v>1</v>
      </c>
      <c r="R88" s="340">
        <v>8</v>
      </c>
      <c r="S88" s="342">
        <v>30</v>
      </c>
      <c r="T88" s="343">
        <v>5</v>
      </c>
      <c r="U88" s="342">
        <v>24</v>
      </c>
      <c r="V88" s="343">
        <v>4</v>
      </c>
      <c r="W88" s="342">
        <v>55</v>
      </c>
      <c r="X88" s="343">
        <v>9</v>
      </c>
      <c r="Y88" s="334">
        <f>SUM(S88+U88+W88)</f>
        <v>109</v>
      </c>
      <c r="Z88" s="338">
        <f>T88+V88+X88</f>
        <v>18</v>
      </c>
      <c r="AA88" s="323">
        <f>IF(Y88&lt;&gt;0,Z88/Q88,"")</f>
        <v>18</v>
      </c>
      <c r="AB88" s="324">
        <f>IF(Y88&lt;&gt;0,Y88/Z88,"")</f>
        <v>6.055555555555555</v>
      </c>
      <c r="AC88" s="330">
        <v>1248</v>
      </c>
      <c r="AD88" s="326">
        <f>IF(AC88&lt;&gt;0,-(AC88-Y88)/AC88,"")</f>
        <v>-0.9126602564102564</v>
      </c>
      <c r="AE88" s="327">
        <f>AG88-Y88</f>
        <v>138</v>
      </c>
      <c r="AF88" s="323">
        <f>AH88-Z88</f>
        <v>23</v>
      </c>
      <c r="AG88" s="380">
        <v>247</v>
      </c>
      <c r="AH88" s="381">
        <v>41</v>
      </c>
      <c r="AI88" s="326">
        <f>Z88*1/AH88</f>
        <v>0.43902439024390244</v>
      </c>
      <c r="AJ88" s="326">
        <f>AF88*1/AH88</f>
        <v>0.5609756097560976</v>
      </c>
      <c r="AK88" s="323">
        <f>AH88/Q88</f>
        <v>41</v>
      </c>
      <c r="AL88" s="324">
        <f>AG88/AH88</f>
        <v>6.024390243902439</v>
      </c>
      <c r="AM88" s="334">
        <v>2189</v>
      </c>
      <c r="AN88" s="326">
        <f t="shared" si="4"/>
        <v>-0.8871630881681133</v>
      </c>
      <c r="AO88" s="342">
        <v>147882</v>
      </c>
      <c r="AP88" s="343">
        <v>13307</v>
      </c>
      <c r="AQ88" s="329">
        <f t="shared" si="3"/>
        <v>11.113098369279326</v>
      </c>
      <c r="AR88" s="297">
        <v>41040</v>
      </c>
      <c r="AS88" s="293" t="s">
        <v>464</v>
      </c>
      <c r="AT88" s="234"/>
    </row>
    <row r="89" spans="1:46" s="233" customFormat="1" ht="11.25" customHeight="1">
      <c r="A89" s="295" t="s">
        <v>786</v>
      </c>
      <c r="B89" s="236"/>
      <c r="C89" s="236"/>
      <c r="D89" s="236"/>
      <c r="E89" s="236"/>
      <c r="F89" s="236"/>
      <c r="G89" s="236"/>
      <c r="H89" s="236"/>
      <c r="I89" s="236"/>
      <c r="J89" s="555" t="s">
        <v>298</v>
      </c>
      <c r="K89" s="312" t="s">
        <v>299</v>
      </c>
      <c r="L89" s="340" t="s">
        <v>169</v>
      </c>
      <c r="M89" s="340" t="s">
        <v>300</v>
      </c>
      <c r="N89" s="369">
        <v>40914</v>
      </c>
      <c r="O89" s="288" t="s">
        <v>8</v>
      </c>
      <c r="P89" s="340">
        <v>36</v>
      </c>
      <c r="Q89" s="340">
        <v>1</v>
      </c>
      <c r="R89" s="340">
        <v>13</v>
      </c>
      <c r="S89" s="342">
        <v>0</v>
      </c>
      <c r="T89" s="343">
        <v>0</v>
      </c>
      <c r="U89" s="342">
        <v>35</v>
      </c>
      <c r="V89" s="343">
        <v>5</v>
      </c>
      <c r="W89" s="342">
        <v>49</v>
      </c>
      <c r="X89" s="343">
        <v>7</v>
      </c>
      <c r="Y89" s="334">
        <f>SUM(S89+U89+W89)</f>
        <v>84</v>
      </c>
      <c r="Z89" s="338">
        <f>T89+V89+X89</f>
        <v>12</v>
      </c>
      <c r="AA89" s="323">
        <f>IF(Y89&lt;&gt;0,Z89/Q89,"")</f>
        <v>12</v>
      </c>
      <c r="AB89" s="324">
        <f>IF(Y89&lt;&gt;0,Y89/Z89,"")</f>
        <v>7</v>
      </c>
      <c r="AC89" s="357">
        <v>219</v>
      </c>
      <c r="AD89" s="326">
        <f>IF(AC89&lt;&gt;0,-(AC89-Y89)/AC89,"")</f>
        <v>-0.6164383561643836</v>
      </c>
      <c r="AE89" s="327">
        <f>AG89-Y89</f>
        <v>84</v>
      </c>
      <c r="AF89" s="323">
        <f>AH89-Z89</f>
        <v>12</v>
      </c>
      <c r="AG89" s="380">
        <v>168</v>
      </c>
      <c r="AH89" s="381">
        <v>24</v>
      </c>
      <c r="AI89" s="326">
        <f>Z89*1/AH89</f>
        <v>0.5</v>
      </c>
      <c r="AJ89" s="326">
        <f>AF89*1/AH89</f>
        <v>0.5</v>
      </c>
      <c r="AK89" s="323">
        <f>AH89/Q89</f>
        <v>24</v>
      </c>
      <c r="AL89" s="324">
        <f>AG89/AH89</f>
        <v>7</v>
      </c>
      <c r="AM89" s="328">
        <v>880</v>
      </c>
      <c r="AN89" s="326">
        <f t="shared" si="4"/>
        <v>-0.8090909090909091</v>
      </c>
      <c r="AO89" s="342">
        <v>540865</v>
      </c>
      <c r="AP89" s="343">
        <v>47630</v>
      </c>
      <c r="AQ89" s="329">
        <f t="shared" si="3"/>
        <v>11.355553222758765</v>
      </c>
      <c r="AR89" s="297">
        <v>41040</v>
      </c>
      <c r="AS89" s="293" t="s">
        <v>659</v>
      </c>
      <c r="AT89" s="234"/>
    </row>
    <row r="90" spans="1:46" s="233" customFormat="1" ht="11.25" customHeight="1">
      <c r="A90" s="295" t="s">
        <v>787</v>
      </c>
      <c r="B90" s="236"/>
      <c r="C90" s="236"/>
      <c r="D90" s="293"/>
      <c r="E90" s="293"/>
      <c r="F90" s="236"/>
      <c r="G90" s="293"/>
      <c r="H90" s="236"/>
      <c r="I90" s="236"/>
      <c r="J90" s="560" t="s">
        <v>638</v>
      </c>
      <c r="K90" s="312"/>
      <c r="L90" s="288" t="s">
        <v>79</v>
      </c>
      <c r="M90" s="288" t="s">
        <v>639</v>
      </c>
      <c r="N90" s="370">
        <v>40991</v>
      </c>
      <c r="O90" s="288" t="s">
        <v>289</v>
      </c>
      <c r="P90" s="312">
        <v>1</v>
      </c>
      <c r="Q90" s="312">
        <v>1</v>
      </c>
      <c r="R90" s="312">
        <v>4</v>
      </c>
      <c r="S90" s="334">
        <v>12</v>
      </c>
      <c r="T90" s="338">
        <v>2</v>
      </c>
      <c r="U90" s="334">
        <v>13</v>
      </c>
      <c r="V90" s="338">
        <v>2</v>
      </c>
      <c r="W90" s="334">
        <v>12</v>
      </c>
      <c r="X90" s="338">
        <v>2</v>
      </c>
      <c r="Y90" s="334">
        <f>SUM(S90+U90+W90)</f>
        <v>37</v>
      </c>
      <c r="Z90" s="338">
        <f>T90+V90+X90</f>
        <v>6</v>
      </c>
      <c r="AA90" s="323">
        <f>IF(Y90&lt;&gt;0,Z90/Q90,"")</f>
        <v>6</v>
      </c>
      <c r="AB90" s="324">
        <f>IF(Y90&lt;&gt;0,Y90/Z90,"")</f>
        <v>6.166666666666667</v>
      </c>
      <c r="AC90" s="334">
        <v>72</v>
      </c>
      <c r="AD90" s="326">
        <f>IF(AC90&lt;&gt;0,-(AC90-Y90)/AC90,"")</f>
        <v>-0.4861111111111111</v>
      </c>
      <c r="AE90" s="327">
        <f>AG90-Y90</f>
        <v>38</v>
      </c>
      <c r="AF90" s="323">
        <f>AH90-Z90</f>
        <v>6</v>
      </c>
      <c r="AG90" s="378">
        <v>75</v>
      </c>
      <c r="AH90" s="379">
        <v>12</v>
      </c>
      <c r="AI90" s="326">
        <f>Z90*1/AH90</f>
        <v>0.5</v>
      </c>
      <c r="AJ90" s="326">
        <f>AF90*1/AH90</f>
        <v>0.5</v>
      </c>
      <c r="AK90" s="323">
        <f>AH90/Q90</f>
        <v>12</v>
      </c>
      <c r="AL90" s="324">
        <f>AG90/AH90</f>
        <v>6.25</v>
      </c>
      <c r="AM90" s="328">
        <v>117</v>
      </c>
      <c r="AN90" s="326">
        <f t="shared" si="4"/>
        <v>-0.358974358974359</v>
      </c>
      <c r="AO90" s="334">
        <v>1937</v>
      </c>
      <c r="AP90" s="338">
        <v>239</v>
      </c>
      <c r="AQ90" s="329">
        <f t="shared" si="3"/>
        <v>8.104602510460252</v>
      </c>
      <c r="AR90" s="297">
        <v>41040</v>
      </c>
      <c r="AS90" s="293" t="s">
        <v>793</v>
      </c>
      <c r="AT90" s="234"/>
    </row>
    <row r="91" spans="1:46" s="233" customFormat="1" ht="11.25" customHeight="1" hidden="1">
      <c r="A91" s="295"/>
      <c r="B91" s="293"/>
      <c r="C91" s="236"/>
      <c r="D91" s="236"/>
      <c r="E91" s="236">
        <v>3</v>
      </c>
      <c r="F91" s="236"/>
      <c r="G91" s="236"/>
      <c r="H91" s="236"/>
      <c r="I91" s="236"/>
      <c r="J91" s="366" t="s">
        <v>671</v>
      </c>
      <c r="K91" s="319"/>
      <c r="L91" s="312"/>
      <c r="M91" s="339" t="s">
        <v>672</v>
      </c>
      <c r="N91" s="369">
        <v>40998</v>
      </c>
      <c r="O91" s="288" t="s">
        <v>10</v>
      </c>
      <c r="P91" s="331">
        <v>147</v>
      </c>
      <c r="Q91" s="331">
        <v>7</v>
      </c>
      <c r="R91" s="331">
        <v>6</v>
      </c>
      <c r="S91" s="342">
        <v>966</v>
      </c>
      <c r="T91" s="343">
        <v>72</v>
      </c>
      <c r="U91" s="342">
        <v>2203</v>
      </c>
      <c r="V91" s="343">
        <v>159</v>
      </c>
      <c r="W91" s="342">
        <v>1472</v>
      </c>
      <c r="X91" s="343">
        <v>106</v>
      </c>
      <c r="Y91" s="334">
        <f aca="true" t="shared" si="5" ref="Y72:Y135">SUM(S91+U91+W91)</f>
        <v>4641</v>
      </c>
      <c r="Z91" s="338">
        <f aca="true" t="shared" si="6" ref="Z72:Z135">T91+V91+X91</f>
        <v>337</v>
      </c>
      <c r="AA91" s="323">
        <f aca="true" t="shared" si="7" ref="AA80:AA112">IF(Y91&lt;&gt;0,Z91/Q91,"")</f>
        <v>48.142857142857146</v>
      </c>
      <c r="AB91" s="324">
        <f aca="true" t="shared" si="8" ref="AB80:AB112">IF(Y91&lt;&gt;0,Y91/Z91,"")</f>
        <v>13.771513353115727</v>
      </c>
      <c r="AC91" s="330">
        <v>4641</v>
      </c>
      <c r="AD91" s="326">
        <f>IF(AC91&lt;&gt;0,-(AC91-Y91)/AC91,"")</f>
        <v>0</v>
      </c>
      <c r="AE91" s="327">
        <f aca="true" t="shared" si="9" ref="AE72:AE135">AG91-Y91</f>
        <v>6819</v>
      </c>
      <c r="AF91" s="323">
        <f aca="true" t="shared" si="10" ref="AF72:AF135">AH91-Z91</f>
        <v>707</v>
      </c>
      <c r="AG91" s="342">
        <v>11460</v>
      </c>
      <c r="AH91" s="343">
        <v>1044</v>
      </c>
      <c r="AI91" s="326">
        <f aca="true" t="shared" si="11" ref="AI72:AI135">Z91*1/AH91</f>
        <v>0.3227969348659004</v>
      </c>
      <c r="AJ91" s="326">
        <f aca="true" t="shared" si="12" ref="AJ72:AJ135">AF91*1/AH91</f>
        <v>0.6772030651340997</v>
      </c>
      <c r="AK91" s="323">
        <f aca="true" t="shared" si="13" ref="AK72:AK135">AH91/Q91</f>
        <v>149.14285714285714</v>
      </c>
      <c r="AL91" s="324">
        <f aca="true" t="shared" si="14" ref="AL72:AL135">AG91/AH91</f>
        <v>10.977011494252874</v>
      </c>
      <c r="AM91" s="328">
        <v>217371</v>
      </c>
      <c r="AN91" s="326">
        <f t="shared" si="4"/>
        <v>-0.9472790758656858</v>
      </c>
      <c r="AO91" s="342">
        <v>4302146</v>
      </c>
      <c r="AP91" s="343">
        <v>384188</v>
      </c>
      <c r="AQ91" s="329">
        <f t="shared" si="3"/>
        <v>11.198022842983123</v>
      </c>
      <c r="AR91" s="297">
        <v>41033</v>
      </c>
      <c r="AS91" s="293"/>
      <c r="AT91" s="234"/>
    </row>
    <row r="92" spans="1:46" s="233" customFormat="1" ht="11.25" customHeight="1" hidden="1">
      <c r="A92" s="295"/>
      <c r="B92" s="236"/>
      <c r="C92" s="236" t="s">
        <v>223</v>
      </c>
      <c r="D92" s="236"/>
      <c r="E92" s="236"/>
      <c r="F92" s="293"/>
      <c r="G92" s="236" t="s">
        <v>250</v>
      </c>
      <c r="H92" s="236" t="s">
        <v>55</v>
      </c>
      <c r="I92" s="236"/>
      <c r="J92" s="366" t="s">
        <v>388</v>
      </c>
      <c r="K92" s="312" t="s">
        <v>305</v>
      </c>
      <c r="L92" s="341"/>
      <c r="M92" s="339" t="s">
        <v>403</v>
      </c>
      <c r="N92" s="370">
        <v>39738</v>
      </c>
      <c r="O92" s="288" t="s">
        <v>68</v>
      </c>
      <c r="P92" s="312">
        <v>67</v>
      </c>
      <c r="Q92" s="312">
        <v>1</v>
      </c>
      <c r="R92" s="312">
        <v>55</v>
      </c>
      <c r="S92" s="325">
        <v>0</v>
      </c>
      <c r="T92" s="355">
        <v>0</v>
      </c>
      <c r="U92" s="325">
        <v>0</v>
      </c>
      <c r="V92" s="355">
        <v>0</v>
      </c>
      <c r="W92" s="325">
        <v>0</v>
      </c>
      <c r="X92" s="355">
        <v>0</v>
      </c>
      <c r="Y92" s="334">
        <f t="shared" si="5"/>
        <v>0</v>
      </c>
      <c r="Z92" s="338">
        <f t="shared" si="6"/>
        <v>0</v>
      </c>
      <c r="AA92" s="323">
        <f t="shared" si="7"/>
      </c>
      <c r="AB92" s="324">
        <f t="shared" si="8"/>
      </c>
      <c r="AC92" s="330">
        <v>0</v>
      </c>
      <c r="AD92" s="326">
        <f>IF(AC92&lt;&gt;0,-(AC92-Y92)/AC92,"")</f>
      </c>
      <c r="AE92" s="327">
        <f t="shared" si="9"/>
        <v>8550</v>
      </c>
      <c r="AF92" s="323">
        <f t="shared" si="10"/>
        <v>1710</v>
      </c>
      <c r="AG92" s="328">
        <v>8550</v>
      </c>
      <c r="AH92" s="344">
        <v>1710</v>
      </c>
      <c r="AI92" s="326">
        <f t="shared" si="11"/>
        <v>0</v>
      </c>
      <c r="AJ92" s="326">
        <f t="shared" si="12"/>
        <v>1</v>
      </c>
      <c r="AK92" s="323">
        <f t="shared" si="13"/>
        <v>1710</v>
      </c>
      <c r="AL92" s="324">
        <f t="shared" si="14"/>
        <v>5</v>
      </c>
      <c r="AM92" s="328"/>
      <c r="AN92" s="326">
        <f t="shared" si="4"/>
      </c>
      <c r="AO92" s="328">
        <f>575413.5+2968+2376+2737+2376+2376+4752+2376+952+1780+226+286+162+6416+4040+1780+1780+1192+3102+1425+8550</f>
        <v>627065.5</v>
      </c>
      <c r="AP92" s="344">
        <f>83313+742+594+635+594+594+1188+594+238+445+36+42+39+1604+1010+356+356+571+1512+285+1710</f>
        <v>96458</v>
      </c>
      <c r="AQ92" s="329">
        <f t="shared" si="3"/>
        <v>6.50091749777105</v>
      </c>
      <c r="AR92" s="297">
        <v>41033</v>
      </c>
      <c r="AS92" s="293"/>
      <c r="AT92" s="234"/>
    </row>
    <row r="93" spans="1:46" s="233" customFormat="1" ht="11.25" customHeight="1" hidden="1">
      <c r="A93" s="295"/>
      <c r="B93" s="236"/>
      <c r="C93" s="236" t="s">
        <v>223</v>
      </c>
      <c r="D93" s="236" t="s">
        <v>193</v>
      </c>
      <c r="E93" s="236"/>
      <c r="F93" s="293"/>
      <c r="G93" s="236" t="s">
        <v>250</v>
      </c>
      <c r="H93" s="236" t="s">
        <v>55</v>
      </c>
      <c r="I93" s="236"/>
      <c r="J93" s="366" t="s">
        <v>392</v>
      </c>
      <c r="K93" s="339" t="s">
        <v>860</v>
      </c>
      <c r="L93" s="339" t="s">
        <v>88</v>
      </c>
      <c r="M93" s="339" t="s">
        <v>398</v>
      </c>
      <c r="N93" s="370">
        <v>39878</v>
      </c>
      <c r="O93" s="288" t="s">
        <v>68</v>
      </c>
      <c r="P93" s="312">
        <v>39</v>
      </c>
      <c r="Q93" s="312">
        <v>1</v>
      </c>
      <c r="R93" s="312">
        <v>41</v>
      </c>
      <c r="S93" s="325">
        <v>0</v>
      </c>
      <c r="T93" s="355">
        <v>0</v>
      </c>
      <c r="U93" s="325">
        <v>0</v>
      </c>
      <c r="V93" s="355">
        <v>0</v>
      </c>
      <c r="W93" s="325">
        <v>0</v>
      </c>
      <c r="X93" s="355">
        <v>0</v>
      </c>
      <c r="Y93" s="334">
        <f t="shared" si="5"/>
        <v>0</v>
      </c>
      <c r="Z93" s="338">
        <f t="shared" si="6"/>
        <v>0</v>
      </c>
      <c r="AA93" s="323">
        <f t="shared" si="7"/>
      </c>
      <c r="AB93" s="324">
        <f t="shared" si="8"/>
      </c>
      <c r="AC93" s="334">
        <v>0</v>
      </c>
      <c r="AD93" s="326">
        <f>IF(AC93&lt;&gt;0,-(AC93-Y93)/AC93,"")</f>
      </c>
      <c r="AE93" s="327">
        <f t="shared" si="9"/>
        <v>8550</v>
      </c>
      <c r="AF93" s="323">
        <f t="shared" si="10"/>
        <v>1710</v>
      </c>
      <c r="AG93" s="328">
        <v>8550</v>
      </c>
      <c r="AH93" s="344">
        <v>1710</v>
      </c>
      <c r="AI93" s="326">
        <f t="shared" si="11"/>
        <v>0</v>
      </c>
      <c r="AJ93" s="326">
        <f t="shared" si="12"/>
        <v>1</v>
      </c>
      <c r="AK93" s="323">
        <f t="shared" si="13"/>
        <v>1710</v>
      </c>
      <c r="AL93" s="324">
        <f t="shared" si="14"/>
        <v>5</v>
      </c>
      <c r="AM93" s="328"/>
      <c r="AN93" s="326">
        <f t="shared" si="4"/>
      </c>
      <c r="AO93" s="328">
        <f>143992.5+82756.5+42509+41229+27290.5+16668+27602+17675+4710+8504.5+2403+4164+2272+3469+1997+135+299+674+178+30+240+1413+1006+209+393+680+1780+4040+1780+1780+952+745+2376+2376+2376+4752+2376+708+2852+1780+8550</f>
        <v>471722</v>
      </c>
      <c r="AP93" s="344">
        <f>15320+9228+5096+5970+4485+3115+5134+3946+1139+2307+509+879+411+637+472+29+62+165+32+6+48+348+139+43+54+68+445+1010+445+445+238+149+594+594+594+1188+594+164+713+356+1710</f>
        <v>68881</v>
      </c>
      <c r="AQ93" s="329">
        <f t="shared" si="3"/>
        <v>6.848361667223182</v>
      </c>
      <c r="AR93" s="297">
        <v>41033</v>
      </c>
      <c r="AS93" s="293"/>
      <c r="AT93" s="234"/>
    </row>
    <row r="94" spans="1:46" s="233" customFormat="1" ht="11.25" customHeight="1" hidden="1">
      <c r="A94" s="295"/>
      <c r="B94" s="293"/>
      <c r="C94" s="236" t="s">
        <v>223</v>
      </c>
      <c r="D94" s="236" t="s">
        <v>193</v>
      </c>
      <c r="E94" s="293"/>
      <c r="F94" s="236"/>
      <c r="G94" s="293"/>
      <c r="H94" s="236"/>
      <c r="I94" s="236"/>
      <c r="J94" s="364" t="s">
        <v>293</v>
      </c>
      <c r="K94" s="340"/>
      <c r="L94" s="312" t="s">
        <v>128</v>
      </c>
      <c r="M94" s="340" t="s">
        <v>297</v>
      </c>
      <c r="N94" s="370">
        <v>39472</v>
      </c>
      <c r="O94" s="288" t="s">
        <v>53</v>
      </c>
      <c r="P94" s="346">
        <v>59</v>
      </c>
      <c r="Q94" s="346">
        <v>1</v>
      </c>
      <c r="R94" s="346">
        <v>46</v>
      </c>
      <c r="S94" s="347">
        <v>2824.5</v>
      </c>
      <c r="T94" s="348">
        <v>564</v>
      </c>
      <c r="U94" s="347">
        <v>1110</v>
      </c>
      <c r="V94" s="348">
        <v>222</v>
      </c>
      <c r="W94" s="347">
        <v>1110</v>
      </c>
      <c r="X94" s="348">
        <v>222</v>
      </c>
      <c r="Y94" s="334">
        <f t="shared" si="5"/>
        <v>5044.5</v>
      </c>
      <c r="Z94" s="338">
        <f t="shared" si="6"/>
        <v>1008</v>
      </c>
      <c r="AA94" s="323">
        <f t="shared" si="7"/>
        <v>1008</v>
      </c>
      <c r="AB94" s="324">
        <f t="shared" si="8"/>
        <v>5.004464285714286</v>
      </c>
      <c r="AC94" s="330">
        <v>5044.5</v>
      </c>
      <c r="AD94" s="326">
        <f>IF(AC94&lt;&gt;0,-(AC94-Y94)/AC94,"")</f>
        <v>0</v>
      </c>
      <c r="AE94" s="327">
        <f t="shared" si="9"/>
        <v>0</v>
      </c>
      <c r="AF94" s="323">
        <f t="shared" si="10"/>
        <v>0</v>
      </c>
      <c r="AG94" s="334">
        <v>5044.5</v>
      </c>
      <c r="AH94" s="338">
        <v>1008</v>
      </c>
      <c r="AI94" s="326">
        <f t="shared" si="11"/>
        <v>1</v>
      </c>
      <c r="AJ94" s="326">
        <f t="shared" si="12"/>
        <v>0</v>
      </c>
      <c r="AK94" s="323">
        <f t="shared" si="13"/>
        <v>1008</v>
      </c>
      <c r="AL94" s="324">
        <f t="shared" si="14"/>
        <v>5.004464285714286</v>
      </c>
      <c r="AM94" s="334">
        <v>1201</v>
      </c>
      <c r="AN94" s="326">
        <f t="shared" si="4"/>
        <v>3.2002497918401334</v>
      </c>
      <c r="AO94" s="334">
        <f>395290.5+262822+75939+23709.5+4083+1327+9321+1445+1267+2173+4575+201+1748+3343+728+28+948+1329+163+182+173+15521.5+171+40+110+75+183.5+127+124.5+1976+312+180+12+2398+1799+1799+1799+3598+1201+1802+2402+1801.5+1201+5044.5</f>
        <v>834472.5</v>
      </c>
      <c r="AP94" s="338">
        <f>47426+32442+9866+4010+887+225+2185+263+226+460+1077+33+367+887+230+4+139+355+32+35+32+3859+49+8+22+15+68+46+45+659+52+30+2+399+300+300+300+600+240+360+480+360+240+1008</f>
        <v>110623</v>
      </c>
      <c r="AQ94" s="329">
        <f t="shared" si="3"/>
        <v>7.54339061497157</v>
      </c>
      <c r="AR94" s="297">
        <v>41033</v>
      </c>
      <c r="AS94" s="293"/>
      <c r="AT94" s="234"/>
    </row>
    <row r="95" spans="1:46" s="233" customFormat="1" ht="11.25" customHeight="1" hidden="1">
      <c r="A95" s="295"/>
      <c r="B95" s="293"/>
      <c r="C95" s="236" t="s">
        <v>223</v>
      </c>
      <c r="D95" s="236" t="s">
        <v>193</v>
      </c>
      <c r="E95" s="293"/>
      <c r="F95" s="236"/>
      <c r="G95" s="236" t="s">
        <v>250</v>
      </c>
      <c r="H95" s="236" t="s">
        <v>55</v>
      </c>
      <c r="I95" s="293"/>
      <c r="J95" s="364" t="s">
        <v>160</v>
      </c>
      <c r="K95" s="340"/>
      <c r="L95" s="340" t="s">
        <v>128</v>
      </c>
      <c r="M95" s="340" t="s">
        <v>163</v>
      </c>
      <c r="N95" s="370">
        <v>39682</v>
      </c>
      <c r="O95" s="288" t="s">
        <v>53</v>
      </c>
      <c r="P95" s="346">
        <v>60</v>
      </c>
      <c r="Q95" s="346">
        <v>1</v>
      </c>
      <c r="R95" s="346">
        <v>27</v>
      </c>
      <c r="S95" s="347">
        <v>1714.5</v>
      </c>
      <c r="T95" s="348">
        <v>342</v>
      </c>
      <c r="U95" s="347">
        <v>1665</v>
      </c>
      <c r="V95" s="348">
        <v>333</v>
      </c>
      <c r="W95" s="347">
        <v>1665</v>
      </c>
      <c r="X95" s="348">
        <v>333</v>
      </c>
      <c r="Y95" s="334">
        <f t="shared" si="5"/>
        <v>5044.5</v>
      </c>
      <c r="Z95" s="338">
        <f t="shared" si="6"/>
        <v>1008</v>
      </c>
      <c r="AA95" s="323">
        <f t="shared" si="7"/>
        <v>1008</v>
      </c>
      <c r="AB95" s="324">
        <f t="shared" si="8"/>
        <v>5.004464285714286</v>
      </c>
      <c r="AC95" s="334">
        <v>5044.5</v>
      </c>
      <c r="AD95" s="326">
        <f>IF(AC95&lt;&gt;0,-(AC95-Y95)/AC95,"")</f>
        <v>0</v>
      </c>
      <c r="AE95" s="327">
        <f t="shared" si="9"/>
        <v>0</v>
      </c>
      <c r="AF95" s="323">
        <f t="shared" si="10"/>
        <v>0</v>
      </c>
      <c r="AG95" s="334">
        <v>5044.5</v>
      </c>
      <c r="AH95" s="338">
        <v>1008</v>
      </c>
      <c r="AI95" s="326">
        <f t="shared" si="11"/>
        <v>1</v>
      </c>
      <c r="AJ95" s="326">
        <f t="shared" si="12"/>
        <v>0</v>
      </c>
      <c r="AK95" s="323">
        <f t="shared" si="13"/>
        <v>1008</v>
      </c>
      <c r="AL95" s="324">
        <f t="shared" si="14"/>
        <v>5.004464285714286</v>
      </c>
      <c r="AM95" s="334">
        <v>1801.5</v>
      </c>
      <c r="AN95" s="326">
        <f t="shared" si="4"/>
        <v>1.8001665278934222</v>
      </c>
      <c r="AO95" s="334">
        <f>111737+37434.5+11042+9412+0.5+6921+5282+0.5+1449+105+269+162+117+442+7259+305+4320+1922+1799+1799+135+1799+3598+1201+1802+1199+1801.5+5044.5</f>
        <v>218357.5</v>
      </c>
      <c r="AP95" s="338">
        <f>13345+4357+1377+1694+1346+1248+225+18+64+40+37+108+2420+61+783+385+300+300+15+300+600+240+360+200+360+1008</f>
        <v>31191</v>
      </c>
      <c r="AQ95" s="329">
        <f t="shared" si="3"/>
        <v>7.000657240870764</v>
      </c>
      <c r="AR95" s="297">
        <v>41033</v>
      </c>
      <c r="AS95" s="293"/>
      <c r="AT95" s="234"/>
    </row>
    <row r="96" spans="1:46" s="233" customFormat="1" ht="11.25" customHeight="1" hidden="1">
      <c r="A96" s="295"/>
      <c r="B96" s="293"/>
      <c r="C96" s="236" t="s">
        <v>223</v>
      </c>
      <c r="D96" s="236" t="s">
        <v>193</v>
      </c>
      <c r="E96" s="293"/>
      <c r="F96" s="236"/>
      <c r="G96" s="293"/>
      <c r="H96" s="236" t="s">
        <v>55</v>
      </c>
      <c r="I96" s="293"/>
      <c r="J96" s="364" t="s">
        <v>228</v>
      </c>
      <c r="K96" s="340"/>
      <c r="L96" s="312" t="s">
        <v>855</v>
      </c>
      <c r="M96" s="340" t="s">
        <v>229</v>
      </c>
      <c r="N96" s="369">
        <v>39073</v>
      </c>
      <c r="O96" s="288" t="s">
        <v>53</v>
      </c>
      <c r="P96" s="346">
        <v>51</v>
      </c>
      <c r="Q96" s="346">
        <v>2</v>
      </c>
      <c r="R96" s="346">
        <v>23</v>
      </c>
      <c r="S96" s="332">
        <v>1143</v>
      </c>
      <c r="T96" s="333">
        <v>228</v>
      </c>
      <c r="U96" s="332">
        <v>1110</v>
      </c>
      <c r="V96" s="333">
        <v>222</v>
      </c>
      <c r="W96" s="332">
        <v>1110</v>
      </c>
      <c r="X96" s="333">
        <v>222</v>
      </c>
      <c r="Y96" s="334">
        <f t="shared" si="5"/>
        <v>3363</v>
      </c>
      <c r="Z96" s="338">
        <f t="shared" si="6"/>
        <v>672</v>
      </c>
      <c r="AA96" s="323">
        <f t="shared" si="7"/>
        <v>336</v>
      </c>
      <c r="AB96" s="324">
        <f t="shared" si="8"/>
        <v>5.004464285714286</v>
      </c>
      <c r="AC96" s="330">
        <v>3363</v>
      </c>
      <c r="AD96" s="326">
        <f>IF(AC96&lt;&gt;0,-(AC96-Y96)/AC96,"")</f>
        <v>0</v>
      </c>
      <c r="AE96" s="327">
        <f t="shared" si="9"/>
        <v>1199</v>
      </c>
      <c r="AF96" s="323">
        <f t="shared" si="10"/>
        <v>200</v>
      </c>
      <c r="AG96" s="334">
        <v>4562</v>
      </c>
      <c r="AH96" s="338">
        <v>872</v>
      </c>
      <c r="AI96" s="326">
        <f t="shared" si="11"/>
        <v>0.7706422018348624</v>
      </c>
      <c r="AJ96" s="326">
        <f t="shared" si="12"/>
        <v>0.22935779816513763</v>
      </c>
      <c r="AK96" s="323">
        <f t="shared" si="13"/>
        <v>436</v>
      </c>
      <c r="AL96" s="324">
        <f t="shared" si="14"/>
        <v>5.231651376146789</v>
      </c>
      <c r="AM96" s="334">
        <v>1801.5</v>
      </c>
      <c r="AN96" s="326">
        <f t="shared" si="4"/>
        <v>1.5323341659728005</v>
      </c>
      <c r="AO96" s="334">
        <f>145565+155630+55982+15271+7453.5+9440+11300.5+7141.5+2772.5+2945+30+431+4621+226+400+118+79+0+1201+1802+1801.5+4562</f>
        <v>428772.5</v>
      </c>
      <c r="AP96" s="338">
        <f>17748+18932+7628+2641+1317+1724+2010+1184+553+655+5+131+1001+24+110+22+13+0+240+360+360+872</f>
        <v>57530</v>
      </c>
      <c r="AQ96" s="329">
        <f t="shared" si="3"/>
        <v>7.453024508951851</v>
      </c>
      <c r="AR96" s="297">
        <v>41033</v>
      </c>
      <c r="AS96" s="293"/>
      <c r="AT96" s="234"/>
    </row>
    <row r="97" spans="1:46" s="233" customFormat="1" ht="11.25" customHeight="1" hidden="1">
      <c r="A97" s="295"/>
      <c r="B97" s="236"/>
      <c r="C97" s="236" t="s">
        <v>223</v>
      </c>
      <c r="D97" s="236"/>
      <c r="E97" s="236"/>
      <c r="F97" s="236"/>
      <c r="G97" s="236"/>
      <c r="H97" s="236"/>
      <c r="I97" s="236"/>
      <c r="J97" s="366" t="s">
        <v>828</v>
      </c>
      <c r="K97" s="312" t="s">
        <v>861</v>
      </c>
      <c r="L97" s="288" t="s">
        <v>120</v>
      </c>
      <c r="M97" s="339" t="s">
        <v>827</v>
      </c>
      <c r="N97" s="370">
        <v>40753</v>
      </c>
      <c r="O97" s="288" t="s">
        <v>68</v>
      </c>
      <c r="P97" s="312">
        <v>1</v>
      </c>
      <c r="Q97" s="312">
        <v>1</v>
      </c>
      <c r="R97" s="312">
        <v>9</v>
      </c>
      <c r="S97" s="347">
        <v>0</v>
      </c>
      <c r="T97" s="348">
        <v>0</v>
      </c>
      <c r="U97" s="347">
        <v>0</v>
      </c>
      <c r="V97" s="348">
        <v>0</v>
      </c>
      <c r="W97" s="347">
        <v>0</v>
      </c>
      <c r="X97" s="348">
        <v>0</v>
      </c>
      <c r="Y97" s="334">
        <f t="shared" si="5"/>
        <v>0</v>
      </c>
      <c r="Z97" s="338">
        <f t="shared" si="6"/>
        <v>0</v>
      </c>
      <c r="AA97" s="323">
        <f t="shared" si="7"/>
      </c>
      <c r="AB97" s="324">
        <f t="shared" si="8"/>
      </c>
      <c r="AC97" s="330">
        <v>0</v>
      </c>
      <c r="AD97" s="326"/>
      <c r="AE97" s="327">
        <f t="shared" si="9"/>
        <v>3801.5</v>
      </c>
      <c r="AF97" s="323">
        <f t="shared" si="10"/>
        <v>780</v>
      </c>
      <c r="AG97" s="328">
        <v>3801.5</v>
      </c>
      <c r="AH97" s="344">
        <v>780</v>
      </c>
      <c r="AI97" s="326">
        <f t="shared" si="11"/>
        <v>0</v>
      </c>
      <c r="AJ97" s="326">
        <f t="shared" si="12"/>
        <v>1</v>
      </c>
      <c r="AK97" s="323">
        <f t="shared" si="13"/>
        <v>780</v>
      </c>
      <c r="AL97" s="324">
        <f t="shared" si="14"/>
        <v>4.873717948717949</v>
      </c>
      <c r="AM97" s="328"/>
      <c r="AN97" s="326">
        <f t="shared" si="4"/>
      </c>
      <c r="AO97" s="328">
        <f>8466+542+128+932+1064+258+188+332+3801.5</f>
        <v>15711.5</v>
      </c>
      <c r="AP97" s="344">
        <f>472+64+13+122+133+38+26+48+780</f>
        <v>1696</v>
      </c>
      <c r="AQ97" s="329">
        <f t="shared" si="3"/>
        <v>9.263856132075471</v>
      </c>
      <c r="AR97" s="297">
        <v>41033</v>
      </c>
      <c r="AS97" s="293"/>
      <c r="AT97" s="234"/>
    </row>
    <row r="98" spans="1:46" s="233" customFormat="1" ht="11.25" customHeight="1" hidden="1">
      <c r="A98" s="295"/>
      <c r="B98" s="293"/>
      <c r="C98" s="236" t="s">
        <v>223</v>
      </c>
      <c r="D98" s="236" t="s">
        <v>193</v>
      </c>
      <c r="E98" s="293"/>
      <c r="F98" s="236"/>
      <c r="G98" s="236" t="s">
        <v>250</v>
      </c>
      <c r="H98" s="236" t="s">
        <v>55</v>
      </c>
      <c r="I98" s="293"/>
      <c r="J98" s="364" t="s">
        <v>404</v>
      </c>
      <c r="K98" s="340"/>
      <c r="L98" s="312" t="s">
        <v>855</v>
      </c>
      <c r="M98" s="340" t="s">
        <v>405</v>
      </c>
      <c r="N98" s="369">
        <v>39192</v>
      </c>
      <c r="O98" s="288" t="s">
        <v>53</v>
      </c>
      <c r="P98" s="312">
        <v>82</v>
      </c>
      <c r="Q98" s="346">
        <v>1</v>
      </c>
      <c r="R98" s="346">
        <v>24</v>
      </c>
      <c r="S98" s="332">
        <v>1143</v>
      </c>
      <c r="T98" s="333">
        <v>228</v>
      </c>
      <c r="U98" s="332">
        <v>1110</v>
      </c>
      <c r="V98" s="333">
        <v>222</v>
      </c>
      <c r="W98" s="332">
        <v>1110</v>
      </c>
      <c r="X98" s="333">
        <v>222</v>
      </c>
      <c r="Y98" s="334">
        <f t="shared" si="5"/>
        <v>3363</v>
      </c>
      <c r="Z98" s="338">
        <f t="shared" si="6"/>
        <v>672</v>
      </c>
      <c r="AA98" s="323">
        <f t="shared" si="7"/>
        <v>672</v>
      </c>
      <c r="AB98" s="324">
        <f t="shared" si="8"/>
        <v>5.004464285714286</v>
      </c>
      <c r="AC98" s="330">
        <v>3363</v>
      </c>
      <c r="AD98" s="326">
        <f>IF(AC98&lt;&gt;0,-(AC98-Y98)/AC98,"")</f>
        <v>0</v>
      </c>
      <c r="AE98" s="327">
        <f t="shared" si="9"/>
        <v>0</v>
      </c>
      <c r="AF98" s="323">
        <f t="shared" si="10"/>
        <v>0</v>
      </c>
      <c r="AG98" s="334">
        <v>3363</v>
      </c>
      <c r="AH98" s="338">
        <v>672</v>
      </c>
      <c r="AI98" s="326">
        <f t="shared" si="11"/>
        <v>1</v>
      </c>
      <c r="AJ98" s="326">
        <f t="shared" si="12"/>
        <v>0</v>
      </c>
      <c r="AK98" s="323">
        <f t="shared" si="13"/>
        <v>672</v>
      </c>
      <c r="AL98" s="324">
        <f t="shared" si="14"/>
        <v>5.004464285714286</v>
      </c>
      <c r="AM98" s="334">
        <v>1801.5</v>
      </c>
      <c r="AN98" s="326">
        <f t="shared" si="4"/>
        <v>0.8667776852622814</v>
      </c>
      <c r="AO98" s="334">
        <f>407730+156171.5+87089+48964+29084+13173.5+8330+7579.5+805.5+1100+1464+3021+264+123+23+430+70+2408+0.5+234+42+54+3003+1801.5+3363</f>
        <v>776328</v>
      </c>
      <c r="AP98" s="338">
        <f>48903+19527+11239+7709+5693+3389+1770+1751+250+248+325+755+88+19+3+86+14+602+39+7+9+600+360+672</f>
        <v>104058</v>
      </c>
      <c r="AQ98" s="329">
        <f t="shared" si="3"/>
        <v>7.460531626592862</v>
      </c>
      <c r="AR98" s="297">
        <v>41033</v>
      </c>
      <c r="AS98" s="293"/>
      <c r="AT98" s="234"/>
    </row>
    <row r="99" spans="1:46" s="233" customFormat="1" ht="11.25" customHeight="1" hidden="1">
      <c r="A99" s="295"/>
      <c r="B99" s="236"/>
      <c r="C99" s="236" t="s">
        <v>223</v>
      </c>
      <c r="D99" s="236"/>
      <c r="E99" s="236"/>
      <c r="F99" s="236"/>
      <c r="G99" s="236"/>
      <c r="H99" s="236"/>
      <c r="I99" s="236"/>
      <c r="J99" s="366" t="s">
        <v>829</v>
      </c>
      <c r="K99" s="312"/>
      <c r="L99" s="288" t="s">
        <v>120</v>
      </c>
      <c r="M99" s="339" t="s">
        <v>830</v>
      </c>
      <c r="N99" s="370">
        <v>40151</v>
      </c>
      <c r="O99" s="288" t="s">
        <v>68</v>
      </c>
      <c r="P99" s="312">
        <v>2</v>
      </c>
      <c r="Q99" s="312">
        <v>1</v>
      </c>
      <c r="R99" s="312">
        <v>11</v>
      </c>
      <c r="S99" s="347">
        <v>0</v>
      </c>
      <c r="T99" s="348">
        <v>0</v>
      </c>
      <c r="U99" s="347">
        <v>0</v>
      </c>
      <c r="V99" s="348">
        <v>0</v>
      </c>
      <c r="W99" s="347">
        <v>0</v>
      </c>
      <c r="X99" s="348">
        <v>0</v>
      </c>
      <c r="Y99" s="334">
        <f t="shared" si="5"/>
        <v>0</v>
      </c>
      <c r="Z99" s="338">
        <f t="shared" si="6"/>
        <v>0</v>
      </c>
      <c r="AA99" s="323">
        <f t="shared" si="7"/>
      </c>
      <c r="AB99" s="324">
        <f t="shared" si="8"/>
      </c>
      <c r="AC99" s="330">
        <v>0</v>
      </c>
      <c r="AD99" s="326"/>
      <c r="AE99" s="327">
        <f t="shared" si="9"/>
        <v>3326.5</v>
      </c>
      <c r="AF99" s="323">
        <f t="shared" si="10"/>
        <v>665</v>
      </c>
      <c r="AG99" s="328">
        <v>3326.5</v>
      </c>
      <c r="AH99" s="344">
        <v>665</v>
      </c>
      <c r="AI99" s="326">
        <f t="shared" si="11"/>
        <v>0</v>
      </c>
      <c r="AJ99" s="326">
        <f t="shared" si="12"/>
        <v>1</v>
      </c>
      <c r="AK99" s="323">
        <f t="shared" si="13"/>
        <v>665</v>
      </c>
      <c r="AL99" s="324">
        <f t="shared" si="14"/>
        <v>5.002255639097744</v>
      </c>
      <c r="AM99" s="328"/>
      <c r="AN99" s="326">
        <f t="shared" si="4"/>
      </c>
      <c r="AO99" s="328">
        <f>14952+6112+2196+2975+2853+674+1006+530+2139+2138.5+3326.5</f>
        <v>38902</v>
      </c>
      <c r="AP99" s="344">
        <f>1468+666+254+478+502+81+130+107+535+534+665</f>
        <v>5420</v>
      </c>
      <c r="AQ99" s="329">
        <f t="shared" si="3"/>
        <v>7.177490774907749</v>
      </c>
      <c r="AR99" s="297">
        <v>41033</v>
      </c>
      <c r="AS99" s="293"/>
      <c r="AT99" s="234"/>
    </row>
    <row r="100" spans="1:46" s="233" customFormat="1" ht="11.25" customHeight="1" hidden="1">
      <c r="A100" s="295"/>
      <c r="B100" s="236"/>
      <c r="C100" s="236" t="s">
        <v>223</v>
      </c>
      <c r="D100" s="236"/>
      <c r="E100" s="236"/>
      <c r="F100" s="293"/>
      <c r="G100" s="236"/>
      <c r="H100" s="236"/>
      <c r="I100" s="236"/>
      <c r="J100" s="366" t="s">
        <v>408</v>
      </c>
      <c r="K100" s="339" t="s">
        <v>862</v>
      </c>
      <c r="L100" s="339" t="s">
        <v>88</v>
      </c>
      <c r="M100" s="339" t="s">
        <v>401</v>
      </c>
      <c r="N100" s="370">
        <v>40837</v>
      </c>
      <c r="O100" s="288" t="s">
        <v>68</v>
      </c>
      <c r="P100" s="312">
        <v>10</v>
      </c>
      <c r="Q100" s="312">
        <v>1</v>
      </c>
      <c r="R100" s="312">
        <v>8</v>
      </c>
      <c r="S100" s="325">
        <v>0</v>
      </c>
      <c r="T100" s="355">
        <v>0</v>
      </c>
      <c r="U100" s="325">
        <v>0</v>
      </c>
      <c r="V100" s="355">
        <v>0</v>
      </c>
      <c r="W100" s="325">
        <v>0</v>
      </c>
      <c r="X100" s="355">
        <v>0</v>
      </c>
      <c r="Y100" s="334">
        <f t="shared" si="5"/>
        <v>0</v>
      </c>
      <c r="Z100" s="338">
        <f t="shared" si="6"/>
        <v>0</v>
      </c>
      <c r="AA100" s="323">
        <f t="shared" si="7"/>
      </c>
      <c r="AB100" s="324">
        <f t="shared" si="8"/>
      </c>
      <c r="AC100" s="330">
        <v>0</v>
      </c>
      <c r="AD100" s="326">
        <f aca="true" t="shared" si="15" ref="AD100:AD106">IF(AC100&lt;&gt;0,-(AC100-Y100)/AC100,"")</f>
      </c>
      <c r="AE100" s="327">
        <f t="shared" si="9"/>
        <v>3326.5</v>
      </c>
      <c r="AF100" s="323">
        <f t="shared" si="10"/>
        <v>665</v>
      </c>
      <c r="AG100" s="328">
        <v>3326.5</v>
      </c>
      <c r="AH100" s="344">
        <v>665</v>
      </c>
      <c r="AI100" s="326">
        <f t="shared" si="11"/>
        <v>0</v>
      </c>
      <c r="AJ100" s="326">
        <f t="shared" si="12"/>
        <v>1</v>
      </c>
      <c r="AK100" s="323">
        <f t="shared" si="13"/>
        <v>665</v>
      </c>
      <c r="AL100" s="324">
        <f t="shared" si="14"/>
        <v>5.002255639097744</v>
      </c>
      <c r="AM100" s="328"/>
      <c r="AN100" s="326">
        <f t="shared" si="4"/>
      </c>
      <c r="AO100" s="328">
        <f>10225+2950+986+451+172+519+2138.5+3326.5</f>
        <v>20768</v>
      </c>
      <c r="AP100" s="344">
        <f>1095+291+123+65+22+86+428+665</f>
        <v>2775</v>
      </c>
      <c r="AQ100" s="329">
        <f t="shared" si="3"/>
        <v>7.483963963963964</v>
      </c>
      <c r="AR100" s="297">
        <v>41033</v>
      </c>
      <c r="AS100" s="293"/>
      <c r="AT100" s="234"/>
    </row>
    <row r="101" spans="1:46" s="233" customFormat="1" ht="11.25" customHeight="1" hidden="1">
      <c r="A101" s="295"/>
      <c r="B101" s="293"/>
      <c r="C101" s="293"/>
      <c r="D101" s="293"/>
      <c r="E101" s="293"/>
      <c r="F101" s="236"/>
      <c r="G101" s="293"/>
      <c r="H101" s="236"/>
      <c r="I101" s="236"/>
      <c r="J101" s="360" t="s">
        <v>346</v>
      </c>
      <c r="K101" s="312" t="s">
        <v>348</v>
      </c>
      <c r="L101" s="312" t="s">
        <v>738</v>
      </c>
      <c r="M101" s="288" t="s">
        <v>347</v>
      </c>
      <c r="N101" s="370">
        <v>40921</v>
      </c>
      <c r="O101" s="288" t="s">
        <v>324</v>
      </c>
      <c r="P101" s="312">
        <v>30</v>
      </c>
      <c r="Q101" s="312">
        <v>3</v>
      </c>
      <c r="R101" s="312">
        <v>15</v>
      </c>
      <c r="S101" s="321">
        <v>619.5</v>
      </c>
      <c r="T101" s="322">
        <v>119</v>
      </c>
      <c r="U101" s="321">
        <v>579.5</v>
      </c>
      <c r="V101" s="322">
        <v>115</v>
      </c>
      <c r="W101" s="321">
        <v>1806.5</v>
      </c>
      <c r="X101" s="322">
        <v>356</v>
      </c>
      <c r="Y101" s="334">
        <f t="shared" si="5"/>
        <v>3005.5</v>
      </c>
      <c r="Z101" s="338">
        <f t="shared" si="6"/>
        <v>590</v>
      </c>
      <c r="AA101" s="323">
        <f t="shared" si="7"/>
        <v>196.66666666666666</v>
      </c>
      <c r="AB101" s="324">
        <f t="shared" si="8"/>
        <v>5.09406779661017</v>
      </c>
      <c r="AC101" s="325">
        <v>507</v>
      </c>
      <c r="AD101" s="326">
        <f t="shared" si="15"/>
        <v>4.928007889546351</v>
      </c>
      <c r="AE101" s="327">
        <f t="shared" si="9"/>
        <v>231.5</v>
      </c>
      <c r="AF101" s="323">
        <f t="shared" si="10"/>
        <v>26</v>
      </c>
      <c r="AG101" s="321">
        <v>3237</v>
      </c>
      <c r="AH101" s="322">
        <v>616</v>
      </c>
      <c r="AI101" s="326">
        <f t="shared" si="11"/>
        <v>0.9577922077922078</v>
      </c>
      <c r="AJ101" s="326">
        <f t="shared" si="12"/>
        <v>0.04220779220779221</v>
      </c>
      <c r="AK101" s="323">
        <f t="shared" si="13"/>
        <v>205.33333333333334</v>
      </c>
      <c r="AL101" s="324">
        <f t="shared" si="14"/>
        <v>5.25487012987013</v>
      </c>
      <c r="AM101" s="328">
        <v>2135</v>
      </c>
      <c r="AN101" s="326">
        <f t="shared" si="4"/>
        <v>0.5161592505854801</v>
      </c>
      <c r="AO101" s="321">
        <v>543555.5</v>
      </c>
      <c r="AP101" s="322">
        <v>42183</v>
      </c>
      <c r="AQ101" s="329">
        <f t="shared" si="3"/>
        <v>12.88565298817059</v>
      </c>
      <c r="AR101" s="297">
        <v>41033</v>
      </c>
      <c r="AS101" s="293"/>
      <c r="AT101" s="234"/>
    </row>
    <row r="102" spans="1:46" s="233" customFormat="1" ht="11.25" customHeight="1" hidden="1">
      <c r="A102" s="295"/>
      <c r="B102" s="236"/>
      <c r="C102" s="236" t="s">
        <v>223</v>
      </c>
      <c r="D102" s="236" t="s">
        <v>193</v>
      </c>
      <c r="E102" s="236"/>
      <c r="F102" s="293"/>
      <c r="G102" s="236"/>
      <c r="H102" s="236" t="s">
        <v>55</v>
      </c>
      <c r="I102" s="236"/>
      <c r="J102" s="366" t="s">
        <v>391</v>
      </c>
      <c r="K102" s="339" t="s">
        <v>863</v>
      </c>
      <c r="L102" s="339" t="s">
        <v>88</v>
      </c>
      <c r="M102" s="339" t="s">
        <v>397</v>
      </c>
      <c r="N102" s="370">
        <v>39864</v>
      </c>
      <c r="O102" s="288" t="s">
        <v>68</v>
      </c>
      <c r="P102" s="312">
        <v>55</v>
      </c>
      <c r="Q102" s="312">
        <v>1</v>
      </c>
      <c r="R102" s="312">
        <v>41</v>
      </c>
      <c r="S102" s="325">
        <v>0</v>
      </c>
      <c r="T102" s="355">
        <v>0</v>
      </c>
      <c r="U102" s="325">
        <v>0</v>
      </c>
      <c r="V102" s="355">
        <v>0</v>
      </c>
      <c r="W102" s="325">
        <v>0</v>
      </c>
      <c r="X102" s="355">
        <v>0</v>
      </c>
      <c r="Y102" s="334">
        <f t="shared" si="5"/>
        <v>0</v>
      </c>
      <c r="Z102" s="338">
        <f t="shared" si="6"/>
        <v>0</v>
      </c>
      <c r="AA102" s="323">
        <f t="shared" si="7"/>
      </c>
      <c r="AB102" s="324">
        <f t="shared" si="8"/>
      </c>
      <c r="AC102" s="330">
        <v>0</v>
      </c>
      <c r="AD102" s="326">
        <f t="shared" si="15"/>
      </c>
      <c r="AE102" s="327">
        <f t="shared" si="9"/>
        <v>2850</v>
      </c>
      <c r="AF102" s="323">
        <f t="shared" si="10"/>
        <v>570</v>
      </c>
      <c r="AG102" s="328">
        <v>2850</v>
      </c>
      <c r="AH102" s="344">
        <v>570</v>
      </c>
      <c r="AI102" s="326">
        <f t="shared" si="11"/>
        <v>0</v>
      </c>
      <c r="AJ102" s="326">
        <f t="shared" si="12"/>
        <v>1</v>
      </c>
      <c r="AK102" s="323">
        <f t="shared" si="13"/>
        <v>570</v>
      </c>
      <c r="AL102" s="324">
        <f t="shared" si="14"/>
        <v>5</v>
      </c>
      <c r="AM102" s="328"/>
      <c r="AN102" s="326">
        <f t="shared" si="4"/>
      </c>
      <c r="AO102" s="328">
        <f>190777.5+154065+60826.5+20820+23589+29712+19396.5+16102+12940+11034+3005+981+1140+40+98.25+284+1000+300+220+1211.5+155+156+63+1780+5228+1780+450+952+145+640+2445+2376+2376+2376+4752+2376+2852+1780+950+2375+2850</f>
        <v>586399.25</v>
      </c>
      <c r="AP102" s="344">
        <f>20518+17650+7809+3283+4115+5826+3911+3770+2981+2505+653+199+194+8+18+60+100+75+44+292+22+22+19+445+1307+445+75+238+29+128+383+594+594+594+1188+594+713+356+190+475+570</f>
        <v>82992</v>
      </c>
      <c r="AQ102" s="329">
        <f t="shared" si="3"/>
        <v>7.065732239251976</v>
      </c>
      <c r="AR102" s="297">
        <v>41033</v>
      </c>
      <c r="AS102" s="293"/>
      <c r="AT102" s="234"/>
    </row>
    <row r="103" spans="1:46" s="233" customFormat="1" ht="11.25" customHeight="1" hidden="1">
      <c r="A103" s="295"/>
      <c r="B103" s="236"/>
      <c r="C103" s="236"/>
      <c r="D103" s="236"/>
      <c r="E103" s="293"/>
      <c r="F103" s="236">
        <v>2</v>
      </c>
      <c r="G103" s="293"/>
      <c r="H103" s="236"/>
      <c r="I103" s="293"/>
      <c r="J103" s="364" t="s">
        <v>542</v>
      </c>
      <c r="K103" s="288" t="s">
        <v>386</v>
      </c>
      <c r="L103" s="288" t="s">
        <v>169</v>
      </c>
      <c r="M103" s="340" t="s">
        <v>543</v>
      </c>
      <c r="N103" s="369">
        <v>40956</v>
      </c>
      <c r="O103" s="288" t="s">
        <v>8</v>
      </c>
      <c r="P103" s="340">
        <v>160</v>
      </c>
      <c r="Q103" s="340">
        <v>6</v>
      </c>
      <c r="R103" s="340">
        <v>12</v>
      </c>
      <c r="S103" s="332">
        <v>419</v>
      </c>
      <c r="T103" s="333">
        <v>77</v>
      </c>
      <c r="U103" s="332">
        <v>665</v>
      </c>
      <c r="V103" s="333">
        <v>129</v>
      </c>
      <c r="W103" s="332">
        <v>365</v>
      </c>
      <c r="X103" s="333">
        <v>65</v>
      </c>
      <c r="Y103" s="334">
        <f t="shared" si="5"/>
        <v>1449</v>
      </c>
      <c r="Z103" s="338">
        <f t="shared" si="6"/>
        <v>271</v>
      </c>
      <c r="AA103" s="323">
        <f t="shared" si="7"/>
        <v>45.166666666666664</v>
      </c>
      <c r="AB103" s="324">
        <f t="shared" si="8"/>
        <v>5.3468634686346865</v>
      </c>
      <c r="AC103" s="330">
        <v>1449</v>
      </c>
      <c r="AD103" s="326">
        <f t="shared" si="15"/>
        <v>0</v>
      </c>
      <c r="AE103" s="327">
        <f t="shared" si="9"/>
        <v>1106</v>
      </c>
      <c r="AF103" s="323">
        <f t="shared" si="10"/>
        <v>202</v>
      </c>
      <c r="AG103" s="332">
        <v>2555</v>
      </c>
      <c r="AH103" s="333">
        <v>473</v>
      </c>
      <c r="AI103" s="326">
        <f t="shared" si="11"/>
        <v>0.572938689217759</v>
      </c>
      <c r="AJ103" s="326">
        <f t="shared" si="12"/>
        <v>0.427061310782241</v>
      </c>
      <c r="AK103" s="323">
        <f t="shared" si="13"/>
        <v>78.83333333333333</v>
      </c>
      <c r="AL103" s="324">
        <f t="shared" si="14"/>
        <v>5.40169133192389</v>
      </c>
      <c r="AM103" s="334">
        <v>6608</v>
      </c>
      <c r="AN103" s="326">
        <f t="shared" si="4"/>
        <v>-0.6133474576271186</v>
      </c>
      <c r="AO103" s="332">
        <v>3144270</v>
      </c>
      <c r="AP103" s="333">
        <v>302690</v>
      </c>
      <c r="AQ103" s="329">
        <f t="shared" si="3"/>
        <v>10.387756450493905</v>
      </c>
      <c r="AR103" s="297">
        <v>41033</v>
      </c>
      <c r="AS103" s="293"/>
      <c r="AT103" s="234"/>
    </row>
    <row r="104" spans="1:46" s="233" customFormat="1" ht="11.25" customHeight="1" hidden="1">
      <c r="A104" s="295"/>
      <c r="B104" s="293"/>
      <c r="C104" s="236" t="s">
        <v>223</v>
      </c>
      <c r="D104" s="293"/>
      <c r="E104" s="293"/>
      <c r="F104" s="236"/>
      <c r="G104" s="293"/>
      <c r="H104" s="293"/>
      <c r="I104" s="236" t="s">
        <v>54</v>
      </c>
      <c r="J104" s="363" t="s">
        <v>660</v>
      </c>
      <c r="K104" s="331"/>
      <c r="L104" s="331"/>
      <c r="M104" s="331" t="s">
        <v>660</v>
      </c>
      <c r="N104" s="370">
        <v>40550</v>
      </c>
      <c r="O104" s="288" t="s">
        <v>53</v>
      </c>
      <c r="P104" s="346">
        <v>243</v>
      </c>
      <c r="Q104" s="346">
        <v>1</v>
      </c>
      <c r="R104" s="346">
        <v>22</v>
      </c>
      <c r="S104" s="347">
        <v>807</v>
      </c>
      <c r="T104" s="348">
        <v>162</v>
      </c>
      <c r="U104" s="347">
        <v>795</v>
      </c>
      <c r="V104" s="348">
        <v>159</v>
      </c>
      <c r="W104" s="347">
        <v>800</v>
      </c>
      <c r="X104" s="348">
        <v>160</v>
      </c>
      <c r="Y104" s="334">
        <f t="shared" si="5"/>
        <v>2402</v>
      </c>
      <c r="Z104" s="338">
        <f t="shared" si="6"/>
        <v>481</v>
      </c>
      <c r="AA104" s="323">
        <f t="shared" si="7"/>
        <v>481</v>
      </c>
      <c r="AB104" s="324">
        <f t="shared" si="8"/>
        <v>4.993762993762994</v>
      </c>
      <c r="AC104" s="330">
        <v>2402</v>
      </c>
      <c r="AD104" s="326">
        <f t="shared" si="15"/>
        <v>0</v>
      </c>
      <c r="AE104" s="327">
        <f t="shared" si="9"/>
        <v>0</v>
      </c>
      <c r="AF104" s="323">
        <f t="shared" si="10"/>
        <v>0</v>
      </c>
      <c r="AG104" s="334">
        <v>2402</v>
      </c>
      <c r="AH104" s="338">
        <v>481</v>
      </c>
      <c r="AI104" s="326">
        <f t="shared" si="11"/>
        <v>1</v>
      </c>
      <c r="AJ104" s="326">
        <f t="shared" si="12"/>
        <v>0</v>
      </c>
      <c r="AK104" s="323">
        <f t="shared" si="13"/>
        <v>481</v>
      </c>
      <c r="AL104" s="324">
        <f t="shared" si="14"/>
        <v>4.993762993762994</v>
      </c>
      <c r="AM104" s="334">
        <v>1201</v>
      </c>
      <c r="AN104" s="326">
        <f t="shared" si="4"/>
        <v>1</v>
      </c>
      <c r="AO104" s="334">
        <f>3050831.5+2178855.5+1196710.5+496983-200+210922.5+72277.5+4+43197.5+17348.5+5963-21+911+2090+3211+288+13851+660+6810+66+156+103+3603+1201+2402</f>
        <v>7308224.5</v>
      </c>
      <c r="AP104" s="338">
        <f>393137+282255+156413+64920+60+27548+10641+7089+3227+1196+161+455+643+72+2547+132+1127+11+26+25+720+240+481</f>
        <v>953126</v>
      </c>
      <c r="AQ104" s="329">
        <f t="shared" si="3"/>
        <v>7.66763733231493</v>
      </c>
      <c r="AR104" s="297">
        <v>41033</v>
      </c>
      <c r="AS104" s="293"/>
      <c r="AT104" s="234"/>
    </row>
    <row r="105" spans="1:46" s="233" customFormat="1" ht="11.25" customHeight="1" hidden="1">
      <c r="A105" s="295"/>
      <c r="B105" s="236"/>
      <c r="C105" s="236"/>
      <c r="D105" s="236"/>
      <c r="E105" s="236"/>
      <c r="F105" s="236"/>
      <c r="G105" s="236"/>
      <c r="H105" s="236"/>
      <c r="I105" s="236" t="s">
        <v>54</v>
      </c>
      <c r="J105" s="361" t="s">
        <v>648</v>
      </c>
      <c r="K105" s="312"/>
      <c r="L105" s="340"/>
      <c r="M105" s="340" t="s">
        <v>648</v>
      </c>
      <c r="N105" s="370">
        <v>40991</v>
      </c>
      <c r="O105" s="288" t="s">
        <v>68</v>
      </c>
      <c r="P105" s="312">
        <v>20</v>
      </c>
      <c r="Q105" s="312">
        <v>6</v>
      </c>
      <c r="R105" s="312">
        <v>7</v>
      </c>
      <c r="S105" s="325">
        <v>238</v>
      </c>
      <c r="T105" s="355">
        <v>32</v>
      </c>
      <c r="U105" s="325">
        <v>390</v>
      </c>
      <c r="V105" s="355">
        <v>52</v>
      </c>
      <c r="W105" s="325">
        <v>373.5</v>
      </c>
      <c r="X105" s="355">
        <v>50</v>
      </c>
      <c r="Y105" s="334">
        <f t="shared" si="5"/>
        <v>1001.5</v>
      </c>
      <c r="Z105" s="338">
        <f t="shared" si="6"/>
        <v>134</v>
      </c>
      <c r="AA105" s="323">
        <f t="shared" si="7"/>
        <v>22.333333333333332</v>
      </c>
      <c r="AB105" s="324">
        <f t="shared" si="8"/>
        <v>7.473880597014926</v>
      </c>
      <c r="AC105" s="330">
        <v>1001.5</v>
      </c>
      <c r="AD105" s="326">
        <f t="shared" si="15"/>
        <v>0</v>
      </c>
      <c r="AE105" s="327">
        <f t="shared" si="9"/>
        <v>1186.5</v>
      </c>
      <c r="AF105" s="323">
        <f t="shared" si="10"/>
        <v>175</v>
      </c>
      <c r="AG105" s="328">
        <v>2188</v>
      </c>
      <c r="AH105" s="344">
        <v>309</v>
      </c>
      <c r="AI105" s="326">
        <f t="shared" si="11"/>
        <v>0.4336569579288026</v>
      </c>
      <c r="AJ105" s="326">
        <f t="shared" si="12"/>
        <v>0.5663430420711975</v>
      </c>
      <c r="AK105" s="323">
        <f t="shared" si="13"/>
        <v>51.5</v>
      </c>
      <c r="AL105" s="324">
        <f t="shared" si="14"/>
        <v>7.080906148867314</v>
      </c>
      <c r="AM105" s="334">
        <v>9081</v>
      </c>
      <c r="AN105" s="326">
        <f t="shared" si="4"/>
        <v>-0.7590573725360643</v>
      </c>
      <c r="AO105" s="328">
        <f>50858.29+38451.47+23135.83+10325.02+9081+9951+2188</f>
        <v>143990.61000000002</v>
      </c>
      <c r="AP105" s="344">
        <f>5799+4385+2913+1485+1324+1503+309</f>
        <v>17718</v>
      </c>
      <c r="AQ105" s="329">
        <f t="shared" si="3"/>
        <v>8.126798171351169</v>
      </c>
      <c r="AR105" s="297">
        <v>41033</v>
      </c>
      <c r="AS105" s="293"/>
      <c r="AT105" s="234"/>
    </row>
    <row r="106" spans="1:46" s="233" customFormat="1" ht="11.25" customHeight="1" hidden="1">
      <c r="A106" s="295"/>
      <c r="B106" s="236"/>
      <c r="C106" s="236"/>
      <c r="D106" s="236"/>
      <c r="E106" s="236"/>
      <c r="F106" s="236"/>
      <c r="G106" s="236"/>
      <c r="H106" s="236"/>
      <c r="I106" s="236"/>
      <c r="J106" s="366" t="s">
        <v>482</v>
      </c>
      <c r="K106" s="312"/>
      <c r="L106" s="288"/>
      <c r="M106" s="339" t="s">
        <v>483</v>
      </c>
      <c r="N106" s="370">
        <v>40935</v>
      </c>
      <c r="O106" s="288" t="s">
        <v>68</v>
      </c>
      <c r="P106" s="312">
        <v>24</v>
      </c>
      <c r="Q106" s="312">
        <v>5</v>
      </c>
      <c r="R106" s="312">
        <v>15</v>
      </c>
      <c r="S106" s="347">
        <v>0</v>
      </c>
      <c r="T106" s="348">
        <v>0</v>
      </c>
      <c r="U106" s="347">
        <v>0</v>
      </c>
      <c r="V106" s="348">
        <v>0</v>
      </c>
      <c r="W106" s="347">
        <v>0</v>
      </c>
      <c r="X106" s="348">
        <v>0</v>
      </c>
      <c r="Y106" s="334">
        <f t="shared" si="5"/>
        <v>0</v>
      </c>
      <c r="Z106" s="338">
        <f t="shared" si="6"/>
        <v>0</v>
      </c>
      <c r="AA106" s="323">
        <f t="shared" si="7"/>
      </c>
      <c r="AB106" s="324">
        <f t="shared" si="8"/>
      </c>
      <c r="AC106" s="330">
        <v>0</v>
      </c>
      <c r="AD106" s="326">
        <f t="shared" si="15"/>
      </c>
      <c r="AE106" s="327">
        <f t="shared" si="9"/>
        <v>2138.5</v>
      </c>
      <c r="AF106" s="323">
        <f t="shared" si="10"/>
        <v>428</v>
      </c>
      <c r="AG106" s="328">
        <v>2138.5</v>
      </c>
      <c r="AH106" s="344">
        <v>428</v>
      </c>
      <c r="AI106" s="326">
        <f t="shared" si="11"/>
        <v>0</v>
      </c>
      <c r="AJ106" s="326">
        <f t="shared" si="12"/>
        <v>1</v>
      </c>
      <c r="AK106" s="323">
        <f t="shared" si="13"/>
        <v>85.6</v>
      </c>
      <c r="AL106" s="324">
        <f t="shared" si="14"/>
        <v>4.996495327102804</v>
      </c>
      <c r="AM106" s="328"/>
      <c r="AN106" s="326">
        <f t="shared" si="4"/>
      </c>
      <c r="AO106" s="328">
        <f>219512+172510+97324.5+20509.5+35119+75025.4+23655.5+8708+2633.5+3076.5+627+2210.5+4756+1926+2138.5</f>
        <v>669731.9</v>
      </c>
      <c r="AP106" s="344">
        <f>16452+13782+8143+1750+3275+6017+2126+1042+267+599+87+410+722+372+428</f>
        <v>55472</v>
      </c>
      <c r="AQ106" s="329">
        <f t="shared" si="3"/>
        <v>12.07333249206807</v>
      </c>
      <c r="AR106" s="297">
        <v>41033</v>
      </c>
      <c r="AS106" s="293"/>
      <c r="AT106" s="234"/>
    </row>
    <row r="107" spans="1:46" s="233" customFormat="1" ht="11.25" customHeight="1" hidden="1">
      <c r="A107" s="295"/>
      <c r="B107" s="236"/>
      <c r="C107" s="236" t="s">
        <v>223</v>
      </c>
      <c r="D107" s="293"/>
      <c r="E107" s="293"/>
      <c r="F107" s="236"/>
      <c r="G107" s="293"/>
      <c r="H107" s="236"/>
      <c r="I107" s="236"/>
      <c r="J107" s="360" t="s">
        <v>818</v>
      </c>
      <c r="K107" s="312" t="s">
        <v>888</v>
      </c>
      <c r="L107" s="312" t="s">
        <v>738</v>
      </c>
      <c r="M107" s="288" t="s">
        <v>818</v>
      </c>
      <c r="N107" s="370">
        <v>40571</v>
      </c>
      <c r="O107" s="288" t="s">
        <v>324</v>
      </c>
      <c r="P107" s="312">
        <v>20</v>
      </c>
      <c r="Q107" s="312">
        <v>1</v>
      </c>
      <c r="R107" s="312">
        <v>21</v>
      </c>
      <c r="S107" s="321">
        <v>0</v>
      </c>
      <c r="T107" s="322">
        <v>0</v>
      </c>
      <c r="U107" s="321">
        <v>0</v>
      </c>
      <c r="V107" s="322">
        <v>0</v>
      </c>
      <c r="W107" s="321">
        <v>0</v>
      </c>
      <c r="X107" s="322">
        <v>0</v>
      </c>
      <c r="Y107" s="334">
        <f t="shared" si="5"/>
        <v>0</v>
      </c>
      <c r="Z107" s="338">
        <f t="shared" si="6"/>
        <v>0</v>
      </c>
      <c r="AA107" s="323">
        <f t="shared" si="7"/>
      </c>
      <c r="AB107" s="324">
        <f t="shared" si="8"/>
      </c>
      <c r="AC107" s="330"/>
      <c r="AD107" s="326"/>
      <c r="AE107" s="327">
        <f t="shared" si="9"/>
        <v>2135</v>
      </c>
      <c r="AF107" s="323">
        <f t="shared" si="10"/>
        <v>427</v>
      </c>
      <c r="AG107" s="321">
        <v>2135</v>
      </c>
      <c r="AH107" s="322">
        <v>427</v>
      </c>
      <c r="AI107" s="326">
        <f t="shared" si="11"/>
        <v>0</v>
      </c>
      <c r="AJ107" s="326">
        <f t="shared" si="12"/>
        <v>1</v>
      </c>
      <c r="AK107" s="323">
        <f t="shared" si="13"/>
        <v>427</v>
      </c>
      <c r="AL107" s="324">
        <f t="shared" si="14"/>
        <v>5</v>
      </c>
      <c r="AM107" s="328"/>
      <c r="AN107" s="326">
        <f t="shared" si="4"/>
      </c>
      <c r="AO107" s="321">
        <v>791392</v>
      </c>
      <c r="AP107" s="322">
        <v>66677</v>
      </c>
      <c r="AQ107" s="329">
        <f t="shared" si="3"/>
        <v>11.869040298753694</v>
      </c>
      <c r="AR107" s="297">
        <v>41033</v>
      </c>
      <c r="AS107" s="293"/>
      <c r="AT107" s="234"/>
    </row>
    <row r="108" spans="1:46" s="233" customFormat="1" ht="11.25" customHeight="1" hidden="1">
      <c r="A108" s="295"/>
      <c r="B108" s="236"/>
      <c r="C108" s="236" t="s">
        <v>223</v>
      </c>
      <c r="D108" s="236"/>
      <c r="E108" s="236"/>
      <c r="F108" s="236"/>
      <c r="G108" s="236"/>
      <c r="H108" s="236" t="s">
        <v>55</v>
      </c>
      <c r="I108" s="236"/>
      <c r="J108" s="366" t="s">
        <v>310</v>
      </c>
      <c r="K108" s="339" t="s">
        <v>118</v>
      </c>
      <c r="L108" s="319" t="s">
        <v>864</v>
      </c>
      <c r="M108" s="339" t="s">
        <v>310</v>
      </c>
      <c r="N108" s="370">
        <v>40641</v>
      </c>
      <c r="O108" s="288" t="s">
        <v>68</v>
      </c>
      <c r="P108" s="312">
        <v>137</v>
      </c>
      <c r="Q108" s="312">
        <v>1</v>
      </c>
      <c r="R108" s="312">
        <v>45</v>
      </c>
      <c r="S108" s="325">
        <v>0</v>
      </c>
      <c r="T108" s="355">
        <v>0</v>
      </c>
      <c r="U108" s="325">
        <v>0</v>
      </c>
      <c r="V108" s="355">
        <v>0</v>
      </c>
      <c r="W108" s="325">
        <v>0</v>
      </c>
      <c r="X108" s="355">
        <v>0</v>
      </c>
      <c r="Y108" s="334">
        <f t="shared" si="5"/>
        <v>0</v>
      </c>
      <c r="Z108" s="338">
        <f t="shared" si="6"/>
        <v>0</v>
      </c>
      <c r="AA108" s="323">
        <f t="shared" si="7"/>
      </c>
      <c r="AB108" s="324">
        <f t="shared" si="8"/>
      </c>
      <c r="AC108" s="330">
        <v>0</v>
      </c>
      <c r="AD108" s="326">
        <f aca="true" t="shared" si="16" ref="AD108:AD128">IF(AC108&lt;&gt;0,-(AC108-Y108)/AC108,"")</f>
      </c>
      <c r="AE108" s="327">
        <f t="shared" si="9"/>
        <v>1425.5</v>
      </c>
      <c r="AF108" s="323">
        <f t="shared" si="10"/>
        <v>285</v>
      </c>
      <c r="AG108" s="328">
        <v>1425.5</v>
      </c>
      <c r="AH108" s="344">
        <v>285</v>
      </c>
      <c r="AI108" s="326">
        <f t="shared" si="11"/>
        <v>0</v>
      </c>
      <c r="AJ108" s="326">
        <f t="shared" si="12"/>
        <v>1</v>
      </c>
      <c r="AK108" s="323">
        <f t="shared" si="13"/>
        <v>285</v>
      </c>
      <c r="AL108" s="324">
        <f t="shared" si="14"/>
        <v>5.0017543859649125</v>
      </c>
      <c r="AM108" s="328"/>
      <c r="AN108" s="326">
        <f t="shared" si="4"/>
      </c>
      <c r="AO108" s="328">
        <f>1093950.25+883807.25+882248.49+232093.5+101981.5+57830.5+19947.5+33359.5+10973.5+10465+4630+3501.5+10659+9758.5+3633+5790+6145.5+1329.5+1868.5+1128+2980.5+1299.5+16988+15449+14138+200+1908+7960+4871+1544.5+1533+891+3175+713+425+224+993+2318+3705+4989.5+1188+831+1188+7841+1425.5</f>
        <v>3473878.99</v>
      </c>
      <c r="AP108" s="344">
        <f>103570+88345+90215+25333+13427+8958+3731+5336+2366+2057+997+691+1831+2140+654+1021+736+207+401+189+424+234+4142+3841+3526+40+471+1991+1218+386+96+56+735+178+84+42+228+1120+1571+1248+238+166+238+1569+285</f>
        <v>376332</v>
      </c>
      <c r="AQ108" s="329">
        <f t="shared" si="3"/>
        <v>9.230889188269932</v>
      </c>
      <c r="AR108" s="297">
        <v>41033</v>
      </c>
      <c r="AS108" s="293"/>
      <c r="AT108" s="234"/>
    </row>
    <row r="109" spans="1:46" s="233" customFormat="1" ht="11.25" customHeight="1" hidden="1">
      <c r="A109" s="295"/>
      <c r="B109" s="236"/>
      <c r="C109" s="236"/>
      <c r="D109" s="236"/>
      <c r="E109" s="236"/>
      <c r="F109" s="236"/>
      <c r="G109" s="236"/>
      <c r="H109" s="236"/>
      <c r="I109" s="236" t="s">
        <v>54</v>
      </c>
      <c r="J109" s="361" t="s">
        <v>668</v>
      </c>
      <c r="K109" s="288"/>
      <c r="L109" s="288"/>
      <c r="M109" s="340" t="s">
        <v>668</v>
      </c>
      <c r="N109" s="370">
        <v>40998</v>
      </c>
      <c r="O109" s="288" t="s">
        <v>68</v>
      </c>
      <c r="P109" s="346">
        <v>109</v>
      </c>
      <c r="Q109" s="312">
        <v>4</v>
      </c>
      <c r="R109" s="312">
        <v>7</v>
      </c>
      <c r="S109" s="325">
        <v>0</v>
      </c>
      <c r="T109" s="355">
        <v>0</v>
      </c>
      <c r="U109" s="325">
        <v>0</v>
      </c>
      <c r="V109" s="355">
        <v>0</v>
      </c>
      <c r="W109" s="325">
        <v>0</v>
      </c>
      <c r="X109" s="355">
        <v>0</v>
      </c>
      <c r="Y109" s="334">
        <f t="shared" si="5"/>
        <v>0</v>
      </c>
      <c r="Z109" s="338">
        <f t="shared" si="6"/>
        <v>0</v>
      </c>
      <c r="AA109" s="323">
        <f t="shared" si="7"/>
      </c>
      <c r="AB109" s="324">
        <f t="shared" si="8"/>
      </c>
      <c r="AC109" s="330">
        <v>0</v>
      </c>
      <c r="AD109" s="326">
        <f t="shared" si="16"/>
      </c>
      <c r="AE109" s="327">
        <f t="shared" si="9"/>
        <v>1221.5</v>
      </c>
      <c r="AF109" s="323">
        <f t="shared" si="10"/>
        <v>213</v>
      </c>
      <c r="AG109" s="375">
        <v>1221.5</v>
      </c>
      <c r="AH109" s="376">
        <v>213</v>
      </c>
      <c r="AI109" s="326">
        <f t="shared" si="11"/>
        <v>0</v>
      </c>
      <c r="AJ109" s="326">
        <f t="shared" si="12"/>
        <v>1</v>
      </c>
      <c r="AK109" s="323">
        <f t="shared" si="13"/>
        <v>53.25</v>
      </c>
      <c r="AL109" s="324">
        <f t="shared" si="14"/>
        <v>5.734741784037559</v>
      </c>
      <c r="AM109" s="334">
        <v>17385.27</v>
      </c>
      <c r="AN109" s="326">
        <f t="shared" si="4"/>
        <v>-0.9297393713183632</v>
      </c>
      <c r="AO109" s="328">
        <f>141737.5+69212.99+17385.27+12661+9645+4953</f>
        <v>255594.75999999998</v>
      </c>
      <c r="AP109" s="344">
        <f>15777+8169+2548+1919+1615+842</f>
        <v>30870</v>
      </c>
      <c r="AQ109" s="329">
        <f t="shared" si="3"/>
        <v>8.279713637836085</v>
      </c>
      <c r="AR109" s="297">
        <v>41033</v>
      </c>
      <c r="AS109" s="293"/>
      <c r="AT109" s="234"/>
    </row>
    <row r="110" spans="1:46" s="233" customFormat="1" ht="11.25" customHeight="1" hidden="1">
      <c r="A110" s="295"/>
      <c r="B110" s="236"/>
      <c r="C110" s="236" t="s">
        <v>223</v>
      </c>
      <c r="D110" s="236"/>
      <c r="E110" s="236"/>
      <c r="F110" s="236"/>
      <c r="G110" s="236"/>
      <c r="H110" s="236"/>
      <c r="I110" s="236" t="s">
        <v>54</v>
      </c>
      <c r="J110" s="361" t="s">
        <v>71</v>
      </c>
      <c r="K110" s="312" t="s">
        <v>82</v>
      </c>
      <c r="L110" s="312"/>
      <c r="M110" s="312" t="s">
        <v>71</v>
      </c>
      <c r="N110" s="369">
        <v>40858</v>
      </c>
      <c r="O110" s="288" t="s">
        <v>53</v>
      </c>
      <c r="P110" s="346">
        <v>130</v>
      </c>
      <c r="Q110" s="346">
        <v>1</v>
      </c>
      <c r="R110" s="346">
        <v>13</v>
      </c>
      <c r="S110" s="347">
        <v>305</v>
      </c>
      <c r="T110" s="348">
        <v>51</v>
      </c>
      <c r="U110" s="347">
        <v>300</v>
      </c>
      <c r="V110" s="348">
        <v>50</v>
      </c>
      <c r="W110" s="347">
        <v>594</v>
      </c>
      <c r="X110" s="348">
        <v>99</v>
      </c>
      <c r="Y110" s="334">
        <f t="shared" si="5"/>
        <v>1199</v>
      </c>
      <c r="Z110" s="338">
        <f t="shared" si="6"/>
        <v>200</v>
      </c>
      <c r="AA110" s="323">
        <f t="shared" si="7"/>
        <v>200</v>
      </c>
      <c r="AB110" s="324">
        <f t="shared" si="8"/>
        <v>5.995</v>
      </c>
      <c r="AC110" s="334">
        <v>1199</v>
      </c>
      <c r="AD110" s="326">
        <f t="shared" si="16"/>
        <v>0</v>
      </c>
      <c r="AE110" s="327">
        <f t="shared" si="9"/>
        <v>0</v>
      </c>
      <c r="AF110" s="323">
        <f t="shared" si="10"/>
        <v>0</v>
      </c>
      <c r="AG110" s="334">
        <v>1199</v>
      </c>
      <c r="AH110" s="338">
        <v>200</v>
      </c>
      <c r="AI110" s="326">
        <f t="shared" si="11"/>
        <v>1</v>
      </c>
      <c r="AJ110" s="326">
        <f t="shared" si="12"/>
        <v>0</v>
      </c>
      <c r="AK110" s="323">
        <f t="shared" si="13"/>
        <v>200</v>
      </c>
      <c r="AL110" s="324">
        <f t="shared" si="14"/>
        <v>5.995</v>
      </c>
      <c r="AM110" s="334">
        <v>772</v>
      </c>
      <c r="AN110" s="326">
        <f t="shared" si="4"/>
        <v>0.5531088082901554</v>
      </c>
      <c r="AO110" s="334">
        <f>665902+436506+215139.5+18371+13790+6539+18719+8754+1085+753+5914+772+1199</f>
        <v>1393443.5</v>
      </c>
      <c r="AP110" s="338">
        <f>66262+44749+24699+2311+1764+1135+3015+1547+179+111+595+67+200</f>
        <v>146634</v>
      </c>
      <c r="AQ110" s="329">
        <f t="shared" si="3"/>
        <v>9.502867684166018</v>
      </c>
      <c r="AR110" s="297">
        <v>41033</v>
      </c>
      <c r="AS110" s="293"/>
      <c r="AT110" s="234"/>
    </row>
    <row r="111" spans="1:46" s="233" customFormat="1" ht="11.25" customHeight="1" hidden="1">
      <c r="A111" s="295"/>
      <c r="B111" s="236"/>
      <c r="C111" s="236" t="s">
        <v>223</v>
      </c>
      <c r="D111" s="236"/>
      <c r="E111" s="236"/>
      <c r="F111" s="236"/>
      <c r="G111" s="236"/>
      <c r="H111" s="236"/>
      <c r="I111" s="236" t="s">
        <v>54</v>
      </c>
      <c r="J111" s="366" t="s">
        <v>73</v>
      </c>
      <c r="K111" s="339" t="s">
        <v>87</v>
      </c>
      <c r="L111" s="339"/>
      <c r="M111" s="339" t="s">
        <v>73</v>
      </c>
      <c r="N111" s="370">
        <v>40858</v>
      </c>
      <c r="O111" s="288" t="s">
        <v>68</v>
      </c>
      <c r="P111" s="312">
        <v>32</v>
      </c>
      <c r="Q111" s="312">
        <v>1</v>
      </c>
      <c r="R111" s="312">
        <v>18</v>
      </c>
      <c r="S111" s="332">
        <v>0</v>
      </c>
      <c r="T111" s="333">
        <v>0</v>
      </c>
      <c r="U111" s="332">
        <v>0</v>
      </c>
      <c r="V111" s="333">
        <v>0</v>
      </c>
      <c r="W111" s="332">
        <v>0</v>
      </c>
      <c r="X111" s="333">
        <v>0</v>
      </c>
      <c r="Y111" s="334">
        <f t="shared" si="5"/>
        <v>0</v>
      </c>
      <c r="Z111" s="338">
        <f t="shared" si="6"/>
        <v>0</v>
      </c>
      <c r="AA111" s="323">
        <f t="shared" si="7"/>
      </c>
      <c r="AB111" s="324">
        <f t="shared" si="8"/>
      </c>
      <c r="AC111" s="330">
        <v>0</v>
      </c>
      <c r="AD111" s="326">
        <f t="shared" si="16"/>
      </c>
      <c r="AE111" s="327">
        <f t="shared" si="9"/>
        <v>1188</v>
      </c>
      <c r="AF111" s="323">
        <f t="shared" si="10"/>
        <v>238</v>
      </c>
      <c r="AG111" s="328">
        <v>1188</v>
      </c>
      <c r="AH111" s="344">
        <v>238</v>
      </c>
      <c r="AI111" s="326">
        <f t="shared" si="11"/>
        <v>0</v>
      </c>
      <c r="AJ111" s="326">
        <f t="shared" si="12"/>
        <v>1</v>
      </c>
      <c r="AK111" s="323">
        <f t="shared" si="13"/>
        <v>238</v>
      </c>
      <c r="AL111" s="324">
        <f t="shared" si="14"/>
        <v>4.991596638655462</v>
      </c>
      <c r="AM111" s="328"/>
      <c r="AN111" s="326">
        <f t="shared" si="4"/>
      </c>
      <c r="AO111" s="328">
        <f>119417+74006.5+30939.5+15734+17682+7740+3814.5+5519+937+732+479+1782+1188+713+96+745+3801.5+1188</f>
        <v>286514</v>
      </c>
      <c r="AP111" s="344">
        <f>12383+8559+4204+1986+2778+1301+707+782+165+115+82+325+238+143+32+132+760+238</f>
        <v>34930</v>
      </c>
      <c r="AQ111" s="329">
        <f t="shared" si="3"/>
        <v>8.202519324363012</v>
      </c>
      <c r="AR111" s="297">
        <v>41033</v>
      </c>
      <c r="AS111" s="293"/>
      <c r="AT111" s="234"/>
    </row>
    <row r="112" spans="1:46" s="233" customFormat="1" ht="11.25" customHeight="1" hidden="1">
      <c r="A112" s="295"/>
      <c r="B112" s="236"/>
      <c r="C112" s="236" t="s">
        <v>223</v>
      </c>
      <c r="D112" s="236"/>
      <c r="E112" s="236"/>
      <c r="F112" s="236"/>
      <c r="G112" s="236"/>
      <c r="H112" s="236"/>
      <c r="I112" s="236" t="s">
        <v>54</v>
      </c>
      <c r="J112" s="366" t="s">
        <v>309</v>
      </c>
      <c r="K112" s="339" t="s">
        <v>320</v>
      </c>
      <c r="L112" s="319"/>
      <c r="M112" s="339" t="s">
        <v>309</v>
      </c>
      <c r="N112" s="370">
        <v>40676</v>
      </c>
      <c r="O112" s="288" t="s">
        <v>68</v>
      </c>
      <c r="P112" s="312">
        <v>11</v>
      </c>
      <c r="Q112" s="312">
        <v>1</v>
      </c>
      <c r="R112" s="312">
        <v>23</v>
      </c>
      <c r="S112" s="325">
        <v>0</v>
      </c>
      <c r="T112" s="355">
        <v>0</v>
      </c>
      <c r="U112" s="325">
        <v>0</v>
      </c>
      <c r="V112" s="355">
        <v>0</v>
      </c>
      <c r="W112" s="325">
        <v>0</v>
      </c>
      <c r="X112" s="355">
        <v>0</v>
      </c>
      <c r="Y112" s="334">
        <f t="shared" si="5"/>
        <v>0</v>
      </c>
      <c r="Z112" s="338">
        <f t="shared" si="6"/>
        <v>0</v>
      </c>
      <c r="AA112" s="323">
        <f t="shared" si="7"/>
      </c>
      <c r="AB112" s="324">
        <f t="shared" si="8"/>
      </c>
      <c r="AC112" s="330">
        <v>0</v>
      </c>
      <c r="AD112" s="326">
        <f t="shared" si="16"/>
      </c>
      <c r="AE112" s="327">
        <f t="shared" si="9"/>
        <v>1188</v>
      </c>
      <c r="AF112" s="323">
        <f t="shared" si="10"/>
        <v>238</v>
      </c>
      <c r="AG112" s="328">
        <v>1188</v>
      </c>
      <c r="AH112" s="344">
        <v>238</v>
      </c>
      <c r="AI112" s="326">
        <f t="shared" si="11"/>
        <v>0</v>
      </c>
      <c r="AJ112" s="326">
        <f t="shared" si="12"/>
        <v>1</v>
      </c>
      <c r="AK112" s="323">
        <f t="shared" si="13"/>
        <v>238</v>
      </c>
      <c r="AL112" s="324">
        <f t="shared" si="14"/>
        <v>4.991596638655462</v>
      </c>
      <c r="AM112" s="328"/>
      <c r="AN112" s="326">
        <f t="shared" si="4"/>
      </c>
      <c r="AO112" s="328">
        <f>19776.5+5289.5+3941.5+4149+6030.5+491+2263+886+669+235+576+182+578+116+1188+1782+1782+1782+1782+3801.5+2138.5+357+1188</f>
        <v>60984</v>
      </c>
      <c r="AP112" s="344">
        <f>2214+710+772+646+1024+103+434+139+105+46+100+16+62+13+297+446+446+446+446+950+535+158+238</f>
        <v>10346</v>
      </c>
      <c r="AQ112" s="329">
        <f t="shared" si="3"/>
        <v>5.894451962110961</v>
      </c>
      <c r="AR112" s="297">
        <v>41033</v>
      </c>
      <c r="AS112" s="293"/>
      <c r="AT112" s="234"/>
    </row>
    <row r="113" spans="1:46" s="233" customFormat="1" ht="11.25" customHeight="1" hidden="1">
      <c r="A113" s="295"/>
      <c r="B113" s="236"/>
      <c r="C113" s="236" t="s">
        <v>223</v>
      </c>
      <c r="D113" s="236"/>
      <c r="E113" s="236"/>
      <c r="F113" s="236"/>
      <c r="G113" s="236"/>
      <c r="H113" s="236"/>
      <c r="I113" s="236" t="s">
        <v>54</v>
      </c>
      <c r="J113" s="366" t="s">
        <v>507</v>
      </c>
      <c r="K113" s="312" t="s">
        <v>520</v>
      </c>
      <c r="L113" s="341" t="s">
        <v>91</v>
      </c>
      <c r="M113" s="339" t="s">
        <v>507</v>
      </c>
      <c r="N113" s="370">
        <v>40662</v>
      </c>
      <c r="O113" s="288" t="s">
        <v>68</v>
      </c>
      <c r="P113" s="312">
        <v>10</v>
      </c>
      <c r="Q113" s="312">
        <v>1</v>
      </c>
      <c r="R113" s="312">
        <v>24</v>
      </c>
      <c r="S113" s="325">
        <v>0</v>
      </c>
      <c r="T113" s="355">
        <v>0</v>
      </c>
      <c r="U113" s="325">
        <v>0</v>
      </c>
      <c r="V113" s="355">
        <v>0</v>
      </c>
      <c r="W113" s="325">
        <v>0</v>
      </c>
      <c r="X113" s="355">
        <v>0</v>
      </c>
      <c r="Y113" s="334">
        <f t="shared" si="5"/>
        <v>0</v>
      </c>
      <c r="Z113" s="338">
        <f t="shared" si="6"/>
        <v>0</v>
      </c>
      <c r="AA113" s="323"/>
      <c r="AB113" s="324"/>
      <c r="AC113" s="334">
        <v>0</v>
      </c>
      <c r="AD113" s="326">
        <f t="shared" si="16"/>
      </c>
      <c r="AE113" s="327">
        <f t="shared" si="9"/>
        <v>1188</v>
      </c>
      <c r="AF113" s="323">
        <f t="shared" si="10"/>
        <v>238</v>
      </c>
      <c r="AG113" s="328">
        <v>1188</v>
      </c>
      <c r="AH113" s="344">
        <v>238</v>
      </c>
      <c r="AI113" s="326">
        <f t="shared" si="11"/>
        <v>0</v>
      </c>
      <c r="AJ113" s="326">
        <f t="shared" si="12"/>
        <v>1</v>
      </c>
      <c r="AK113" s="323">
        <f t="shared" si="13"/>
        <v>238</v>
      </c>
      <c r="AL113" s="324">
        <f t="shared" si="14"/>
        <v>4.991596638655462</v>
      </c>
      <c r="AM113" s="328"/>
      <c r="AN113" s="326">
        <f t="shared" si="4"/>
      </c>
      <c r="AO113" s="328">
        <f>12563.75+2983.5+2680+354+641+412+470+299+1405.5+1335+741+1188+1188+2138.5+2851+594+430+950.5+950.5+1782+1188+1188+1188+1188</f>
        <v>40709.25</v>
      </c>
      <c r="AP113" s="344">
        <f>1693+350+279+68+81+51+66+35+228+169+92+297+297+535+715+149+188+190+190+398+238+238+238+238</f>
        <v>7023</v>
      </c>
      <c r="AQ113" s="329">
        <f t="shared" si="3"/>
        <v>5.796561298590346</v>
      </c>
      <c r="AR113" s="297">
        <v>41033</v>
      </c>
      <c r="AS113" s="293"/>
      <c r="AT113" s="234"/>
    </row>
    <row r="114" spans="1:46" s="233" customFormat="1" ht="11.25" customHeight="1" hidden="1">
      <c r="A114" s="295"/>
      <c r="B114" s="236"/>
      <c r="C114" s="236" t="s">
        <v>223</v>
      </c>
      <c r="D114" s="236"/>
      <c r="E114" s="236"/>
      <c r="F114" s="236"/>
      <c r="G114" s="236"/>
      <c r="H114" s="236"/>
      <c r="I114" s="236" t="s">
        <v>54</v>
      </c>
      <c r="J114" s="366" t="s">
        <v>312</v>
      </c>
      <c r="K114" s="312" t="s">
        <v>90</v>
      </c>
      <c r="L114" s="340" t="s">
        <v>91</v>
      </c>
      <c r="M114" s="339" t="s">
        <v>312</v>
      </c>
      <c r="N114" s="370">
        <v>40795</v>
      </c>
      <c r="O114" s="288" t="s">
        <v>68</v>
      </c>
      <c r="P114" s="312">
        <v>3</v>
      </c>
      <c r="Q114" s="312">
        <v>1</v>
      </c>
      <c r="R114" s="312">
        <v>24</v>
      </c>
      <c r="S114" s="325">
        <v>0</v>
      </c>
      <c r="T114" s="355">
        <v>0</v>
      </c>
      <c r="U114" s="325">
        <v>0</v>
      </c>
      <c r="V114" s="355">
        <v>0</v>
      </c>
      <c r="W114" s="325">
        <v>0</v>
      </c>
      <c r="X114" s="355">
        <v>0</v>
      </c>
      <c r="Y114" s="334">
        <f t="shared" si="5"/>
        <v>0</v>
      </c>
      <c r="Z114" s="338">
        <f t="shared" si="6"/>
        <v>0</v>
      </c>
      <c r="AA114" s="323">
        <f aca="true" t="shared" si="17" ref="AA114:AA136">IF(Y114&lt;&gt;0,Z114/Q114,"")</f>
      </c>
      <c r="AB114" s="324">
        <f aca="true" t="shared" si="18" ref="AB114:AB136">IF(Y114&lt;&gt;0,Y114/Z114,"")</f>
      </c>
      <c r="AC114" s="334">
        <v>0</v>
      </c>
      <c r="AD114" s="326">
        <f t="shared" si="16"/>
      </c>
      <c r="AE114" s="327">
        <f t="shared" si="9"/>
        <v>1188</v>
      </c>
      <c r="AF114" s="323">
        <f t="shared" si="10"/>
        <v>238</v>
      </c>
      <c r="AG114" s="328">
        <v>1188</v>
      </c>
      <c r="AH114" s="344">
        <v>238</v>
      </c>
      <c r="AI114" s="326">
        <f t="shared" si="11"/>
        <v>0</v>
      </c>
      <c r="AJ114" s="326">
        <f t="shared" si="12"/>
        <v>1</v>
      </c>
      <c r="AK114" s="323">
        <f t="shared" si="13"/>
        <v>238</v>
      </c>
      <c r="AL114" s="324">
        <f t="shared" si="14"/>
        <v>4.991596638655462</v>
      </c>
      <c r="AM114" s="328"/>
      <c r="AN114" s="326">
        <f t="shared" si="4"/>
      </c>
      <c r="AO114" s="328">
        <f>4125+2511+398+1048+854+482+594+1782+713+950.5+1188+1188+1188+1188</f>
        <v>18209.5</v>
      </c>
      <c r="AP114" s="344">
        <f>422+287+52+100+134+61+149+446+143+190+238+238+238+238</f>
        <v>2936</v>
      </c>
      <c r="AQ114" s="329">
        <f t="shared" si="3"/>
        <v>6.202145776566757</v>
      </c>
      <c r="AR114" s="297">
        <v>41033</v>
      </c>
      <c r="AS114" s="293"/>
      <c r="AT114" s="234"/>
    </row>
    <row r="115" spans="1:46" s="233" customFormat="1" ht="11.25" customHeight="1" hidden="1">
      <c r="A115" s="295"/>
      <c r="B115" s="236"/>
      <c r="C115" s="236"/>
      <c r="D115" s="293"/>
      <c r="E115" s="293"/>
      <c r="F115" s="236"/>
      <c r="G115" s="293"/>
      <c r="H115" s="236"/>
      <c r="I115" s="236"/>
      <c r="J115" s="360" t="s">
        <v>479</v>
      </c>
      <c r="K115" s="288" t="s">
        <v>823</v>
      </c>
      <c r="L115" s="288" t="s">
        <v>94</v>
      </c>
      <c r="M115" s="288" t="s">
        <v>478</v>
      </c>
      <c r="N115" s="370">
        <v>40935</v>
      </c>
      <c r="O115" s="288" t="s">
        <v>52</v>
      </c>
      <c r="P115" s="312">
        <v>57</v>
      </c>
      <c r="Q115" s="312">
        <v>3</v>
      </c>
      <c r="R115" s="312">
        <v>15</v>
      </c>
      <c r="S115" s="334">
        <v>138</v>
      </c>
      <c r="T115" s="338">
        <v>18</v>
      </c>
      <c r="U115" s="334">
        <v>182</v>
      </c>
      <c r="V115" s="338">
        <v>24</v>
      </c>
      <c r="W115" s="334">
        <v>127</v>
      </c>
      <c r="X115" s="338">
        <v>17</v>
      </c>
      <c r="Y115" s="334">
        <f t="shared" si="5"/>
        <v>447</v>
      </c>
      <c r="Z115" s="338">
        <f t="shared" si="6"/>
        <v>59</v>
      </c>
      <c r="AA115" s="323">
        <f t="shared" si="17"/>
        <v>19.666666666666668</v>
      </c>
      <c r="AB115" s="324">
        <f t="shared" si="18"/>
        <v>7.576271186440678</v>
      </c>
      <c r="AC115" s="325">
        <v>691</v>
      </c>
      <c r="AD115" s="326">
        <f t="shared" si="16"/>
        <v>-0.35311143270622286</v>
      </c>
      <c r="AE115" s="327">
        <f t="shared" si="9"/>
        <v>247</v>
      </c>
      <c r="AF115" s="323">
        <f t="shared" si="10"/>
        <v>36</v>
      </c>
      <c r="AG115" s="334">
        <v>694</v>
      </c>
      <c r="AH115" s="338">
        <v>95</v>
      </c>
      <c r="AI115" s="326">
        <f t="shared" si="11"/>
        <v>0.6210526315789474</v>
      </c>
      <c r="AJ115" s="326">
        <f t="shared" si="12"/>
        <v>0.37894736842105264</v>
      </c>
      <c r="AK115" s="323">
        <f t="shared" si="13"/>
        <v>31.666666666666668</v>
      </c>
      <c r="AL115" s="324">
        <f t="shared" si="14"/>
        <v>7.3052631578947365</v>
      </c>
      <c r="AM115" s="328">
        <v>905</v>
      </c>
      <c r="AN115" s="326">
        <f t="shared" si="4"/>
        <v>-0.23314917127071824</v>
      </c>
      <c r="AO115" s="334">
        <v>297609.76</v>
      </c>
      <c r="AP115" s="338">
        <v>38604</v>
      </c>
      <c r="AQ115" s="329">
        <f t="shared" si="3"/>
        <v>7.709298518288261</v>
      </c>
      <c r="AR115" s="297">
        <v>41033</v>
      </c>
      <c r="AS115" s="293"/>
      <c r="AT115" s="234"/>
    </row>
    <row r="116" spans="1:45" s="233" customFormat="1" ht="11.25" customHeight="1" hidden="1">
      <c r="A116" s="295"/>
      <c r="B116" s="293"/>
      <c r="C116" s="236"/>
      <c r="D116" s="293"/>
      <c r="E116" s="293"/>
      <c r="F116" s="236"/>
      <c r="G116" s="293"/>
      <c r="H116" s="236"/>
      <c r="I116" s="236"/>
      <c r="J116" s="360" t="s">
        <v>491</v>
      </c>
      <c r="K116" s="312"/>
      <c r="L116" s="340" t="s">
        <v>235</v>
      </c>
      <c r="M116" s="288" t="s">
        <v>498</v>
      </c>
      <c r="N116" s="370">
        <v>40942</v>
      </c>
      <c r="O116" s="288" t="s">
        <v>289</v>
      </c>
      <c r="P116" s="312">
        <v>5</v>
      </c>
      <c r="Q116" s="312">
        <v>3</v>
      </c>
      <c r="R116" s="312">
        <v>12</v>
      </c>
      <c r="S116" s="334">
        <v>0</v>
      </c>
      <c r="T116" s="338">
        <v>0</v>
      </c>
      <c r="U116" s="334">
        <v>131</v>
      </c>
      <c r="V116" s="338">
        <v>18</v>
      </c>
      <c r="W116" s="334">
        <v>179</v>
      </c>
      <c r="X116" s="338">
        <v>26</v>
      </c>
      <c r="Y116" s="334">
        <f t="shared" si="5"/>
        <v>310</v>
      </c>
      <c r="Z116" s="338">
        <f t="shared" si="6"/>
        <v>44</v>
      </c>
      <c r="AA116" s="323">
        <f t="shared" si="17"/>
        <v>14.666666666666666</v>
      </c>
      <c r="AB116" s="324">
        <f t="shared" si="18"/>
        <v>7.045454545454546</v>
      </c>
      <c r="AC116" s="325">
        <v>423</v>
      </c>
      <c r="AD116" s="326">
        <f t="shared" si="16"/>
        <v>-0.26713947990543735</v>
      </c>
      <c r="AE116" s="327">
        <f t="shared" si="9"/>
        <v>360</v>
      </c>
      <c r="AF116" s="323">
        <f t="shared" si="10"/>
        <v>56</v>
      </c>
      <c r="AG116" s="334">
        <v>670</v>
      </c>
      <c r="AH116" s="338">
        <v>100</v>
      </c>
      <c r="AI116" s="326">
        <f t="shared" si="11"/>
        <v>0.44</v>
      </c>
      <c r="AJ116" s="326">
        <f t="shared" si="12"/>
        <v>0.56</v>
      </c>
      <c r="AK116" s="323">
        <f t="shared" si="13"/>
        <v>33.333333333333336</v>
      </c>
      <c r="AL116" s="324">
        <f t="shared" si="14"/>
        <v>6.7</v>
      </c>
      <c r="AM116" s="328">
        <v>421</v>
      </c>
      <c r="AN116" s="326">
        <f t="shared" si="4"/>
        <v>0.5914489311163895</v>
      </c>
      <c r="AO116" s="334">
        <v>54024.5</v>
      </c>
      <c r="AP116" s="338">
        <v>5404</v>
      </c>
      <c r="AQ116" s="329">
        <f t="shared" si="3"/>
        <v>9.997131754256106</v>
      </c>
      <c r="AR116" s="297">
        <v>41033</v>
      </c>
      <c r="AS116" s="293"/>
    </row>
    <row r="117" spans="1:45" s="233" customFormat="1" ht="11.25" customHeight="1" hidden="1">
      <c r="A117" s="295"/>
      <c r="B117" s="236"/>
      <c r="C117" s="236" t="s">
        <v>223</v>
      </c>
      <c r="D117" s="293"/>
      <c r="E117" s="293"/>
      <c r="F117" s="236"/>
      <c r="G117" s="293"/>
      <c r="H117" s="236"/>
      <c r="I117" s="236"/>
      <c r="J117" s="360" t="s">
        <v>382</v>
      </c>
      <c r="K117" s="312" t="s">
        <v>739</v>
      </c>
      <c r="L117" s="312" t="s">
        <v>738</v>
      </c>
      <c r="M117" s="288" t="s">
        <v>383</v>
      </c>
      <c r="N117" s="370">
        <v>40816</v>
      </c>
      <c r="O117" s="288" t="s">
        <v>324</v>
      </c>
      <c r="P117" s="312">
        <v>41</v>
      </c>
      <c r="Q117" s="312">
        <v>1</v>
      </c>
      <c r="R117" s="312">
        <v>18</v>
      </c>
      <c r="S117" s="321">
        <v>26</v>
      </c>
      <c r="T117" s="322">
        <v>3</v>
      </c>
      <c r="U117" s="321">
        <v>76</v>
      </c>
      <c r="V117" s="322">
        <v>9</v>
      </c>
      <c r="W117" s="321">
        <v>41</v>
      </c>
      <c r="X117" s="322">
        <v>5</v>
      </c>
      <c r="Y117" s="334">
        <f t="shared" si="5"/>
        <v>143</v>
      </c>
      <c r="Z117" s="338">
        <f t="shared" si="6"/>
        <v>17</v>
      </c>
      <c r="AA117" s="323">
        <f t="shared" si="17"/>
        <v>17</v>
      </c>
      <c r="AB117" s="324">
        <f t="shared" si="18"/>
        <v>8.411764705882353</v>
      </c>
      <c r="AC117" s="330">
        <v>1847</v>
      </c>
      <c r="AD117" s="326">
        <f t="shared" si="16"/>
        <v>-0.9225771521386031</v>
      </c>
      <c r="AE117" s="327">
        <f t="shared" si="9"/>
        <v>147</v>
      </c>
      <c r="AF117" s="323">
        <f t="shared" si="10"/>
        <v>22</v>
      </c>
      <c r="AG117" s="321">
        <v>290</v>
      </c>
      <c r="AH117" s="322">
        <v>39</v>
      </c>
      <c r="AI117" s="326">
        <f t="shared" si="11"/>
        <v>0.4358974358974359</v>
      </c>
      <c r="AJ117" s="326">
        <f t="shared" si="12"/>
        <v>0.5641025641025641</v>
      </c>
      <c r="AK117" s="323">
        <f t="shared" si="13"/>
        <v>39</v>
      </c>
      <c r="AL117" s="324">
        <f t="shared" si="14"/>
        <v>7.435897435897436</v>
      </c>
      <c r="AM117" s="328">
        <v>1444</v>
      </c>
      <c r="AN117" s="326">
        <f t="shared" si="4"/>
        <v>-0.7991689750692521</v>
      </c>
      <c r="AO117" s="321">
        <v>1299478</v>
      </c>
      <c r="AP117" s="322">
        <v>103581</v>
      </c>
      <c r="AQ117" s="329">
        <f t="shared" si="3"/>
        <v>12.545524758401637</v>
      </c>
      <c r="AR117" s="297">
        <v>41033</v>
      </c>
      <c r="AS117" s="293"/>
    </row>
    <row r="118" spans="1:45" s="233" customFormat="1" ht="11.25" customHeight="1" hidden="1">
      <c r="A118" s="295"/>
      <c r="B118" s="236"/>
      <c r="C118" s="236"/>
      <c r="D118" s="236"/>
      <c r="E118" s="236">
        <v>3</v>
      </c>
      <c r="F118" s="236"/>
      <c r="G118" s="236"/>
      <c r="H118" s="236"/>
      <c r="I118" s="236"/>
      <c r="J118" s="364" t="s">
        <v>302</v>
      </c>
      <c r="K118" s="312"/>
      <c r="L118" s="319"/>
      <c r="M118" s="340" t="s">
        <v>308</v>
      </c>
      <c r="N118" s="369">
        <v>40914</v>
      </c>
      <c r="O118" s="288" t="s">
        <v>68</v>
      </c>
      <c r="P118" s="312">
        <v>66</v>
      </c>
      <c r="Q118" s="312">
        <v>3</v>
      </c>
      <c r="R118" s="312">
        <v>17</v>
      </c>
      <c r="S118" s="325">
        <v>0</v>
      </c>
      <c r="T118" s="355">
        <v>0</v>
      </c>
      <c r="U118" s="325">
        <v>0</v>
      </c>
      <c r="V118" s="355">
        <v>0</v>
      </c>
      <c r="W118" s="325">
        <v>0</v>
      </c>
      <c r="X118" s="355">
        <v>0</v>
      </c>
      <c r="Y118" s="334">
        <f t="shared" si="5"/>
        <v>0</v>
      </c>
      <c r="Z118" s="338">
        <f t="shared" si="6"/>
        <v>0</v>
      </c>
      <c r="AA118" s="323">
        <f t="shared" si="17"/>
      </c>
      <c r="AB118" s="324">
        <f t="shared" si="18"/>
      </c>
      <c r="AC118" s="330">
        <v>0</v>
      </c>
      <c r="AD118" s="326">
        <f t="shared" si="16"/>
      </c>
      <c r="AE118" s="327">
        <f t="shared" si="9"/>
        <v>146</v>
      </c>
      <c r="AF118" s="323">
        <f t="shared" si="10"/>
        <v>23</v>
      </c>
      <c r="AG118" s="328">
        <v>146</v>
      </c>
      <c r="AH118" s="344">
        <v>23</v>
      </c>
      <c r="AI118" s="326">
        <f t="shared" si="11"/>
        <v>0</v>
      </c>
      <c r="AJ118" s="326">
        <f t="shared" si="12"/>
        <v>1</v>
      </c>
      <c r="AK118" s="323">
        <f t="shared" si="13"/>
        <v>7.666666666666667</v>
      </c>
      <c r="AL118" s="324">
        <f t="shared" si="14"/>
        <v>6.3478260869565215</v>
      </c>
      <c r="AM118" s="328"/>
      <c r="AN118" s="326">
        <f t="shared" si="4"/>
      </c>
      <c r="AO118" s="328">
        <f>683638.5+541400+108974+11712.95+7203.5+24918.21+6723.58+2560+1425.5+586+249+1292+1126+195+991+228+146</f>
        <v>1393369.24</v>
      </c>
      <c r="AP118" s="344">
        <f>65177+52837+11432+1468+1076+3492+1060+423+285+93+49+211+200+39+219+31+23</f>
        <v>138115</v>
      </c>
      <c r="AQ118" s="329">
        <f t="shared" si="3"/>
        <v>10.088471491148681</v>
      </c>
      <c r="AR118" s="297">
        <v>41033</v>
      </c>
      <c r="AS118" s="293"/>
    </row>
    <row r="119" spans="1:45" s="233" customFormat="1" ht="11.25" customHeight="1" hidden="1">
      <c r="A119" s="295"/>
      <c r="B119" s="293"/>
      <c r="C119" s="236"/>
      <c r="D119" s="236" t="s">
        <v>193</v>
      </c>
      <c r="E119" s="236"/>
      <c r="F119" s="236"/>
      <c r="G119" s="236"/>
      <c r="H119" s="236"/>
      <c r="I119" s="236"/>
      <c r="J119" s="364" t="s">
        <v>538</v>
      </c>
      <c r="K119" s="288"/>
      <c r="L119" s="288"/>
      <c r="M119" s="340" t="s">
        <v>539</v>
      </c>
      <c r="N119" s="369">
        <v>40956</v>
      </c>
      <c r="O119" s="288" t="s">
        <v>12</v>
      </c>
      <c r="P119" s="312">
        <v>90</v>
      </c>
      <c r="Q119" s="312">
        <v>1</v>
      </c>
      <c r="R119" s="312">
        <v>12</v>
      </c>
      <c r="S119" s="347">
        <v>0</v>
      </c>
      <c r="T119" s="348">
        <v>0</v>
      </c>
      <c r="U119" s="347">
        <v>12</v>
      </c>
      <c r="V119" s="348">
        <v>2</v>
      </c>
      <c r="W119" s="347">
        <v>0</v>
      </c>
      <c r="X119" s="348">
        <v>0</v>
      </c>
      <c r="Y119" s="334">
        <f t="shared" si="5"/>
        <v>12</v>
      </c>
      <c r="Z119" s="338">
        <f t="shared" si="6"/>
        <v>2</v>
      </c>
      <c r="AA119" s="323">
        <f t="shared" si="17"/>
        <v>2</v>
      </c>
      <c r="AB119" s="324">
        <f t="shared" si="18"/>
        <v>6</v>
      </c>
      <c r="AC119" s="357">
        <v>12</v>
      </c>
      <c r="AD119" s="326">
        <f t="shared" si="16"/>
        <v>0</v>
      </c>
      <c r="AE119" s="327">
        <f t="shared" si="9"/>
        <v>18</v>
      </c>
      <c r="AF119" s="323">
        <f t="shared" si="10"/>
        <v>2</v>
      </c>
      <c r="AG119" s="334">
        <v>30</v>
      </c>
      <c r="AH119" s="338">
        <v>4</v>
      </c>
      <c r="AI119" s="326">
        <f t="shared" si="11"/>
        <v>0.5</v>
      </c>
      <c r="AJ119" s="326">
        <f t="shared" si="12"/>
        <v>0.5</v>
      </c>
      <c r="AK119" s="323">
        <f t="shared" si="13"/>
        <v>4</v>
      </c>
      <c r="AL119" s="324">
        <f t="shared" si="14"/>
        <v>7.5</v>
      </c>
      <c r="AM119" s="328">
        <v>4212</v>
      </c>
      <c r="AN119" s="326">
        <f t="shared" si="4"/>
        <v>-0.9928774928774928</v>
      </c>
      <c r="AO119" s="334">
        <v>1772539</v>
      </c>
      <c r="AP119" s="338">
        <v>165795</v>
      </c>
      <c r="AQ119" s="329">
        <f t="shared" si="3"/>
        <v>10.691148707741489</v>
      </c>
      <c r="AR119" s="297">
        <v>41033</v>
      </c>
      <c r="AS119" s="293"/>
    </row>
    <row r="120" spans="1:45" s="233" customFormat="1" ht="11.25" customHeight="1" hidden="1">
      <c r="A120" s="295"/>
      <c r="B120" s="236"/>
      <c r="C120" s="236" t="s">
        <v>223</v>
      </c>
      <c r="D120" s="236"/>
      <c r="E120" s="236"/>
      <c r="F120" s="236"/>
      <c r="G120" s="236"/>
      <c r="H120" s="236"/>
      <c r="I120" s="236" t="s">
        <v>54</v>
      </c>
      <c r="J120" s="361" t="s">
        <v>261</v>
      </c>
      <c r="K120" s="312"/>
      <c r="L120" s="312"/>
      <c r="M120" s="319" t="s">
        <v>105</v>
      </c>
      <c r="N120" s="370">
        <v>40886</v>
      </c>
      <c r="O120" s="288" t="s">
        <v>52</v>
      </c>
      <c r="P120" s="341">
        <v>8</v>
      </c>
      <c r="Q120" s="312">
        <v>1</v>
      </c>
      <c r="R120" s="312">
        <v>7</v>
      </c>
      <c r="S120" s="334">
        <v>106</v>
      </c>
      <c r="T120" s="338">
        <v>17</v>
      </c>
      <c r="U120" s="334">
        <v>121</v>
      </c>
      <c r="V120" s="338">
        <v>19</v>
      </c>
      <c r="W120" s="334">
        <v>119</v>
      </c>
      <c r="X120" s="338">
        <v>18</v>
      </c>
      <c r="Y120" s="334">
        <f t="shared" si="5"/>
        <v>346</v>
      </c>
      <c r="Z120" s="338">
        <f t="shared" si="6"/>
        <v>54</v>
      </c>
      <c r="AA120" s="323">
        <f t="shared" si="17"/>
        <v>54</v>
      </c>
      <c r="AB120" s="324">
        <f t="shared" si="18"/>
        <v>6.407407407407407</v>
      </c>
      <c r="AC120" s="334">
        <v>346</v>
      </c>
      <c r="AD120" s="326">
        <f t="shared" si="16"/>
        <v>0</v>
      </c>
      <c r="AE120" s="327">
        <f t="shared" si="9"/>
        <v>1436</v>
      </c>
      <c r="AF120" s="323">
        <f t="shared" si="10"/>
        <v>302</v>
      </c>
      <c r="AG120" s="334">
        <v>1782</v>
      </c>
      <c r="AH120" s="338">
        <v>356</v>
      </c>
      <c r="AI120" s="326">
        <f t="shared" si="11"/>
        <v>0.15168539325842698</v>
      </c>
      <c r="AJ120" s="326">
        <f t="shared" si="12"/>
        <v>0.848314606741573</v>
      </c>
      <c r="AK120" s="323">
        <f t="shared" si="13"/>
        <v>356</v>
      </c>
      <c r="AL120" s="324">
        <f t="shared" si="14"/>
        <v>5.00561797752809</v>
      </c>
      <c r="AM120" s="330"/>
      <c r="AN120" s="326">
        <f t="shared" si="4"/>
      </c>
      <c r="AO120" s="371">
        <v>23142</v>
      </c>
      <c r="AP120" s="372">
        <v>3232</v>
      </c>
      <c r="AQ120" s="329">
        <f t="shared" si="3"/>
        <v>7.1602722772277225</v>
      </c>
      <c r="AR120" s="297">
        <v>41026</v>
      </c>
      <c r="AS120" s="293"/>
    </row>
    <row r="121" spans="1:45" s="233" customFormat="1" ht="11.25" customHeight="1" hidden="1">
      <c r="A121" s="295"/>
      <c r="B121" s="293"/>
      <c r="C121" s="236"/>
      <c r="D121" s="293"/>
      <c r="E121" s="293"/>
      <c r="F121" s="236"/>
      <c r="G121" s="293"/>
      <c r="H121" s="236"/>
      <c r="I121" s="236"/>
      <c r="J121" s="360" t="s">
        <v>328</v>
      </c>
      <c r="K121" s="339"/>
      <c r="L121" s="339"/>
      <c r="M121" s="288" t="s">
        <v>329</v>
      </c>
      <c r="N121" s="370">
        <v>40921</v>
      </c>
      <c r="O121" s="288" t="s">
        <v>289</v>
      </c>
      <c r="P121" s="312">
        <v>16</v>
      </c>
      <c r="Q121" s="312">
        <v>1</v>
      </c>
      <c r="R121" s="312">
        <v>12</v>
      </c>
      <c r="S121" s="334">
        <v>172</v>
      </c>
      <c r="T121" s="338">
        <v>16</v>
      </c>
      <c r="U121" s="334">
        <v>356</v>
      </c>
      <c r="V121" s="338">
        <v>33</v>
      </c>
      <c r="W121" s="334">
        <v>192</v>
      </c>
      <c r="X121" s="338">
        <v>18</v>
      </c>
      <c r="Y121" s="334">
        <f t="shared" si="5"/>
        <v>720</v>
      </c>
      <c r="Z121" s="338">
        <f t="shared" si="6"/>
        <v>67</v>
      </c>
      <c r="AA121" s="323">
        <f t="shared" si="17"/>
        <v>67</v>
      </c>
      <c r="AB121" s="324">
        <f t="shared" si="18"/>
        <v>10.746268656716419</v>
      </c>
      <c r="AC121" s="334">
        <v>720</v>
      </c>
      <c r="AD121" s="326">
        <f t="shared" si="16"/>
        <v>0</v>
      </c>
      <c r="AE121" s="327">
        <f t="shared" si="9"/>
        <v>618</v>
      </c>
      <c r="AF121" s="323">
        <f t="shared" si="10"/>
        <v>62</v>
      </c>
      <c r="AG121" s="334">
        <v>1338</v>
      </c>
      <c r="AH121" s="338">
        <v>129</v>
      </c>
      <c r="AI121" s="326">
        <f t="shared" si="11"/>
        <v>0.5193798449612403</v>
      </c>
      <c r="AJ121" s="326">
        <f t="shared" si="12"/>
        <v>0.4806201550387597</v>
      </c>
      <c r="AK121" s="323">
        <f t="shared" si="13"/>
        <v>129</v>
      </c>
      <c r="AL121" s="324">
        <f t="shared" si="14"/>
        <v>10.372093023255815</v>
      </c>
      <c r="AM121" s="328">
        <v>1582</v>
      </c>
      <c r="AN121" s="326">
        <f t="shared" si="4"/>
        <v>-0.15423514538558786</v>
      </c>
      <c r="AO121" s="334">
        <v>159913</v>
      </c>
      <c r="AP121" s="338">
        <v>15423</v>
      </c>
      <c r="AQ121" s="329">
        <f t="shared" si="3"/>
        <v>10.368475653245154</v>
      </c>
      <c r="AR121" s="297">
        <v>41026</v>
      </c>
      <c r="AS121" s="293"/>
    </row>
    <row r="122" spans="1:45" s="233" customFormat="1" ht="11.25" customHeight="1" hidden="1">
      <c r="A122" s="295"/>
      <c r="B122" s="236"/>
      <c r="C122" s="236" t="s">
        <v>223</v>
      </c>
      <c r="D122" s="236"/>
      <c r="E122" s="236"/>
      <c r="F122" s="236"/>
      <c r="G122" s="236"/>
      <c r="H122" s="236"/>
      <c r="I122" s="236" t="s">
        <v>54</v>
      </c>
      <c r="J122" s="363" t="s">
        <v>137</v>
      </c>
      <c r="K122" s="288"/>
      <c r="L122" s="288"/>
      <c r="M122" s="288" t="s">
        <v>137</v>
      </c>
      <c r="N122" s="370">
        <v>40900</v>
      </c>
      <c r="O122" s="288" t="s">
        <v>52</v>
      </c>
      <c r="P122" s="331">
        <v>14</v>
      </c>
      <c r="Q122" s="312">
        <v>1</v>
      </c>
      <c r="R122" s="312">
        <v>8</v>
      </c>
      <c r="S122" s="334">
        <v>0</v>
      </c>
      <c r="T122" s="338">
        <v>0</v>
      </c>
      <c r="U122" s="334">
        <v>0</v>
      </c>
      <c r="V122" s="338">
        <v>0</v>
      </c>
      <c r="W122" s="334">
        <v>2376</v>
      </c>
      <c r="X122" s="338">
        <v>475</v>
      </c>
      <c r="Y122" s="334">
        <f t="shared" si="5"/>
        <v>2376</v>
      </c>
      <c r="Z122" s="338">
        <f t="shared" si="6"/>
        <v>475</v>
      </c>
      <c r="AA122" s="323">
        <f t="shared" si="17"/>
        <v>475</v>
      </c>
      <c r="AB122" s="324">
        <f t="shared" si="18"/>
        <v>5.002105263157895</v>
      </c>
      <c r="AC122" s="334">
        <v>2376</v>
      </c>
      <c r="AD122" s="326">
        <f t="shared" si="16"/>
        <v>0</v>
      </c>
      <c r="AE122" s="327">
        <f t="shared" si="9"/>
        <v>-1271</v>
      </c>
      <c r="AF122" s="323">
        <f t="shared" si="10"/>
        <v>-316</v>
      </c>
      <c r="AG122" s="334">
        <v>1105</v>
      </c>
      <c r="AH122" s="338">
        <v>159</v>
      </c>
      <c r="AI122" s="326">
        <f t="shared" si="11"/>
        <v>2.9874213836477987</v>
      </c>
      <c r="AJ122" s="326">
        <f t="shared" si="12"/>
        <v>-1.9874213836477987</v>
      </c>
      <c r="AK122" s="323">
        <f t="shared" si="13"/>
        <v>159</v>
      </c>
      <c r="AL122" s="324">
        <f t="shared" si="14"/>
        <v>6.949685534591195</v>
      </c>
      <c r="AM122" s="334"/>
      <c r="AN122" s="326">
        <f t="shared" si="4"/>
      </c>
      <c r="AO122" s="371">
        <v>80732</v>
      </c>
      <c r="AP122" s="372">
        <v>7994</v>
      </c>
      <c r="AQ122" s="329">
        <f t="shared" si="3"/>
        <v>10.099074305729298</v>
      </c>
      <c r="AR122" s="297">
        <v>41026</v>
      </c>
      <c r="AS122" s="293"/>
    </row>
    <row r="123" spans="1:45" s="233" customFormat="1" ht="11.25" customHeight="1" hidden="1">
      <c r="A123" s="295"/>
      <c r="B123" s="236"/>
      <c r="C123" s="236"/>
      <c r="D123" s="293"/>
      <c r="E123" s="293"/>
      <c r="F123" s="236"/>
      <c r="G123" s="293"/>
      <c r="H123" s="236"/>
      <c r="I123" s="236"/>
      <c r="J123" s="360" t="s">
        <v>614</v>
      </c>
      <c r="K123" s="312"/>
      <c r="L123" s="288" t="s">
        <v>120</v>
      </c>
      <c r="M123" s="288" t="s">
        <v>615</v>
      </c>
      <c r="N123" s="370">
        <v>40984</v>
      </c>
      <c r="O123" s="288" t="s">
        <v>289</v>
      </c>
      <c r="P123" s="312">
        <v>1</v>
      </c>
      <c r="Q123" s="312">
        <v>1</v>
      </c>
      <c r="R123" s="312">
        <v>4</v>
      </c>
      <c r="S123" s="334">
        <v>0</v>
      </c>
      <c r="T123" s="338">
        <v>0</v>
      </c>
      <c r="U123" s="334">
        <v>62</v>
      </c>
      <c r="V123" s="338">
        <v>6</v>
      </c>
      <c r="W123" s="334">
        <v>90</v>
      </c>
      <c r="X123" s="338">
        <v>9</v>
      </c>
      <c r="Y123" s="334">
        <f t="shared" si="5"/>
        <v>152</v>
      </c>
      <c r="Z123" s="338">
        <f t="shared" si="6"/>
        <v>15</v>
      </c>
      <c r="AA123" s="323">
        <f t="shared" si="17"/>
        <v>15</v>
      </c>
      <c r="AB123" s="324">
        <f t="shared" si="18"/>
        <v>10.133333333333333</v>
      </c>
      <c r="AC123" s="330">
        <v>152</v>
      </c>
      <c r="AD123" s="326">
        <f t="shared" si="16"/>
        <v>0</v>
      </c>
      <c r="AE123" s="327">
        <f t="shared" si="9"/>
        <v>685</v>
      </c>
      <c r="AF123" s="323">
        <f t="shared" si="10"/>
        <v>69</v>
      </c>
      <c r="AG123" s="334">
        <v>837</v>
      </c>
      <c r="AH123" s="338">
        <v>84</v>
      </c>
      <c r="AI123" s="326">
        <f t="shared" si="11"/>
        <v>0.17857142857142858</v>
      </c>
      <c r="AJ123" s="326">
        <f t="shared" si="12"/>
        <v>0.8214285714285714</v>
      </c>
      <c r="AK123" s="323">
        <f t="shared" si="13"/>
        <v>84</v>
      </c>
      <c r="AL123" s="324">
        <f t="shared" si="14"/>
        <v>9.964285714285714</v>
      </c>
      <c r="AM123" s="328">
        <v>220</v>
      </c>
      <c r="AN123" s="326">
        <f t="shared" si="4"/>
        <v>2.8045454545454547</v>
      </c>
      <c r="AO123" s="334">
        <v>2816</v>
      </c>
      <c r="AP123" s="338">
        <v>277</v>
      </c>
      <c r="AQ123" s="329">
        <f t="shared" si="3"/>
        <v>10.166064981949459</v>
      </c>
      <c r="AR123" s="297">
        <v>41026</v>
      </c>
      <c r="AS123" s="293"/>
    </row>
    <row r="124" spans="1:46" s="233" customFormat="1" ht="11.25" customHeight="1" hidden="1">
      <c r="A124" s="295"/>
      <c r="B124" s="236"/>
      <c r="C124" s="236"/>
      <c r="D124" s="293"/>
      <c r="E124" s="293"/>
      <c r="F124" s="236"/>
      <c r="G124" s="293"/>
      <c r="H124" s="236"/>
      <c r="I124" s="236"/>
      <c r="J124" s="360" t="s">
        <v>490</v>
      </c>
      <c r="K124" s="312"/>
      <c r="L124" s="288"/>
      <c r="M124" s="288" t="s">
        <v>497</v>
      </c>
      <c r="N124" s="370">
        <v>40942</v>
      </c>
      <c r="O124" s="288" t="s">
        <v>289</v>
      </c>
      <c r="P124" s="312">
        <v>17</v>
      </c>
      <c r="Q124" s="312">
        <v>2</v>
      </c>
      <c r="R124" s="312">
        <v>12</v>
      </c>
      <c r="S124" s="334">
        <v>215.5</v>
      </c>
      <c r="T124" s="338">
        <v>20</v>
      </c>
      <c r="U124" s="334">
        <v>218.5</v>
      </c>
      <c r="V124" s="338">
        <v>21</v>
      </c>
      <c r="W124" s="334">
        <v>165.5</v>
      </c>
      <c r="X124" s="338">
        <v>17</v>
      </c>
      <c r="Y124" s="334">
        <f t="shared" si="5"/>
        <v>599.5</v>
      </c>
      <c r="Z124" s="338">
        <f t="shared" si="6"/>
        <v>58</v>
      </c>
      <c r="AA124" s="323">
        <f t="shared" si="17"/>
        <v>29</v>
      </c>
      <c r="AB124" s="324">
        <f t="shared" si="18"/>
        <v>10.336206896551724</v>
      </c>
      <c r="AC124" s="325">
        <v>599.5</v>
      </c>
      <c r="AD124" s="326">
        <f t="shared" si="16"/>
        <v>0</v>
      </c>
      <c r="AE124" s="327">
        <f t="shared" si="9"/>
        <v>52.5</v>
      </c>
      <c r="AF124" s="323">
        <f t="shared" si="10"/>
        <v>29</v>
      </c>
      <c r="AG124" s="334">
        <v>652</v>
      </c>
      <c r="AH124" s="338">
        <v>87</v>
      </c>
      <c r="AI124" s="326">
        <f t="shared" si="11"/>
        <v>0.6666666666666666</v>
      </c>
      <c r="AJ124" s="326">
        <f t="shared" si="12"/>
        <v>0.3333333333333333</v>
      </c>
      <c r="AK124" s="323">
        <f t="shared" si="13"/>
        <v>43.5</v>
      </c>
      <c r="AL124" s="324">
        <f t="shared" si="14"/>
        <v>7.494252873563219</v>
      </c>
      <c r="AM124" s="328">
        <v>1565</v>
      </c>
      <c r="AN124" s="326">
        <f t="shared" si="4"/>
        <v>-0.5833865814696486</v>
      </c>
      <c r="AO124" s="334">
        <v>217115</v>
      </c>
      <c r="AP124" s="338">
        <v>17628</v>
      </c>
      <c r="AQ124" s="329">
        <f t="shared" si="3"/>
        <v>12.316485137281598</v>
      </c>
      <c r="AR124" s="297">
        <v>41026</v>
      </c>
      <c r="AS124" s="293"/>
      <c r="AT124" s="234"/>
    </row>
    <row r="125" spans="1:45" s="233" customFormat="1" ht="11.25" customHeight="1" hidden="1">
      <c r="A125" s="295"/>
      <c r="B125" s="236"/>
      <c r="C125" s="236"/>
      <c r="D125" s="236"/>
      <c r="E125" s="236"/>
      <c r="F125" s="236"/>
      <c r="G125" s="236"/>
      <c r="H125" s="236"/>
      <c r="I125" s="236" t="s">
        <v>54</v>
      </c>
      <c r="J125" s="361" t="s">
        <v>334</v>
      </c>
      <c r="K125" s="339"/>
      <c r="L125" s="339"/>
      <c r="M125" s="288" t="s">
        <v>334</v>
      </c>
      <c r="N125" s="370">
        <v>40921</v>
      </c>
      <c r="O125" s="288" t="s">
        <v>52</v>
      </c>
      <c r="P125" s="312">
        <v>49</v>
      </c>
      <c r="Q125" s="312">
        <v>1</v>
      </c>
      <c r="R125" s="312">
        <v>12</v>
      </c>
      <c r="S125" s="334">
        <v>0</v>
      </c>
      <c r="T125" s="338">
        <v>0</v>
      </c>
      <c r="U125" s="334">
        <v>0</v>
      </c>
      <c r="V125" s="338">
        <v>0</v>
      </c>
      <c r="W125" s="334">
        <v>4752</v>
      </c>
      <c r="X125" s="338">
        <v>950</v>
      </c>
      <c r="Y125" s="334">
        <f t="shared" si="5"/>
        <v>4752</v>
      </c>
      <c r="Z125" s="338">
        <f t="shared" si="6"/>
        <v>950</v>
      </c>
      <c r="AA125" s="323">
        <f t="shared" si="17"/>
        <v>950</v>
      </c>
      <c r="AB125" s="324">
        <f t="shared" si="18"/>
        <v>5.002105263157895</v>
      </c>
      <c r="AC125" s="330">
        <v>4752</v>
      </c>
      <c r="AD125" s="326">
        <f t="shared" si="16"/>
        <v>0</v>
      </c>
      <c r="AE125" s="327">
        <f t="shared" si="9"/>
        <v>-4254</v>
      </c>
      <c r="AF125" s="323">
        <f t="shared" si="10"/>
        <v>-875</v>
      </c>
      <c r="AG125" s="334">
        <v>498</v>
      </c>
      <c r="AH125" s="338">
        <v>75</v>
      </c>
      <c r="AI125" s="326">
        <f t="shared" si="11"/>
        <v>12.666666666666666</v>
      </c>
      <c r="AJ125" s="326">
        <f t="shared" si="12"/>
        <v>-11.666666666666666</v>
      </c>
      <c r="AK125" s="323">
        <f t="shared" si="13"/>
        <v>75</v>
      </c>
      <c r="AL125" s="324">
        <f t="shared" si="14"/>
        <v>6.64</v>
      </c>
      <c r="AM125" s="334"/>
      <c r="AN125" s="326">
        <f t="shared" si="4"/>
      </c>
      <c r="AO125" s="371">
        <v>923092.5</v>
      </c>
      <c r="AP125" s="372">
        <v>87574</v>
      </c>
      <c r="AQ125" s="329">
        <f t="shared" si="3"/>
        <v>10.540714138899673</v>
      </c>
      <c r="AR125" s="297">
        <v>41026</v>
      </c>
      <c r="AS125" s="293"/>
    </row>
    <row r="126" spans="1:45" s="233" customFormat="1" ht="11.25" customHeight="1" hidden="1">
      <c r="A126" s="295"/>
      <c r="B126" s="293"/>
      <c r="C126" s="236"/>
      <c r="D126" s="236"/>
      <c r="E126" s="236"/>
      <c r="F126" s="236"/>
      <c r="G126" s="236"/>
      <c r="H126" s="236"/>
      <c r="I126" s="236"/>
      <c r="J126" s="366" t="s">
        <v>669</v>
      </c>
      <c r="K126" s="312"/>
      <c r="L126" s="319"/>
      <c r="M126" s="339" t="s">
        <v>670</v>
      </c>
      <c r="N126" s="369">
        <v>40998</v>
      </c>
      <c r="O126" s="288" t="s">
        <v>12</v>
      </c>
      <c r="P126" s="312">
        <v>9</v>
      </c>
      <c r="Q126" s="312">
        <v>1</v>
      </c>
      <c r="R126" s="312">
        <v>5</v>
      </c>
      <c r="S126" s="347">
        <v>80</v>
      </c>
      <c r="T126" s="348">
        <v>8</v>
      </c>
      <c r="U126" s="347">
        <v>40</v>
      </c>
      <c r="V126" s="348">
        <v>5</v>
      </c>
      <c r="W126" s="347">
        <v>54</v>
      </c>
      <c r="X126" s="348">
        <v>6</v>
      </c>
      <c r="Y126" s="334">
        <f t="shared" si="5"/>
        <v>174</v>
      </c>
      <c r="Z126" s="338">
        <f t="shared" si="6"/>
        <v>19</v>
      </c>
      <c r="AA126" s="323">
        <f t="shared" si="17"/>
        <v>19</v>
      </c>
      <c r="AB126" s="324">
        <f t="shared" si="18"/>
        <v>9.157894736842104</v>
      </c>
      <c r="AC126" s="330">
        <v>174</v>
      </c>
      <c r="AD126" s="326">
        <f t="shared" si="16"/>
        <v>0</v>
      </c>
      <c r="AE126" s="327">
        <f t="shared" si="9"/>
        <v>114</v>
      </c>
      <c r="AF126" s="323">
        <f t="shared" si="10"/>
        <v>13</v>
      </c>
      <c r="AG126" s="334">
        <v>288</v>
      </c>
      <c r="AH126" s="338">
        <v>32</v>
      </c>
      <c r="AI126" s="326">
        <f t="shared" si="11"/>
        <v>0.59375</v>
      </c>
      <c r="AJ126" s="326">
        <f t="shared" si="12"/>
        <v>0.40625</v>
      </c>
      <c r="AK126" s="323">
        <f t="shared" si="13"/>
        <v>32</v>
      </c>
      <c r="AL126" s="324">
        <f t="shared" si="14"/>
        <v>9</v>
      </c>
      <c r="AM126" s="328">
        <v>1751</v>
      </c>
      <c r="AN126" s="326">
        <f t="shared" si="4"/>
        <v>-0.8355225585379783</v>
      </c>
      <c r="AO126" s="347">
        <v>38414</v>
      </c>
      <c r="AP126" s="348">
        <v>2909</v>
      </c>
      <c r="AQ126" s="329">
        <f t="shared" si="3"/>
        <v>13.205225163286352</v>
      </c>
      <c r="AR126" s="297">
        <v>41026</v>
      </c>
      <c r="AS126" s="293"/>
    </row>
    <row r="127" spans="1:46" s="233" customFormat="1" ht="11.25" customHeight="1" hidden="1">
      <c r="A127" s="295"/>
      <c r="B127" s="236"/>
      <c r="C127" s="236"/>
      <c r="D127" s="236"/>
      <c r="E127" s="236"/>
      <c r="F127" s="236"/>
      <c r="G127" s="236"/>
      <c r="H127" s="236"/>
      <c r="I127" s="236" t="s">
        <v>54</v>
      </c>
      <c r="J127" s="360" t="s">
        <v>599</v>
      </c>
      <c r="K127" s="312"/>
      <c r="L127" s="319"/>
      <c r="M127" s="288" t="s">
        <v>599</v>
      </c>
      <c r="N127" s="369">
        <v>40977</v>
      </c>
      <c r="O127" s="288" t="s">
        <v>53</v>
      </c>
      <c r="P127" s="312">
        <v>85</v>
      </c>
      <c r="Q127" s="346">
        <v>3</v>
      </c>
      <c r="R127" s="346">
        <v>8</v>
      </c>
      <c r="S127" s="347">
        <v>127</v>
      </c>
      <c r="T127" s="348">
        <v>26</v>
      </c>
      <c r="U127" s="347">
        <v>96</v>
      </c>
      <c r="V127" s="348">
        <v>15</v>
      </c>
      <c r="W127" s="347">
        <v>114</v>
      </c>
      <c r="X127" s="348">
        <v>22</v>
      </c>
      <c r="Y127" s="334">
        <f t="shared" si="5"/>
        <v>337</v>
      </c>
      <c r="Z127" s="338">
        <f t="shared" si="6"/>
        <v>63</v>
      </c>
      <c r="AA127" s="323">
        <f t="shared" si="17"/>
        <v>21</v>
      </c>
      <c r="AB127" s="324">
        <f t="shared" si="18"/>
        <v>5.349206349206349</v>
      </c>
      <c r="AC127" s="330">
        <v>337</v>
      </c>
      <c r="AD127" s="326">
        <f t="shared" si="16"/>
        <v>0</v>
      </c>
      <c r="AE127" s="327">
        <f t="shared" si="9"/>
        <v>-124</v>
      </c>
      <c r="AF127" s="323">
        <f t="shared" si="10"/>
        <v>-28</v>
      </c>
      <c r="AG127" s="334">
        <v>213</v>
      </c>
      <c r="AH127" s="338">
        <v>35</v>
      </c>
      <c r="AI127" s="326">
        <f t="shared" si="11"/>
        <v>1.8</v>
      </c>
      <c r="AJ127" s="326">
        <f t="shared" si="12"/>
        <v>-0.8</v>
      </c>
      <c r="AK127" s="323">
        <f t="shared" si="13"/>
        <v>11.666666666666666</v>
      </c>
      <c r="AL127" s="324">
        <f t="shared" si="14"/>
        <v>6.085714285714285</v>
      </c>
      <c r="AM127" s="334">
        <v>424</v>
      </c>
      <c r="AN127" s="326">
        <f t="shared" si="4"/>
        <v>-0.49764150943396224</v>
      </c>
      <c r="AO127" s="347">
        <v>112688.49</v>
      </c>
      <c r="AP127" s="348">
        <v>14907</v>
      </c>
      <c r="AQ127" s="329">
        <f t="shared" si="3"/>
        <v>7.559434493861945</v>
      </c>
      <c r="AR127" s="297">
        <v>41026</v>
      </c>
      <c r="AS127" s="293"/>
      <c r="AT127" s="234"/>
    </row>
    <row r="128" spans="1:45" s="233" customFormat="1" ht="11.25" customHeight="1" hidden="1">
      <c r="A128" s="295"/>
      <c r="B128" s="293"/>
      <c r="C128" s="236"/>
      <c r="D128" s="236"/>
      <c r="E128" s="236"/>
      <c r="F128" s="236"/>
      <c r="G128" s="236"/>
      <c r="H128" s="236"/>
      <c r="I128" s="236"/>
      <c r="J128" s="362" t="s">
        <v>493</v>
      </c>
      <c r="K128" s="312"/>
      <c r="L128" s="288"/>
      <c r="M128" s="341" t="s">
        <v>495</v>
      </c>
      <c r="N128" s="370">
        <v>40942</v>
      </c>
      <c r="O128" s="288" t="s">
        <v>12</v>
      </c>
      <c r="P128" s="312">
        <v>38</v>
      </c>
      <c r="Q128" s="312">
        <v>1</v>
      </c>
      <c r="R128" s="312">
        <v>13</v>
      </c>
      <c r="S128" s="347">
        <v>0</v>
      </c>
      <c r="T128" s="348">
        <v>0</v>
      </c>
      <c r="U128" s="347">
        <v>0</v>
      </c>
      <c r="V128" s="348">
        <v>0</v>
      </c>
      <c r="W128" s="347">
        <v>1197</v>
      </c>
      <c r="X128" s="348">
        <v>189</v>
      </c>
      <c r="Y128" s="334">
        <f t="shared" si="5"/>
        <v>1197</v>
      </c>
      <c r="Z128" s="338">
        <f t="shared" si="6"/>
        <v>189</v>
      </c>
      <c r="AA128" s="323">
        <f t="shared" si="17"/>
        <v>189</v>
      </c>
      <c r="AB128" s="324">
        <f t="shared" si="18"/>
        <v>6.333333333333333</v>
      </c>
      <c r="AC128" s="330">
        <v>1197</v>
      </c>
      <c r="AD128" s="326">
        <f t="shared" si="16"/>
        <v>0</v>
      </c>
      <c r="AE128" s="327">
        <f t="shared" si="9"/>
        <v>-1010</v>
      </c>
      <c r="AF128" s="323">
        <f t="shared" si="10"/>
        <v>-65</v>
      </c>
      <c r="AG128" s="334">
        <v>187</v>
      </c>
      <c r="AH128" s="338">
        <v>124</v>
      </c>
      <c r="AI128" s="326">
        <f t="shared" si="11"/>
        <v>1.5241935483870968</v>
      </c>
      <c r="AJ128" s="326">
        <f t="shared" si="12"/>
        <v>-0.5241935483870968</v>
      </c>
      <c r="AK128" s="323">
        <f t="shared" si="13"/>
        <v>124</v>
      </c>
      <c r="AL128" s="324">
        <f t="shared" si="14"/>
        <v>1.5080645161290323</v>
      </c>
      <c r="AM128" s="334">
        <v>733</v>
      </c>
      <c r="AN128" s="326">
        <f t="shared" si="4"/>
        <v>-0.7448840381991815</v>
      </c>
      <c r="AO128" s="347">
        <v>532029</v>
      </c>
      <c r="AP128" s="348">
        <v>46541</v>
      </c>
      <c r="AQ128" s="329">
        <f t="shared" si="3"/>
        <v>11.431404568015298</v>
      </c>
      <c r="AR128" s="297">
        <v>41026</v>
      </c>
      <c r="AS128" s="293"/>
    </row>
    <row r="129" spans="1:46" s="233" customFormat="1" ht="11.25" customHeight="1" hidden="1">
      <c r="A129" s="295"/>
      <c r="B129" s="293"/>
      <c r="C129" s="236" t="s">
        <v>223</v>
      </c>
      <c r="D129" s="236" t="s">
        <v>193</v>
      </c>
      <c r="E129" s="236"/>
      <c r="F129" s="236"/>
      <c r="G129" s="236"/>
      <c r="H129" s="236" t="s">
        <v>55</v>
      </c>
      <c r="I129" s="236"/>
      <c r="J129" s="364" t="s">
        <v>745</v>
      </c>
      <c r="K129" s="312"/>
      <c r="L129" s="353" t="s">
        <v>120</v>
      </c>
      <c r="M129" s="340" t="s">
        <v>746</v>
      </c>
      <c r="N129" s="369">
        <v>40025</v>
      </c>
      <c r="O129" s="288" t="s">
        <v>68</v>
      </c>
      <c r="P129" s="340">
        <v>10</v>
      </c>
      <c r="Q129" s="312">
        <v>1</v>
      </c>
      <c r="R129" s="312">
        <v>10</v>
      </c>
      <c r="S129" s="325">
        <v>0</v>
      </c>
      <c r="T129" s="355">
        <v>0</v>
      </c>
      <c r="U129" s="325">
        <v>0</v>
      </c>
      <c r="V129" s="355">
        <v>0</v>
      </c>
      <c r="W129" s="325">
        <v>0</v>
      </c>
      <c r="X129" s="355">
        <v>0</v>
      </c>
      <c r="Y129" s="334">
        <f t="shared" si="5"/>
        <v>0</v>
      </c>
      <c r="Z129" s="338">
        <f t="shared" si="6"/>
        <v>0</v>
      </c>
      <c r="AA129" s="323">
        <f t="shared" si="17"/>
      </c>
      <c r="AB129" s="324">
        <f t="shared" si="18"/>
      </c>
      <c r="AC129" s="357">
        <v>0</v>
      </c>
      <c r="AD129" s="326"/>
      <c r="AE129" s="327">
        <f t="shared" si="9"/>
        <v>7125</v>
      </c>
      <c r="AF129" s="323">
        <f t="shared" si="10"/>
        <v>1425</v>
      </c>
      <c r="AG129" s="328">
        <v>7125</v>
      </c>
      <c r="AH129" s="344">
        <v>1425</v>
      </c>
      <c r="AI129" s="326">
        <f t="shared" si="11"/>
        <v>0</v>
      </c>
      <c r="AJ129" s="326">
        <f t="shared" si="12"/>
        <v>1</v>
      </c>
      <c r="AK129" s="323">
        <f t="shared" si="13"/>
        <v>1425</v>
      </c>
      <c r="AL129" s="324">
        <f t="shared" si="14"/>
        <v>5</v>
      </c>
      <c r="AM129" s="328"/>
      <c r="AN129" s="326">
        <f t="shared" si="4"/>
      </c>
      <c r="AO129" s="328">
        <f>6157+1979.5+2138+815+825+343+114+159+952+7125</f>
        <v>20607.5</v>
      </c>
      <c r="AP129" s="344">
        <f>452+147+247+163+165+40+19+36+238+1425</f>
        <v>2932</v>
      </c>
      <c r="AQ129" s="329">
        <f t="shared" si="3"/>
        <v>7.028478854024557</v>
      </c>
      <c r="AR129" s="297">
        <v>41019</v>
      </c>
      <c r="AS129" s="293"/>
      <c r="AT129" s="234"/>
    </row>
    <row r="130" spans="1:45" s="233" customFormat="1" ht="11.25" customHeight="1" hidden="1">
      <c r="A130" s="295"/>
      <c r="B130" s="236"/>
      <c r="C130" s="236" t="s">
        <v>223</v>
      </c>
      <c r="D130" s="236" t="s">
        <v>193</v>
      </c>
      <c r="E130" s="236">
        <v>3</v>
      </c>
      <c r="F130" s="236"/>
      <c r="G130" s="293"/>
      <c r="H130" s="236" t="s">
        <v>55</v>
      </c>
      <c r="I130" s="236"/>
      <c r="J130" s="364" t="s">
        <v>190</v>
      </c>
      <c r="K130" s="340" t="s">
        <v>915</v>
      </c>
      <c r="L130" s="288" t="s">
        <v>92</v>
      </c>
      <c r="M130" s="340" t="s">
        <v>60</v>
      </c>
      <c r="N130" s="370">
        <v>40760</v>
      </c>
      <c r="O130" s="288" t="s">
        <v>10</v>
      </c>
      <c r="P130" s="341">
        <v>184</v>
      </c>
      <c r="Q130" s="331">
        <v>2</v>
      </c>
      <c r="R130" s="331">
        <v>33</v>
      </c>
      <c r="S130" s="342">
        <v>216</v>
      </c>
      <c r="T130" s="343">
        <v>54</v>
      </c>
      <c r="U130" s="342">
        <v>1494</v>
      </c>
      <c r="V130" s="343">
        <v>314</v>
      </c>
      <c r="W130" s="342">
        <v>324</v>
      </c>
      <c r="X130" s="343">
        <v>81</v>
      </c>
      <c r="Y130" s="334">
        <f t="shared" si="5"/>
        <v>2034</v>
      </c>
      <c r="Z130" s="338">
        <f t="shared" si="6"/>
        <v>449</v>
      </c>
      <c r="AA130" s="323">
        <f t="shared" si="17"/>
        <v>224.5</v>
      </c>
      <c r="AB130" s="324">
        <f t="shared" si="18"/>
        <v>4.5300668151447665</v>
      </c>
      <c r="AC130" s="334">
        <v>2034</v>
      </c>
      <c r="AD130" s="326">
        <f aca="true" t="shared" si="19" ref="AD130:AD135">IF(AC130&lt;&gt;0,-(AC130-Y130)/AC130,"")</f>
        <v>0</v>
      </c>
      <c r="AE130" s="327">
        <f t="shared" si="9"/>
        <v>344</v>
      </c>
      <c r="AF130" s="323">
        <f t="shared" si="10"/>
        <v>86</v>
      </c>
      <c r="AG130" s="342">
        <v>2378</v>
      </c>
      <c r="AH130" s="343">
        <v>535</v>
      </c>
      <c r="AI130" s="326">
        <f t="shared" si="11"/>
        <v>0.8392523364485981</v>
      </c>
      <c r="AJ130" s="326">
        <f t="shared" si="12"/>
        <v>0.16074766355140188</v>
      </c>
      <c r="AK130" s="323">
        <f t="shared" si="13"/>
        <v>267.5</v>
      </c>
      <c r="AL130" s="324">
        <f t="shared" si="14"/>
        <v>4.444859813084112</v>
      </c>
      <c r="AM130" s="328">
        <v>1190</v>
      </c>
      <c r="AN130" s="326">
        <f t="shared" si="4"/>
        <v>0.9983193277310924</v>
      </c>
      <c r="AO130" s="342">
        <v>11533515</v>
      </c>
      <c r="AP130" s="343">
        <v>1148415</v>
      </c>
      <c r="AQ130" s="329">
        <f t="shared" si="3"/>
        <v>10.042985331957524</v>
      </c>
      <c r="AR130" s="297">
        <v>41019</v>
      </c>
      <c r="AS130" s="293"/>
    </row>
    <row r="131" spans="1:45" s="233" customFormat="1" ht="11.25" customHeight="1" hidden="1">
      <c r="A131" s="295"/>
      <c r="B131" s="236"/>
      <c r="C131" s="236" t="s">
        <v>223</v>
      </c>
      <c r="D131" s="236"/>
      <c r="E131" s="236"/>
      <c r="F131" s="236"/>
      <c r="G131" s="236"/>
      <c r="H131" s="236"/>
      <c r="I131" s="236"/>
      <c r="J131" s="360" t="s">
        <v>741</v>
      </c>
      <c r="K131" s="312"/>
      <c r="L131" s="341" t="s">
        <v>128</v>
      </c>
      <c r="M131" s="341" t="s">
        <v>742</v>
      </c>
      <c r="N131" s="370">
        <v>40319</v>
      </c>
      <c r="O131" s="288" t="s">
        <v>53</v>
      </c>
      <c r="P131" s="312">
        <v>55</v>
      </c>
      <c r="Q131" s="346">
        <v>1</v>
      </c>
      <c r="R131" s="346">
        <v>19</v>
      </c>
      <c r="S131" s="347">
        <v>0</v>
      </c>
      <c r="T131" s="348">
        <v>0</v>
      </c>
      <c r="U131" s="347">
        <v>0</v>
      </c>
      <c r="V131" s="348">
        <v>0</v>
      </c>
      <c r="W131" s="347">
        <v>0</v>
      </c>
      <c r="X131" s="348">
        <v>0</v>
      </c>
      <c r="Y131" s="334">
        <f t="shared" si="5"/>
        <v>0</v>
      </c>
      <c r="Z131" s="338">
        <f t="shared" si="6"/>
        <v>0</v>
      </c>
      <c r="AA131" s="323">
        <f t="shared" si="17"/>
      </c>
      <c r="AB131" s="324">
        <f t="shared" si="18"/>
      </c>
      <c r="AC131" s="330">
        <v>0</v>
      </c>
      <c r="AD131" s="326">
        <f t="shared" si="19"/>
      </c>
      <c r="AE131" s="327">
        <f t="shared" si="9"/>
        <v>2036</v>
      </c>
      <c r="AF131" s="323">
        <f t="shared" si="10"/>
        <v>407</v>
      </c>
      <c r="AG131" s="334">
        <v>2036</v>
      </c>
      <c r="AH131" s="338">
        <v>407</v>
      </c>
      <c r="AI131" s="326">
        <f t="shared" si="11"/>
        <v>0</v>
      </c>
      <c r="AJ131" s="326">
        <f t="shared" si="12"/>
        <v>1</v>
      </c>
      <c r="AK131" s="323">
        <f t="shared" si="13"/>
        <v>407</v>
      </c>
      <c r="AL131" s="324">
        <f t="shared" si="14"/>
        <v>5.002457002457002</v>
      </c>
      <c r="AM131" s="334"/>
      <c r="AN131" s="326">
        <f t="shared" si="4"/>
      </c>
      <c r="AO131" s="334">
        <v>162513</v>
      </c>
      <c r="AP131" s="338">
        <v>19048</v>
      </c>
      <c r="AQ131" s="329">
        <f t="shared" si="3"/>
        <v>8.531761864762705</v>
      </c>
      <c r="AR131" s="297">
        <v>41019</v>
      </c>
      <c r="AS131" s="293"/>
    </row>
    <row r="132" spans="1:45" s="233" customFormat="1" ht="11.25" customHeight="1" hidden="1">
      <c r="A132" s="295"/>
      <c r="B132" s="293"/>
      <c r="C132" s="236"/>
      <c r="D132" s="236"/>
      <c r="E132" s="236"/>
      <c r="F132" s="236"/>
      <c r="G132" s="236"/>
      <c r="H132" s="236"/>
      <c r="I132" s="236"/>
      <c r="J132" s="364" t="s">
        <v>376</v>
      </c>
      <c r="K132" s="312"/>
      <c r="L132" s="353"/>
      <c r="M132" s="340" t="s">
        <v>377</v>
      </c>
      <c r="N132" s="369">
        <v>40928</v>
      </c>
      <c r="O132" s="288" t="s">
        <v>68</v>
      </c>
      <c r="P132" s="340">
        <v>55</v>
      </c>
      <c r="Q132" s="312">
        <v>2</v>
      </c>
      <c r="R132" s="312">
        <v>12</v>
      </c>
      <c r="S132" s="325">
        <v>0</v>
      </c>
      <c r="T132" s="355">
        <v>0</v>
      </c>
      <c r="U132" s="325">
        <v>0</v>
      </c>
      <c r="V132" s="355">
        <v>0</v>
      </c>
      <c r="W132" s="325">
        <v>0</v>
      </c>
      <c r="X132" s="355">
        <v>0</v>
      </c>
      <c r="Y132" s="334">
        <f t="shared" si="5"/>
        <v>0</v>
      </c>
      <c r="Z132" s="338">
        <f t="shared" si="6"/>
        <v>0</v>
      </c>
      <c r="AA132" s="323">
        <f t="shared" si="17"/>
      </c>
      <c r="AB132" s="324">
        <f t="shared" si="18"/>
      </c>
      <c r="AC132" s="357">
        <v>0</v>
      </c>
      <c r="AD132" s="326">
        <f t="shared" si="19"/>
      </c>
      <c r="AE132" s="327">
        <f t="shared" si="9"/>
        <v>1905.5</v>
      </c>
      <c r="AF132" s="323">
        <f t="shared" si="10"/>
        <v>211</v>
      </c>
      <c r="AG132" s="328">
        <v>1905.5</v>
      </c>
      <c r="AH132" s="344">
        <v>211</v>
      </c>
      <c r="AI132" s="326">
        <f t="shared" si="11"/>
        <v>0</v>
      </c>
      <c r="AJ132" s="326">
        <f t="shared" si="12"/>
        <v>1</v>
      </c>
      <c r="AK132" s="323">
        <f t="shared" si="13"/>
        <v>105.5</v>
      </c>
      <c r="AL132" s="324">
        <f t="shared" si="14"/>
        <v>9.030805687203792</v>
      </c>
      <c r="AM132" s="328"/>
      <c r="AN132" s="326">
        <f t="shared" si="4"/>
      </c>
      <c r="AO132" s="328">
        <f>323645+173227.82+35597.95+32858.57+5134.32+4763+2345.5+1425.5+2376+950.5+950.5+1905.5</f>
        <v>585180.1599999999</v>
      </c>
      <c r="AP132" s="344">
        <f>28467+15589+4018+4355+973+712+612+285+472+190+190+211</f>
        <v>56074</v>
      </c>
      <c r="AQ132" s="329">
        <f t="shared" si="3"/>
        <v>10.435855476691513</v>
      </c>
      <c r="AR132" s="297">
        <v>41019</v>
      </c>
      <c r="AS132" s="293"/>
    </row>
    <row r="133" spans="1:45" s="233" customFormat="1" ht="11.25" customHeight="1" hidden="1">
      <c r="A133" s="295"/>
      <c r="B133" s="293"/>
      <c r="C133" s="236"/>
      <c r="D133" s="294"/>
      <c r="E133" s="294"/>
      <c r="F133" s="294"/>
      <c r="G133" s="294"/>
      <c r="H133" s="294"/>
      <c r="I133" s="236"/>
      <c r="J133" s="360" t="s">
        <v>522</v>
      </c>
      <c r="K133" s="312"/>
      <c r="L133" s="353"/>
      <c r="M133" s="288" t="s">
        <v>523</v>
      </c>
      <c r="N133" s="370">
        <v>40949</v>
      </c>
      <c r="O133" s="288" t="s">
        <v>10</v>
      </c>
      <c r="P133" s="331">
        <v>65</v>
      </c>
      <c r="Q133" s="331">
        <v>1</v>
      </c>
      <c r="R133" s="331">
        <v>10</v>
      </c>
      <c r="S133" s="342">
        <v>888</v>
      </c>
      <c r="T133" s="343">
        <v>111</v>
      </c>
      <c r="U133" s="342">
        <v>896</v>
      </c>
      <c r="V133" s="343">
        <v>112</v>
      </c>
      <c r="W133" s="342">
        <v>0</v>
      </c>
      <c r="X133" s="343">
        <v>0</v>
      </c>
      <c r="Y133" s="334">
        <f t="shared" si="5"/>
        <v>1784</v>
      </c>
      <c r="Z133" s="338">
        <f t="shared" si="6"/>
        <v>223</v>
      </c>
      <c r="AA133" s="323">
        <f t="shared" si="17"/>
        <v>223</v>
      </c>
      <c r="AB133" s="324">
        <f t="shared" si="18"/>
        <v>8</v>
      </c>
      <c r="AC133" s="330">
        <v>1784</v>
      </c>
      <c r="AD133" s="326">
        <f t="shared" si="19"/>
        <v>0</v>
      </c>
      <c r="AE133" s="327">
        <f t="shared" si="9"/>
        <v>0</v>
      </c>
      <c r="AF133" s="323">
        <f t="shared" si="10"/>
        <v>0</v>
      </c>
      <c r="AG133" s="342">
        <v>1784</v>
      </c>
      <c r="AH133" s="343">
        <v>223</v>
      </c>
      <c r="AI133" s="326">
        <f t="shared" si="11"/>
        <v>1</v>
      </c>
      <c r="AJ133" s="326">
        <f t="shared" si="12"/>
        <v>0</v>
      </c>
      <c r="AK133" s="323">
        <f t="shared" si="13"/>
        <v>223</v>
      </c>
      <c r="AL133" s="324">
        <f t="shared" si="14"/>
        <v>8</v>
      </c>
      <c r="AM133" s="334">
        <v>917</v>
      </c>
      <c r="AN133" s="326">
        <f t="shared" si="4"/>
        <v>0.945474372955289</v>
      </c>
      <c r="AO133" s="342">
        <v>900733</v>
      </c>
      <c r="AP133" s="343">
        <v>84350</v>
      </c>
      <c r="AQ133" s="329">
        <f t="shared" si="3"/>
        <v>10.678518079430942</v>
      </c>
      <c r="AR133" s="297">
        <v>41019</v>
      </c>
      <c r="AS133" s="293"/>
    </row>
    <row r="134" spans="1:45" s="233" customFormat="1" ht="11.25" customHeight="1" hidden="1">
      <c r="A134" s="295"/>
      <c r="B134" s="236"/>
      <c r="C134" s="236" t="s">
        <v>223</v>
      </c>
      <c r="D134" s="236"/>
      <c r="E134" s="236"/>
      <c r="F134" s="236"/>
      <c r="G134" s="236"/>
      <c r="H134" s="236"/>
      <c r="I134" s="236"/>
      <c r="J134" s="366" t="s">
        <v>698</v>
      </c>
      <c r="K134" s="288" t="s">
        <v>865</v>
      </c>
      <c r="L134" s="288" t="s">
        <v>79</v>
      </c>
      <c r="M134" s="339" t="s">
        <v>697</v>
      </c>
      <c r="N134" s="370">
        <v>40739</v>
      </c>
      <c r="O134" s="288" t="s">
        <v>68</v>
      </c>
      <c r="P134" s="312">
        <v>17</v>
      </c>
      <c r="Q134" s="312">
        <v>1</v>
      </c>
      <c r="R134" s="312">
        <v>54</v>
      </c>
      <c r="S134" s="325">
        <v>0</v>
      </c>
      <c r="T134" s="355">
        <v>0</v>
      </c>
      <c r="U134" s="325">
        <v>0</v>
      </c>
      <c r="V134" s="355">
        <v>0</v>
      </c>
      <c r="W134" s="325">
        <v>0</v>
      </c>
      <c r="X134" s="355">
        <v>0</v>
      </c>
      <c r="Y134" s="334">
        <f t="shared" si="5"/>
        <v>0</v>
      </c>
      <c r="Z134" s="338">
        <f t="shared" si="6"/>
        <v>0</v>
      </c>
      <c r="AA134" s="323">
        <f t="shared" si="17"/>
      </c>
      <c r="AB134" s="324">
        <f t="shared" si="18"/>
      </c>
      <c r="AC134" s="334">
        <v>0</v>
      </c>
      <c r="AD134" s="326">
        <f t="shared" si="19"/>
      </c>
      <c r="AE134" s="327">
        <f t="shared" si="9"/>
        <v>1780</v>
      </c>
      <c r="AF134" s="323">
        <f t="shared" si="10"/>
        <v>356</v>
      </c>
      <c r="AG134" s="328">
        <v>1780</v>
      </c>
      <c r="AH134" s="344">
        <v>356</v>
      </c>
      <c r="AI134" s="326">
        <f t="shared" si="11"/>
        <v>0</v>
      </c>
      <c r="AJ134" s="326">
        <f t="shared" si="12"/>
        <v>1</v>
      </c>
      <c r="AK134" s="323">
        <f t="shared" si="13"/>
        <v>356</v>
      </c>
      <c r="AL134" s="324">
        <f t="shared" si="14"/>
        <v>5</v>
      </c>
      <c r="AM134" s="328"/>
      <c r="AN134" s="326">
        <f t="shared" si="4"/>
      </c>
      <c r="AO134" s="328">
        <f>575413.5+2968+2376+2737+2376+2376+4752+2376+952+1780+226+286+162+6416+4040+1780+1780+1192+3102+1780</f>
        <v>618870.5</v>
      </c>
      <c r="AP134" s="344">
        <f>83313+742+594+635+594+594+1188+594+238+445+36+42+39+1604+1010+356+356+571+1512+356</f>
        <v>94819</v>
      </c>
      <c r="AQ134" s="329">
        <f t="shared" si="3"/>
        <v>6.526861704932556</v>
      </c>
      <c r="AR134" s="297">
        <v>41019</v>
      </c>
      <c r="AS134" s="293"/>
    </row>
    <row r="135" spans="1:45" s="233" customFormat="1" ht="11.25" customHeight="1" hidden="1">
      <c r="A135" s="295"/>
      <c r="B135" s="236"/>
      <c r="C135" s="236" t="s">
        <v>223</v>
      </c>
      <c r="D135" s="236"/>
      <c r="E135" s="236"/>
      <c r="F135" s="236">
        <v>2</v>
      </c>
      <c r="G135" s="236" t="s">
        <v>250</v>
      </c>
      <c r="H135" s="236"/>
      <c r="I135" s="236"/>
      <c r="J135" s="366" t="s">
        <v>192</v>
      </c>
      <c r="K135" s="312" t="s">
        <v>499</v>
      </c>
      <c r="L135" s="288"/>
      <c r="M135" s="339" t="s">
        <v>192</v>
      </c>
      <c r="N135" s="369">
        <v>40900</v>
      </c>
      <c r="O135" s="288" t="s">
        <v>12</v>
      </c>
      <c r="P135" s="312">
        <v>184</v>
      </c>
      <c r="Q135" s="312">
        <v>1</v>
      </c>
      <c r="R135" s="312">
        <v>18</v>
      </c>
      <c r="S135" s="347">
        <v>0</v>
      </c>
      <c r="T135" s="348">
        <v>0</v>
      </c>
      <c r="U135" s="347">
        <v>0</v>
      </c>
      <c r="V135" s="348">
        <v>0</v>
      </c>
      <c r="W135" s="347">
        <v>0</v>
      </c>
      <c r="X135" s="348">
        <v>0</v>
      </c>
      <c r="Y135" s="334">
        <f t="shared" si="5"/>
        <v>0</v>
      </c>
      <c r="Z135" s="338">
        <f t="shared" si="6"/>
        <v>0</v>
      </c>
      <c r="AA135" s="323">
        <f t="shared" si="17"/>
      </c>
      <c r="AB135" s="324">
        <f t="shared" si="18"/>
      </c>
      <c r="AC135" s="330">
        <v>0</v>
      </c>
      <c r="AD135" s="326">
        <f t="shared" si="19"/>
      </c>
      <c r="AE135" s="327">
        <f t="shared" si="9"/>
        <v>1722</v>
      </c>
      <c r="AF135" s="323">
        <f t="shared" si="10"/>
        <v>287</v>
      </c>
      <c r="AG135" s="334">
        <v>1722</v>
      </c>
      <c r="AH135" s="338">
        <v>287</v>
      </c>
      <c r="AI135" s="326">
        <f t="shared" si="11"/>
        <v>0</v>
      </c>
      <c r="AJ135" s="326">
        <f t="shared" si="12"/>
        <v>1</v>
      </c>
      <c r="AK135" s="323">
        <f t="shared" si="13"/>
        <v>287</v>
      </c>
      <c r="AL135" s="324">
        <f t="shared" si="14"/>
        <v>6</v>
      </c>
      <c r="AM135" s="328"/>
      <c r="AN135" s="326">
        <f t="shared" si="4"/>
      </c>
      <c r="AO135" s="334">
        <v>6391467</v>
      </c>
      <c r="AP135" s="338">
        <v>639587</v>
      </c>
      <c r="AQ135" s="329">
        <f t="shared" si="3"/>
        <v>9.993115870084914</v>
      </c>
      <c r="AR135" s="297">
        <v>41019</v>
      </c>
      <c r="AS135" s="293"/>
    </row>
    <row r="136" spans="1:45" s="233" customFormat="1" ht="11.25" customHeight="1" hidden="1">
      <c r="A136" s="295"/>
      <c r="B136" s="293"/>
      <c r="C136" s="236" t="s">
        <v>223</v>
      </c>
      <c r="D136" s="236" t="s">
        <v>193</v>
      </c>
      <c r="E136" s="236">
        <v>3</v>
      </c>
      <c r="F136" s="236"/>
      <c r="G136" s="236" t="s">
        <v>250</v>
      </c>
      <c r="H136" s="236" t="s">
        <v>55</v>
      </c>
      <c r="I136" s="236"/>
      <c r="J136" s="364" t="s">
        <v>747</v>
      </c>
      <c r="K136" s="312"/>
      <c r="L136" s="353" t="s">
        <v>235</v>
      </c>
      <c r="M136" s="340" t="s">
        <v>748</v>
      </c>
      <c r="N136" s="369">
        <v>40480</v>
      </c>
      <c r="O136" s="288" t="s">
        <v>68</v>
      </c>
      <c r="P136" s="340">
        <v>100</v>
      </c>
      <c r="Q136" s="312">
        <v>1</v>
      </c>
      <c r="R136" s="312">
        <v>23</v>
      </c>
      <c r="S136" s="325">
        <v>0</v>
      </c>
      <c r="T136" s="355">
        <v>0</v>
      </c>
      <c r="U136" s="325">
        <v>0</v>
      </c>
      <c r="V136" s="355">
        <v>0</v>
      </c>
      <c r="W136" s="325">
        <v>0</v>
      </c>
      <c r="X136" s="355">
        <v>0</v>
      </c>
      <c r="Y136" s="334">
        <f aca="true" t="shared" si="20" ref="Y136:Y199">SUM(S136+U136+W136)</f>
        <v>0</v>
      </c>
      <c r="Z136" s="338">
        <f aca="true" t="shared" si="21" ref="Z136:Z199">T136+V136+X136</f>
        <v>0</v>
      </c>
      <c r="AA136" s="323">
        <f t="shared" si="17"/>
      </c>
      <c r="AB136" s="324">
        <f t="shared" si="18"/>
      </c>
      <c r="AC136" s="357">
        <v>0</v>
      </c>
      <c r="AD136" s="326"/>
      <c r="AE136" s="327">
        <f aca="true" t="shared" si="22" ref="AE136:AE199">AG136-Y136</f>
        <v>1425.5</v>
      </c>
      <c r="AF136" s="323">
        <f aca="true" t="shared" si="23" ref="AF136:AF199">AH136-Z136</f>
        <v>285</v>
      </c>
      <c r="AG136" s="328">
        <v>1425.5</v>
      </c>
      <c r="AH136" s="344">
        <v>285</v>
      </c>
      <c r="AI136" s="326">
        <f aca="true" t="shared" si="24" ref="AI136:AI199">Z136*1/AH136</f>
        <v>0</v>
      </c>
      <c r="AJ136" s="326">
        <f aca="true" t="shared" si="25" ref="AJ136:AJ199">AF136*1/AH136</f>
        <v>1</v>
      </c>
      <c r="AK136" s="323">
        <f aca="true" t="shared" si="26" ref="AK136:AK199">AH136/Q136</f>
        <v>285</v>
      </c>
      <c r="AL136" s="324">
        <f aca="true" t="shared" si="27" ref="AL136:AL199">AG136/AH136</f>
        <v>5.0017543859649125</v>
      </c>
      <c r="AM136" s="328"/>
      <c r="AN136" s="326">
        <f t="shared" si="4"/>
      </c>
      <c r="AO136" s="328">
        <f>1221166+429124.5+378100+240009.5+108018.5+26890.5+15319+16968+7345.5+4160+1262+1510+3920.5+2732.5+8910+571+670+102+4457+119+222+430+1425.5</f>
        <v>2473433</v>
      </c>
      <c r="AP136" s="344">
        <f>114702+40612+35598+23284+12543+4168+3055+2661+1161+850+210+377+981+684+2228+92+109+26+857+22+44+86+285</f>
        <v>244635</v>
      </c>
      <c r="AQ136" s="329">
        <f aca="true" t="shared" si="28" ref="AQ136:AQ199">AO136/AP136</f>
        <v>10.110707789155272</v>
      </c>
      <c r="AR136" s="297">
        <v>41019</v>
      </c>
      <c r="AS136" s="293"/>
    </row>
    <row r="137" spans="1:45" s="233" customFormat="1" ht="11.25" customHeight="1" hidden="1">
      <c r="A137" s="295"/>
      <c r="B137" s="236"/>
      <c r="C137" s="236" t="s">
        <v>223</v>
      </c>
      <c r="D137" s="236" t="s">
        <v>193</v>
      </c>
      <c r="E137" s="236"/>
      <c r="F137" s="236"/>
      <c r="G137" s="236" t="s">
        <v>250</v>
      </c>
      <c r="H137" s="236" t="s">
        <v>55</v>
      </c>
      <c r="I137" s="236"/>
      <c r="J137" s="366" t="s">
        <v>530</v>
      </c>
      <c r="K137" s="339" t="s">
        <v>316</v>
      </c>
      <c r="L137" s="319" t="s">
        <v>88</v>
      </c>
      <c r="M137" s="339" t="s">
        <v>534</v>
      </c>
      <c r="N137" s="370">
        <v>40515</v>
      </c>
      <c r="O137" s="288" t="s">
        <v>68</v>
      </c>
      <c r="P137" s="312">
        <v>62</v>
      </c>
      <c r="Q137" s="312">
        <v>1</v>
      </c>
      <c r="R137" s="312">
        <v>1</v>
      </c>
      <c r="S137" s="325">
        <v>0</v>
      </c>
      <c r="T137" s="355">
        <v>0</v>
      </c>
      <c r="U137" s="325">
        <v>0</v>
      </c>
      <c r="V137" s="355">
        <v>0</v>
      </c>
      <c r="W137" s="325">
        <v>0</v>
      </c>
      <c r="X137" s="355">
        <v>0</v>
      </c>
      <c r="Y137" s="334">
        <f t="shared" si="20"/>
        <v>0</v>
      </c>
      <c r="Z137" s="338">
        <f t="shared" si="21"/>
        <v>0</v>
      </c>
      <c r="AA137" s="323"/>
      <c r="AB137" s="324"/>
      <c r="AC137" s="330">
        <v>0</v>
      </c>
      <c r="AD137" s="326">
        <f aca="true" t="shared" si="29" ref="AD137:AD168">IF(AC137&lt;&gt;0,-(AC137-Y137)/AC137,"")</f>
      </c>
      <c r="AE137" s="327">
        <f t="shared" si="22"/>
        <v>1425.5</v>
      </c>
      <c r="AF137" s="323">
        <f t="shared" si="23"/>
        <v>285</v>
      </c>
      <c r="AG137" s="328">
        <v>1425.5</v>
      </c>
      <c r="AH137" s="344">
        <v>285</v>
      </c>
      <c r="AI137" s="326">
        <f t="shared" si="24"/>
        <v>0</v>
      </c>
      <c r="AJ137" s="326">
        <f t="shared" si="25"/>
        <v>1</v>
      </c>
      <c r="AK137" s="323">
        <f t="shared" si="26"/>
        <v>285</v>
      </c>
      <c r="AL137" s="324">
        <f t="shared" si="27"/>
        <v>5.0017543859649125</v>
      </c>
      <c r="AM137" s="328"/>
      <c r="AN137" s="326">
        <f t="shared" si="4"/>
      </c>
      <c r="AO137" s="328">
        <f>353151+191248+132731.5+71376+47862+26248.5+19265+34650.5+35095.5+42312+25849+10987+7528+3248+2395.5+3280.5+3141.5+4280+3042+1597+6128+4358+2107+777+4230+4335.5+1718.5+594+1978+2020+7747.5+1188+329+1188+823+1622+1425.5</f>
        <v>1061857.5</v>
      </c>
      <c r="AP137" s="344">
        <f>34650+19352+14525+10591+7581+5012+3223+6065+6865+6589+3930+1782+1091+624+468+512+688+987+804+306+1395+991+478+166+1058+1084+430+148+474+261+1593+297+63+238+398+787+285</f>
        <v>135791</v>
      </c>
      <c r="AQ137" s="329">
        <f t="shared" si="28"/>
        <v>7.8197929170563585</v>
      </c>
      <c r="AR137" s="297">
        <v>41019</v>
      </c>
      <c r="AS137" s="293"/>
    </row>
    <row r="138" spans="1:45" s="233" customFormat="1" ht="11.25" customHeight="1" hidden="1">
      <c r="A138" s="295"/>
      <c r="B138" s="236"/>
      <c r="C138" s="236" t="s">
        <v>223</v>
      </c>
      <c r="D138" s="236" t="s">
        <v>193</v>
      </c>
      <c r="E138" s="236">
        <v>3</v>
      </c>
      <c r="F138" s="293"/>
      <c r="G138" s="236" t="s">
        <v>250</v>
      </c>
      <c r="H138" s="236" t="s">
        <v>55</v>
      </c>
      <c r="I138" s="236"/>
      <c r="J138" s="366" t="s">
        <v>393</v>
      </c>
      <c r="K138" s="339" t="s">
        <v>402</v>
      </c>
      <c r="L138" s="339" t="s">
        <v>88</v>
      </c>
      <c r="M138" s="339" t="s">
        <v>399</v>
      </c>
      <c r="N138" s="370">
        <v>39995</v>
      </c>
      <c r="O138" s="288" t="s">
        <v>68</v>
      </c>
      <c r="P138" s="312">
        <v>209</v>
      </c>
      <c r="Q138" s="312">
        <v>2</v>
      </c>
      <c r="R138" s="312">
        <v>74</v>
      </c>
      <c r="S138" s="325">
        <v>0</v>
      </c>
      <c r="T138" s="355">
        <v>0</v>
      </c>
      <c r="U138" s="325">
        <v>0</v>
      </c>
      <c r="V138" s="355">
        <v>0</v>
      </c>
      <c r="W138" s="325">
        <v>0</v>
      </c>
      <c r="X138" s="355">
        <v>0</v>
      </c>
      <c r="Y138" s="334">
        <f t="shared" si="20"/>
        <v>0</v>
      </c>
      <c r="Z138" s="338">
        <f t="shared" si="21"/>
        <v>0</v>
      </c>
      <c r="AA138" s="323"/>
      <c r="AB138" s="324"/>
      <c r="AC138" s="330">
        <v>0</v>
      </c>
      <c r="AD138" s="326">
        <f t="shared" si="29"/>
      </c>
      <c r="AE138" s="327">
        <f t="shared" si="22"/>
        <v>950</v>
      </c>
      <c r="AF138" s="323">
        <f t="shared" si="23"/>
        <v>190</v>
      </c>
      <c r="AG138" s="328">
        <v>950</v>
      </c>
      <c r="AH138" s="344">
        <v>190</v>
      </c>
      <c r="AI138" s="326">
        <f t="shared" si="24"/>
        <v>0</v>
      </c>
      <c r="AJ138" s="326">
        <f t="shared" si="25"/>
        <v>1</v>
      </c>
      <c r="AK138" s="323">
        <f t="shared" si="26"/>
        <v>95</v>
      </c>
      <c r="AL138" s="324">
        <f t="shared" si="27"/>
        <v>5</v>
      </c>
      <c r="AM138" s="328"/>
      <c r="AN138" s="326">
        <f t="shared" si="4"/>
      </c>
      <c r="AO138" s="328">
        <f>11405777.5+385+1188+6614+2968+1417+277+2612+1424+952+1780+952+364.5+1188+1188+2852+3019.5+305+1188+286+1188+2375+950</f>
        <v>11441250.5</v>
      </c>
      <c r="AP138" s="344">
        <f>1424397+63+297+1638+742+364+66+653+356+238+445+238+27+297+297+713+734+61+297+71+297+475+190</f>
        <v>1432956</v>
      </c>
      <c r="AQ138" s="329">
        <f t="shared" si="28"/>
        <v>7.984369722447863</v>
      </c>
      <c r="AR138" s="297">
        <v>41019</v>
      </c>
      <c r="AS138" s="293"/>
    </row>
    <row r="139" spans="1:45" s="233" customFormat="1" ht="11.25" customHeight="1" hidden="1">
      <c r="A139" s="295"/>
      <c r="B139" s="293"/>
      <c r="C139" s="236"/>
      <c r="D139" s="293"/>
      <c r="E139" s="293"/>
      <c r="F139" s="293"/>
      <c r="G139" s="293"/>
      <c r="H139" s="236"/>
      <c r="I139" s="293"/>
      <c r="J139" s="361" t="s">
        <v>515</v>
      </c>
      <c r="K139" s="312"/>
      <c r="L139" s="340"/>
      <c r="M139" s="340" t="s">
        <v>521</v>
      </c>
      <c r="N139" s="370">
        <v>40949</v>
      </c>
      <c r="O139" s="288" t="s">
        <v>68</v>
      </c>
      <c r="P139" s="312">
        <v>30</v>
      </c>
      <c r="Q139" s="312">
        <v>9</v>
      </c>
      <c r="R139" s="312">
        <v>9</v>
      </c>
      <c r="S139" s="325">
        <v>0</v>
      </c>
      <c r="T139" s="355">
        <v>0</v>
      </c>
      <c r="U139" s="325">
        <v>0</v>
      </c>
      <c r="V139" s="355">
        <v>0</v>
      </c>
      <c r="W139" s="325">
        <v>0</v>
      </c>
      <c r="X139" s="355">
        <v>0</v>
      </c>
      <c r="Y139" s="334">
        <f t="shared" si="20"/>
        <v>0</v>
      </c>
      <c r="Z139" s="338">
        <f t="shared" si="21"/>
        <v>0</v>
      </c>
      <c r="AA139" s="323">
        <f>IF(Y139&lt;&gt;0,Z139/Q139,"")</f>
      </c>
      <c r="AB139" s="324">
        <f>IF(Y139&lt;&gt;0,Y139/Z139,"")</f>
      </c>
      <c r="AC139" s="330">
        <v>0</v>
      </c>
      <c r="AD139" s="326">
        <f t="shared" si="29"/>
      </c>
      <c r="AE139" s="327">
        <f t="shared" si="22"/>
        <v>400</v>
      </c>
      <c r="AF139" s="323">
        <f t="shared" si="23"/>
        <v>55</v>
      </c>
      <c r="AG139" s="328">
        <v>400</v>
      </c>
      <c r="AH139" s="344">
        <v>55</v>
      </c>
      <c r="AI139" s="326">
        <f t="shared" si="24"/>
        <v>0</v>
      </c>
      <c r="AJ139" s="326">
        <f t="shared" si="25"/>
        <v>1</v>
      </c>
      <c r="AK139" s="323">
        <f t="shared" si="26"/>
        <v>6.111111111111111</v>
      </c>
      <c r="AL139" s="324">
        <f t="shared" si="27"/>
        <v>7.2727272727272725</v>
      </c>
      <c r="AM139" s="334"/>
      <c r="AN139" s="326">
        <f t="shared" si="4"/>
      </c>
      <c r="AO139" s="328">
        <f>252789.19+123971.25+59444.68+20391+4002+551+2548+1735+400</f>
        <v>465832.12</v>
      </c>
      <c r="AP139" s="344">
        <f>19304+9364+4801+1458+458+79+474+220+55</f>
        <v>36213</v>
      </c>
      <c r="AQ139" s="329">
        <f t="shared" si="28"/>
        <v>12.863671057355093</v>
      </c>
      <c r="AR139" s="297">
        <v>41019</v>
      </c>
      <c r="AS139" s="293"/>
    </row>
    <row r="140" spans="1:45" s="233" customFormat="1" ht="11.25" customHeight="1" hidden="1">
      <c r="A140" s="295"/>
      <c r="B140" s="236"/>
      <c r="C140" s="236" t="s">
        <v>223</v>
      </c>
      <c r="D140" s="236"/>
      <c r="E140" s="236"/>
      <c r="F140" s="236"/>
      <c r="G140" s="236"/>
      <c r="H140" s="236"/>
      <c r="I140" s="236" t="s">
        <v>54</v>
      </c>
      <c r="J140" s="366" t="s">
        <v>132</v>
      </c>
      <c r="K140" s="312"/>
      <c r="L140" s="319"/>
      <c r="M140" s="339"/>
      <c r="N140" s="370">
        <v>40893</v>
      </c>
      <c r="O140" s="288" t="s">
        <v>68</v>
      </c>
      <c r="P140" s="312">
        <v>23</v>
      </c>
      <c r="Q140" s="312">
        <v>1</v>
      </c>
      <c r="R140" s="312">
        <v>11</v>
      </c>
      <c r="S140" s="325">
        <v>0</v>
      </c>
      <c r="T140" s="355">
        <v>0</v>
      </c>
      <c r="U140" s="325">
        <v>0</v>
      </c>
      <c r="V140" s="355">
        <v>0</v>
      </c>
      <c r="W140" s="325">
        <v>0</v>
      </c>
      <c r="X140" s="355">
        <v>0</v>
      </c>
      <c r="Y140" s="334">
        <f t="shared" si="20"/>
        <v>0</v>
      </c>
      <c r="Z140" s="338">
        <f t="shared" si="21"/>
        <v>0</v>
      </c>
      <c r="AA140" s="323">
        <f>IF(Y140&lt;&gt;0,Z140/Q140,"")</f>
      </c>
      <c r="AB140" s="324">
        <f>IF(Y140&lt;&gt;0,Y140/Z140,"")</f>
      </c>
      <c r="AC140" s="330">
        <v>0</v>
      </c>
      <c r="AD140" s="326">
        <f t="shared" si="29"/>
      </c>
      <c r="AE140" s="327">
        <f t="shared" si="22"/>
        <v>200</v>
      </c>
      <c r="AF140" s="323">
        <f t="shared" si="23"/>
        <v>24</v>
      </c>
      <c r="AG140" s="328">
        <v>200</v>
      </c>
      <c r="AH140" s="344">
        <v>24</v>
      </c>
      <c r="AI140" s="326">
        <f t="shared" si="24"/>
        <v>0</v>
      </c>
      <c r="AJ140" s="326">
        <f t="shared" si="25"/>
        <v>1</v>
      </c>
      <c r="AK140" s="323">
        <f t="shared" si="26"/>
        <v>24</v>
      </c>
      <c r="AL140" s="324">
        <f t="shared" si="27"/>
        <v>8.333333333333334</v>
      </c>
      <c r="AM140" s="328"/>
      <c r="AN140" s="326">
        <f t="shared" si="4"/>
      </c>
      <c r="AO140" s="328">
        <f>53228.5+28585+20298.5+8299+5922+6463+2186.5+3291+2777+3801.5+200</f>
        <v>135052</v>
      </c>
      <c r="AP140" s="344">
        <f>6440+3537+2691+1237+891+1419+633+570+423+760+24</f>
        <v>18625</v>
      </c>
      <c r="AQ140" s="329">
        <f t="shared" si="28"/>
        <v>7.251114093959732</v>
      </c>
      <c r="AR140" s="297">
        <v>41019</v>
      </c>
      <c r="AS140" s="293"/>
    </row>
    <row r="141" spans="1:45" s="233" customFormat="1" ht="11.25" customHeight="1" hidden="1">
      <c r="A141" s="295"/>
      <c r="B141" s="236"/>
      <c r="C141" s="236" t="s">
        <v>223</v>
      </c>
      <c r="D141" s="236"/>
      <c r="E141" s="236"/>
      <c r="F141" s="236"/>
      <c r="G141" s="236"/>
      <c r="H141" s="294"/>
      <c r="I141" s="236" t="s">
        <v>54</v>
      </c>
      <c r="J141" s="362" t="s">
        <v>98</v>
      </c>
      <c r="K141" s="312"/>
      <c r="L141" s="319"/>
      <c r="M141" s="288" t="s">
        <v>98</v>
      </c>
      <c r="N141" s="369">
        <v>40872</v>
      </c>
      <c r="O141" s="288" t="s">
        <v>10</v>
      </c>
      <c r="P141" s="312">
        <v>277</v>
      </c>
      <c r="Q141" s="312">
        <v>2</v>
      </c>
      <c r="R141" s="312">
        <v>19</v>
      </c>
      <c r="S141" s="347">
        <v>368</v>
      </c>
      <c r="T141" s="348">
        <v>92</v>
      </c>
      <c r="U141" s="347">
        <v>1272</v>
      </c>
      <c r="V141" s="348">
        <v>278</v>
      </c>
      <c r="W141" s="347">
        <v>1359</v>
      </c>
      <c r="X141" s="348">
        <v>296</v>
      </c>
      <c r="Y141" s="334">
        <f t="shared" si="20"/>
        <v>2999</v>
      </c>
      <c r="Z141" s="338">
        <f t="shared" si="21"/>
        <v>666</v>
      </c>
      <c r="AA141" s="323">
        <f>IF(Y141&lt;&gt;0,Z141/Q141,"")</f>
        <v>333</v>
      </c>
      <c r="AB141" s="324">
        <f>IF(Y141&lt;&gt;0,Y141/Z141,"")</f>
        <v>4.503003003003003</v>
      </c>
      <c r="AC141" s="330">
        <v>0</v>
      </c>
      <c r="AD141" s="326">
        <f t="shared" si="29"/>
      </c>
      <c r="AE141" s="327">
        <f t="shared" si="22"/>
        <v>1761</v>
      </c>
      <c r="AF141" s="323">
        <f t="shared" si="23"/>
        <v>405</v>
      </c>
      <c r="AG141" s="342">
        <v>4760</v>
      </c>
      <c r="AH141" s="343">
        <v>1071</v>
      </c>
      <c r="AI141" s="326">
        <f t="shared" si="24"/>
        <v>0.6218487394957983</v>
      </c>
      <c r="AJ141" s="326">
        <f t="shared" si="25"/>
        <v>0.37815126050420167</v>
      </c>
      <c r="AK141" s="323">
        <f t="shared" si="26"/>
        <v>535.5</v>
      </c>
      <c r="AL141" s="324">
        <f t="shared" si="27"/>
        <v>4.444444444444445</v>
      </c>
      <c r="AM141" s="328"/>
      <c r="AN141" s="326">
        <f t="shared" si="4"/>
      </c>
      <c r="AO141" s="342">
        <v>10964939</v>
      </c>
      <c r="AP141" s="343">
        <v>1176602</v>
      </c>
      <c r="AQ141" s="329">
        <f t="shared" si="28"/>
        <v>9.319157200140744</v>
      </c>
      <c r="AR141" s="297">
        <v>41012</v>
      </c>
      <c r="AS141" s="293"/>
    </row>
    <row r="142" spans="1:45" s="233" customFormat="1" ht="11.25" customHeight="1" hidden="1">
      <c r="A142" s="295"/>
      <c r="B142" s="236"/>
      <c r="C142" s="236" t="s">
        <v>223</v>
      </c>
      <c r="D142" s="236"/>
      <c r="E142" s="236"/>
      <c r="F142" s="236"/>
      <c r="G142" s="236"/>
      <c r="H142" s="236"/>
      <c r="I142" s="236" t="s">
        <v>54</v>
      </c>
      <c r="J142" s="366" t="s">
        <v>140</v>
      </c>
      <c r="K142" s="339"/>
      <c r="L142" s="319"/>
      <c r="M142" s="339" t="s">
        <v>140</v>
      </c>
      <c r="N142" s="370">
        <v>40900</v>
      </c>
      <c r="O142" s="288" t="s">
        <v>68</v>
      </c>
      <c r="P142" s="312">
        <v>197</v>
      </c>
      <c r="Q142" s="312">
        <v>1</v>
      </c>
      <c r="R142" s="312">
        <v>12</v>
      </c>
      <c r="S142" s="325">
        <v>0</v>
      </c>
      <c r="T142" s="355">
        <v>0</v>
      </c>
      <c r="U142" s="325">
        <v>0</v>
      </c>
      <c r="V142" s="355">
        <v>0</v>
      </c>
      <c r="W142" s="325">
        <v>0</v>
      </c>
      <c r="X142" s="355">
        <v>0</v>
      </c>
      <c r="Y142" s="334">
        <f t="shared" si="20"/>
        <v>0</v>
      </c>
      <c r="Z142" s="338">
        <f t="shared" si="21"/>
        <v>0</v>
      </c>
      <c r="AA142" s="323">
        <f>IF(Y142&lt;&gt;0,Z142/Q142,"")</f>
      </c>
      <c r="AB142" s="324">
        <f>IF(Y142&lt;&gt;0,Y142/Z142,"")</f>
      </c>
      <c r="AC142" s="330">
        <v>0</v>
      </c>
      <c r="AD142" s="326">
        <f t="shared" si="29"/>
      </c>
      <c r="AE142" s="327">
        <f t="shared" si="22"/>
        <v>1782</v>
      </c>
      <c r="AF142" s="323">
        <f t="shared" si="23"/>
        <v>356</v>
      </c>
      <c r="AG142" s="328">
        <v>1782</v>
      </c>
      <c r="AH142" s="344">
        <v>356</v>
      </c>
      <c r="AI142" s="326">
        <f t="shared" si="24"/>
        <v>0</v>
      </c>
      <c r="AJ142" s="326">
        <f t="shared" si="25"/>
        <v>1</v>
      </c>
      <c r="AK142" s="323">
        <f t="shared" si="26"/>
        <v>356</v>
      </c>
      <c r="AL142" s="324">
        <f t="shared" si="27"/>
        <v>5.00561797752809</v>
      </c>
      <c r="AM142" s="328"/>
      <c r="AN142" s="326">
        <f t="shared" si="4"/>
      </c>
      <c r="AO142" s="328">
        <f>985836.5+657011.5+454728.5+206461+72029+16105.51+5902+3599+438+1782+3564+1782</f>
        <v>2409239.01</v>
      </c>
      <c r="AP142" s="344">
        <f>106718+73176+50608+29114+10776+3413+1375+639+190+356+712+356</f>
        <v>277433</v>
      </c>
      <c r="AQ142" s="329">
        <f t="shared" si="28"/>
        <v>8.684039065287834</v>
      </c>
      <c r="AR142" s="297">
        <v>41012</v>
      </c>
      <c r="AS142" s="293"/>
    </row>
    <row r="143" spans="1:45" s="233" customFormat="1" ht="11.25" customHeight="1" hidden="1">
      <c r="A143" s="295"/>
      <c r="B143" s="236"/>
      <c r="C143" s="236" t="s">
        <v>223</v>
      </c>
      <c r="D143" s="236"/>
      <c r="E143" s="236"/>
      <c r="F143" s="236"/>
      <c r="G143" s="236"/>
      <c r="H143" s="236" t="s">
        <v>55</v>
      </c>
      <c r="I143" s="236"/>
      <c r="J143" s="366" t="s">
        <v>571</v>
      </c>
      <c r="K143" s="339"/>
      <c r="L143" s="339"/>
      <c r="M143" s="339" t="s">
        <v>572</v>
      </c>
      <c r="N143" s="370">
        <v>40816</v>
      </c>
      <c r="O143" s="288" t="s">
        <v>68</v>
      </c>
      <c r="P143" s="312">
        <v>20</v>
      </c>
      <c r="Q143" s="312">
        <v>1</v>
      </c>
      <c r="R143" s="312">
        <v>13</v>
      </c>
      <c r="S143" s="325">
        <v>0</v>
      </c>
      <c r="T143" s="355">
        <v>0</v>
      </c>
      <c r="U143" s="325">
        <v>0</v>
      </c>
      <c r="V143" s="355">
        <v>0</v>
      </c>
      <c r="W143" s="325">
        <v>0</v>
      </c>
      <c r="X143" s="355">
        <v>0</v>
      </c>
      <c r="Y143" s="334">
        <f t="shared" si="20"/>
        <v>0</v>
      </c>
      <c r="Z143" s="338">
        <f t="shared" si="21"/>
        <v>0</v>
      </c>
      <c r="AA143" s="323"/>
      <c r="AB143" s="324"/>
      <c r="AC143" s="330">
        <v>0</v>
      </c>
      <c r="AD143" s="326">
        <f t="shared" si="29"/>
      </c>
      <c r="AE143" s="327">
        <f t="shared" si="22"/>
        <v>1782</v>
      </c>
      <c r="AF143" s="323">
        <f t="shared" si="23"/>
        <v>356</v>
      </c>
      <c r="AG143" s="328">
        <v>1782</v>
      </c>
      <c r="AH143" s="344">
        <v>356</v>
      </c>
      <c r="AI143" s="326">
        <f t="shared" si="24"/>
        <v>0</v>
      </c>
      <c r="AJ143" s="326">
        <f t="shared" si="25"/>
        <v>1</v>
      </c>
      <c r="AK143" s="323">
        <f t="shared" si="26"/>
        <v>356</v>
      </c>
      <c r="AL143" s="324">
        <f t="shared" si="27"/>
        <v>5.00561797752809</v>
      </c>
      <c r="AM143" s="328"/>
      <c r="AN143" s="326">
        <f t="shared" si="4"/>
      </c>
      <c r="AO143" s="328">
        <f>75142.5+52388.5+8679+971+3899.5+2877+58+4904+58+2376+150+440+1782</f>
        <v>153725.5</v>
      </c>
      <c r="AP143" s="344">
        <f>6131+4590+666+86+328+725+26+1257+26+594+15+63+356</f>
        <v>14863</v>
      </c>
      <c r="AQ143" s="329">
        <f t="shared" si="28"/>
        <v>10.342831191549486</v>
      </c>
      <c r="AR143" s="297">
        <v>41012</v>
      </c>
      <c r="AS143" s="293"/>
    </row>
    <row r="144" spans="1:46" s="233" customFormat="1" ht="11.25" customHeight="1" hidden="1">
      <c r="A144" s="295"/>
      <c r="B144" s="236"/>
      <c r="C144" s="236" t="s">
        <v>223</v>
      </c>
      <c r="D144" s="236"/>
      <c r="E144" s="236"/>
      <c r="F144" s="236"/>
      <c r="G144" s="236"/>
      <c r="H144" s="236"/>
      <c r="I144" s="236"/>
      <c r="J144" s="366" t="s">
        <v>724</v>
      </c>
      <c r="K144" s="312"/>
      <c r="L144" s="319"/>
      <c r="M144" s="339" t="s">
        <v>723</v>
      </c>
      <c r="N144" s="369">
        <v>40725</v>
      </c>
      <c r="O144" s="288" t="s">
        <v>68</v>
      </c>
      <c r="P144" s="312">
        <v>5</v>
      </c>
      <c r="Q144" s="312">
        <v>1</v>
      </c>
      <c r="R144" s="312">
        <v>15</v>
      </c>
      <c r="S144" s="325">
        <v>0</v>
      </c>
      <c r="T144" s="355">
        <v>0</v>
      </c>
      <c r="U144" s="325">
        <v>0</v>
      </c>
      <c r="V144" s="355">
        <v>0</v>
      </c>
      <c r="W144" s="325">
        <v>0</v>
      </c>
      <c r="X144" s="355">
        <v>0</v>
      </c>
      <c r="Y144" s="334">
        <f t="shared" si="20"/>
        <v>0</v>
      </c>
      <c r="Z144" s="338">
        <f t="shared" si="21"/>
        <v>0</v>
      </c>
      <c r="AA144" s="323">
        <f aca="true" t="shared" si="30" ref="AA144:AA155">IF(Y144&lt;&gt;0,Z144/Q144,"")</f>
      </c>
      <c r="AB144" s="324">
        <f aca="true" t="shared" si="31" ref="AB144:AB155">IF(Y144&lt;&gt;0,Y144/Z144,"")</f>
      </c>
      <c r="AC144" s="330">
        <v>0</v>
      </c>
      <c r="AD144" s="326">
        <f t="shared" si="29"/>
      </c>
      <c r="AE144" s="327">
        <f t="shared" si="22"/>
        <v>1782</v>
      </c>
      <c r="AF144" s="323">
        <f t="shared" si="23"/>
        <v>356</v>
      </c>
      <c r="AG144" s="328">
        <v>1782</v>
      </c>
      <c r="AH144" s="344">
        <v>356</v>
      </c>
      <c r="AI144" s="326">
        <f t="shared" si="24"/>
        <v>0</v>
      </c>
      <c r="AJ144" s="326">
        <f t="shared" si="25"/>
        <v>1</v>
      </c>
      <c r="AK144" s="323">
        <f t="shared" si="26"/>
        <v>356</v>
      </c>
      <c r="AL144" s="324">
        <f t="shared" si="27"/>
        <v>5.00561797752809</v>
      </c>
      <c r="AM144" s="328"/>
      <c r="AN144" s="326">
        <f aca="true" t="shared" si="32" ref="AN144:AN207">IF(AM144&lt;&gt;0,-(AM144-AG144)/AM144,"")</f>
      </c>
      <c r="AO144" s="328">
        <f>10816+3994+1279+2322+578+830+1180+2743+123+84+986+423+430+345+1782</f>
        <v>27915</v>
      </c>
      <c r="AP144" s="344">
        <f>727+361+121+270+90+111+287+293+22+14+147+66+71+56+356</f>
        <v>2992</v>
      </c>
      <c r="AQ144" s="329">
        <f t="shared" si="28"/>
        <v>9.329879679144385</v>
      </c>
      <c r="AR144" s="297">
        <v>41012</v>
      </c>
      <c r="AS144" s="293"/>
      <c r="AT144" s="234"/>
    </row>
    <row r="145" spans="1:46" s="233" customFormat="1" ht="11.25" customHeight="1" hidden="1">
      <c r="A145" s="295"/>
      <c r="B145" s="236"/>
      <c r="C145" s="236" t="s">
        <v>223</v>
      </c>
      <c r="D145" s="236"/>
      <c r="E145" s="236"/>
      <c r="F145" s="236"/>
      <c r="G145" s="236"/>
      <c r="H145" s="236"/>
      <c r="I145" s="236"/>
      <c r="J145" s="362" t="s">
        <v>340</v>
      </c>
      <c r="K145" s="312"/>
      <c r="L145" s="341"/>
      <c r="M145" s="341" t="s">
        <v>341</v>
      </c>
      <c r="N145" s="370">
        <v>40851</v>
      </c>
      <c r="O145" s="288" t="s">
        <v>12</v>
      </c>
      <c r="P145" s="312">
        <v>72</v>
      </c>
      <c r="Q145" s="312">
        <v>1</v>
      </c>
      <c r="R145" s="312">
        <v>24</v>
      </c>
      <c r="S145" s="350">
        <v>0</v>
      </c>
      <c r="T145" s="351">
        <v>0</v>
      </c>
      <c r="U145" s="350">
        <v>0</v>
      </c>
      <c r="V145" s="351">
        <v>0</v>
      </c>
      <c r="W145" s="350">
        <v>0</v>
      </c>
      <c r="X145" s="351">
        <v>0</v>
      </c>
      <c r="Y145" s="334">
        <f t="shared" si="20"/>
        <v>0</v>
      </c>
      <c r="Z145" s="338">
        <f t="shared" si="21"/>
        <v>0</v>
      </c>
      <c r="AA145" s="323">
        <f t="shared" si="30"/>
      </c>
      <c r="AB145" s="324">
        <f t="shared" si="31"/>
      </c>
      <c r="AC145" s="330">
        <v>0</v>
      </c>
      <c r="AD145" s="326">
        <f t="shared" si="29"/>
      </c>
      <c r="AE145" s="327">
        <f t="shared" si="22"/>
        <v>1722</v>
      </c>
      <c r="AF145" s="323">
        <f t="shared" si="23"/>
        <v>287</v>
      </c>
      <c r="AG145" s="334">
        <v>1722</v>
      </c>
      <c r="AH145" s="338">
        <v>287</v>
      </c>
      <c r="AI145" s="326">
        <f t="shared" si="24"/>
        <v>0</v>
      </c>
      <c r="AJ145" s="326">
        <f t="shared" si="25"/>
        <v>1</v>
      </c>
      <c r="AK145" s="323">
        <f t="shared" si="26"/>
        <v>287</v>
      </c>
      <c r="AL145" s="324">
        <f t="shared" si="27"/>
        <v>6</v>
      </c>
      <c r="AM145" s="334"/>
      <c r="AN145" s="326">
        <f t="shared" si="32"/>
      </c>
      <c r="AO145" s="334">
        <v>1118096</v>
      </c>
      <c r="AP145" s="338">
        <v>103487</v>
      </c>
      <c r="AQ145" s="329">
        <f t="shared" si="28"/>
        <v>10.804216954786591</v>
      </c>
      <c r="AR145" s="297">
        <v>41012</v>
      </c>
      <c r="AS145" s="293"/>
      <c r="AT145" s="234"/>
    </row>
    <row r="146" spans="1:46" s="233" customFormat="1" ht="11.25" customHeight="1" hidden="1">
      <c r="A146" s="295"/>
      <c r="B146" s="236"/>
      <c r="C146" s="236" t="s">
        <v>223</v>
      </c>
      <c r="D146" s="236" t="s">
        <v>193</v>
      </c>
      <c r="E146" s="236"/>
      <c r="F146" s="293"/>
      <c r="G146" s="236" t="s">
        <v>250</v>
      </c>
      <c r="H146" s="236" t="s">
        <v>55</v>
      </c>
      <c r="I146" s="236"/>
      <c r="J146" s="366" t="s">
        <v>387</v>
      </c>
      <c r="K146" s="339"/>
      <c r="L146" s="339"/>
      <c r="M146" s="339" t="s">
        <v>406</v>
      </c>
      <c r="N146" s="370">
        <v>40697</v>
      </c>
      <c r="O146" s="288" t="s">
        <v>68</v>
      </c>
      <c r="P146" s="312">
        <v>71</v>
      </c>
      <c r="Q146" s="312">
        <v>1</v>
      </c>
      <c r="R146" s="312">
        <v>38</v>
      </c>
      <c r="S146" s="325">
        <v>0</v>
      </c>
      <c r="T146" s="355">
        <v>0</v>
      </c>
      <c r="U146" s="325">
        <v>0</v>
      </c>
      <c r="V146" s="355">
        <v>0</v>
      </c>
      <c r="W146" s="325">
        <v>0</v>
      </c>
      <c r="X146" s="355">
        <v>0</v>
      </c>
      <c r="Y146" s="334">
        <f t="shared" si="20"/>
        <v>0</v>
      </c>
      <c r="Z146" s="338">
        <f t="shared" si="21"/>
        <v>0</v>
      </c>
      <c r="AA146" s="323">
        <f t="shared" si="30"/>
      </c>
      <c r="AB146" s="324">
        <f t="shared" si="31"/>
      </c>
      <c r="AC146" s="330">
        <v>0</v>
      </c>
      <c r="AD146" s="326">
        <f t="shared" si="29"/>
      </c>
      <c r="AE146" s="327">
        <f t="shared" si="22"/>
        <v>1425.5</v>
      </c>
      <c r="AF146" s="323">
        <f t="shared" si="23"/>
        <v>285</v>
      </c>
      <c r="AG146" s="328">
        <v>1425.5</v>
      </c>
      <c r="AH146" s="344">
        <v>285</v>
      </c>
      <c r="AI146" s="326">
        <f t="shared" si="24"/>
        <v>0</v>
      </c>
      <c r="AJ146" s="326">
        <f t="shared" si="25"/>
        <v>1</v>
      </c>
      <c r="AK146" s="323">
        <f t="shared" si="26"/>
        <v>285</v>
      </c>
      <c r="AL146" s="324">
        <f t="shared" si="27"/>
        <v>5.0017543859649125</v>
      </c>
      <c r="AM146" s="328"/>
      <c r="AN146" s="326">
        <f t="shared" si="32"/>
      </c>
      <c r="AO146" s="328">
        <f>204018.5+92011.75+38624.5+27400+22817+12697.5+8373+8455.5+6781+2290+2830+1048+3163+3005+2166+6840+1490+14+6415.5+3721.5+7267.5+3007+701.5+608.5+3931+316+1244+768+1787+1197+7128+1188+3008+2446+1425.5+1425.5+1030.5+1425.5</f>
        <v>494066.25</v>
      </c>
      <c r="AP146" s="344">
        <f>20915+10991+4900+3855+3433+1986+1329+1415+1032+399+409+237+591+657+312+1653+293+7+1605+687+1458+678+106+95+900+62+202+109+514+390+1783+238+720+1164+285+285+199+285</f>
        <v>66179</v>
      </c>
      <c r="AQ146" s="329">
        <f t="shared" si="28"/>
        <v>7.465604648000121</v>
      </c>
      <c r="AR146" s="297">
        <v>41012</v>
      </c>
      <c r="AS146" s="293"/>
      <c r="AT146" s="234"/>
    </row>
    <row r="147" spans="1:45" s="233" customFormat="1" ht="11.25" customHeight="1" hidden="1">
      <c r="A147" s="295"/>
      <c r="B147" s="236"/>
      <c r="C147" s="236" t="s">
        <v>223</v>
      </c>
      <c r="D147" s="236" t="s">
        <v>193</v>
      </c>
      <c r="E147" s="236"/>
      <c r="F147" s="236"/>
      <c r="G147" s="236"/>
      <c r="H147" s="236" t="s">
        <v>55</v>
      </c>
      <c r="I147" s="236"/>
      <c r="J147" s="360" t="s">
        <v>721</v>
      </c>
      <c r="K147" s="312"/>
      <c r="L147" s="341"/>
      <c r="M147" s="341" t="s">
        <v>722</v>
      </c>
      <c r="N147" s="370">
        <v>39843</v>
      </c>
      <c r="O147" s="288" t="s">
        <v>53</v>
      </c>
      <c r="P147" s="312">
        <v>50</v>
      </c>
      <c r="Q147" s="312">
        <v>1</v>
      </c>
      <c r="R147" s="312">
        <v>26</v>
      </c>
      <c r="S147" s="347">
        <v>201</v>
      </c>
      <c r="T147" s="348">
        <v>40</v>
      </c>
      <c r="U147" s="347">
        <v>500</v>
      </c>
      <c r="V147" s="348">
        <v>100</v>
      </c>
      <c r="W147" s="347">
        <v>500</v>
      </c>
      <c r="X147" s="348">
        <v>100</v>
      </c>
      <c r="Y147" s="334">
        <f t="shared" si="20"/>
        <v>1201</v>
      </c>
      <c r="Z147" s="338">
        <f t="shared" si="21"/>
        <v>240</v>
      </c>
      <c r="AA147" s="323">
        <f t="shared" si="30"/>
        <v>240</v>
      </c>
      <c r="AB147" s="324">
        <f t="shared" si="31"/>
        <v>5.004166666666666</v>
      </c>
      <c r="AC147" s="330">
        <v>0</v>
      </c>
      <c r="AD147" s="326">
        <f t="shared" si="29"/>
      </c>
      <c r="AE147" s="327">
        <f t="shared" si="22"/>
        <v>0</v>
      </c>
      <c r="AF147" s="323">
        <f t="shared" si="23"/>
        <v>0</v>
      </c>
      <c r="AG147" s="334">
        <v>1201</v>
      </c>
      <c r="AH147" s="338">
        <v>240</v>
      </c>
      <c r="AI147" s="326">
        <f t="shared" si="24"/>
        <v>1</v>
      </c>
      <c r="AJ147" s="326">
        <f t="shared" si="25"/>
        <v>0</v>
      </c>
      <c r="AK147" s="323">
        <f t="shared" si="26"/>
        <v>240</v>
      </c>
      <c r="AL147" s="324">
        <f t="shared" si="27"/>
        <v>5.004166666666666</v>
      </c>
      <c r="AM147" s="334"/>
      <c r="AN147" s="326">
        <f t="shared" si="32"/>
      </c>
      <c r="AO147" s="334">
        <f>168651.5+46529+10620.5+4304+0.5+12367.5+5085+0.5+811+443+1089+406.5+312+389+3597+510+948+224.5+704+336+20+216+70+45+43+90+16+1201</f>
        <v>259029.5</v>
      </c>
      <c r="AP147" s="338">
        <f>20118+5529+1513+681+2223+920+189+100+201+77+55+67+600+195+369+85+176+67+2+42+14+7+7+16+2+240</f>
        <v>33495</v>
      </c>
      <c r="AQ147" s="329">
        <f t="shared" si="28"/>
        <v>7.733378116136737</v>
      </c>
      <c r="AR147" s="297">
        <v>41012</v>
      </c>
      <c r="AS147" s="293"/>
    </row>
    <row r="148" spans="1:45" s="233" customFormat="1" ht="11.25" customHeight="1" hidden="1">
      <c r="A148" s="295"/>
      <c r="B148" s="293"/>
      <c r="C148" s="236"/>
      <c r="D148" s="236" t="s">
        <v>193</v>
      </c>
      <c r="E148" s="236"/>
      <c r="F148" s="236"/>
      <c r="G148" s="236" t="s">
        <v>250</v>
      </c>
      <c r="H148" s="294"/>
      <c r="I148" s="293"/>
      <c r="J148" s="362" t="s">
        <v>594</v>
      </c>
      <c r="K148" s="319"/>
      <c r="L148" s="312"/>
      <c r="M148" s="288" t="s">
        <v>595</v>
      </c>
      <c r="N148" s="369">
        <v>40977</v>
      </c>
      <c r="O148" s="288" t="s">
        <v>10</v>
      </c>
      <c r="P148" s="312">
        <v>105</v>
      </c>
      <c r="Q148" s="312">
        <v>1</v>
      </c>
      <c r="R148" s="312">
        <v>6</v>
      </c>
      <c r="S148" s="347">
        <v>11</v>
      </c>
      <c r="T148" s="348">
        <v>1</v>
      </c>
      <c r="U148" s="347">
        <v>81</v>
      </c>
      <c r="V148" s="348">
        <v>7</v>
      </c>
      <c r="W148" s="347">
        <v>223</v>
      </c>
      <c r="X148" s="348">
        <v>19</v>
      </c>
      <c r="Y148" s="334">
        <f t="shared" si="20"/>
        <v>315</v>
      </c>
      <c r="Z148" s="338">
        <f t="shared" si="21"/>
        <v>27</v>
      </c>
      <c r="AA148" s="323">
        <f t="shared" si="30"/>
        <v>27</v>
      </c>
      <c r="AB148" s="324">
        <f t="shared" si="31"/>
        <v>11.666666666666666</v>
      </c>
      <c r="AC148" s="325">
        <v>0</v>
      </c>
      <c r="AD148" s="326">
        <f t="shared" si="29"/>
      </c>
      <c r="AE148" s="327">
        <f t="shared" si="22"/>
        <v>577</v>
      </c>
      <c r="AF148" s="323">
        <f t="shared" si="23"/>
        <v>59</v>
      </c>
      <c r="AG148" s="342">
        <v>892</v>
      </c>
      <c r="AH148" s="343">
        <v>86</v>
      </c>
      <c r="AI148" s="326">
        <f t="shared" si="24"/>
        <v>0.313953488372093</v>
      </c>
      <c r="AJ148" s="326">
        <f t="shared" si="25"/>
        <v>0.686046511627907</v>
      </c>
      <c r="AK148" s="323">
        <f t="shared" si="26"/>
        <v>86</v>
      </c>
      <c r="AL148" s="324">
        <f t="shared" si="27"/>
        <v>10.372093023255815</v>
      </c>
      <c r="AM148" s="328"/>
      <c r="AN148" s="326">
        <f t="shared" si="32"/>
      </c>
      <c r="AO148" s="342">
        <v>1833695</v>
      </c>
      <c r="AP148" s="343">
        <v>162056</v>
      </c>
      <c r="AQ148" s="329">
        <f t="shared" si="28"/>
        <v>11.315193513353409</v>
      </c>
      <c r="AR148" s="297">
        <v>41012</v>
      </c>
      <c r="AS148" s="293"/>
    </row>
    <row r="149" spans="1:45" s="233" customFormat="1" ht="11.25" customHeight="1" hidden="1">
      <c r="A149" s="295"/>
      <c r="B149" s="236"/>
      <c r="C149" s="236"/>
      <c r="D149" s="293"/>
      <c r="E149" s="293"/>
      <c r="F149" s="236"/>
      <c r="G149" s="293"/>
      <c r="H149" s="236"/>
      <c r="I149" s="236" t="s">
        <v>54</v>
      </c>
      <c r="J149" s="364" t="s">
        <v>294</v>
      </c>
      <c r="K149" s="312"/>
      <c r="L149" s="288"/>
      <c r="M149" s="340" t="s">
        <v>294</v>
      </c>
      <c r="N149" s="370">
        <v>40914</v>
      </c>
      <c r="O149" s="288" t="s">
        <v>53</v>
      </c>
      <c r="P149" s="346">
        <v>97</v>
      </c>
      <c r="Q149" s="312">
        <v>1</v>
      </c>
      <c r="R149" s="312">
        <v>13</v>
      </c>
      <c r="S149" s="347">
        <v>655</v>
      </c>
      <c r="T149" s="348">
        <v>162</v>
      </c>
      <c r="U149" s="347">
        <v>1043</v>
      </c>
      <c r="V149" s="348">
        <v>256</v>
      </c>
      <c r="W149" s="347">
        <v>1430</v>
      </c>
      <c r="X149" s="348">
        <v>356</v>
      </c>
      <c r="Y149" s="334">
        <f t="shared" si="20"/>
        <v>3128</v>
      </c>
      <c r="Z149" s="338">
        <f t="shared" si="21"/>
        <v>774</v>
      </c>
      <c r="AA149" s="323">
        <f t="shared" si="30"/>
        <v>774</v>
      </c>
      <c r="AB149" s="324">
        <f t="shared" si="31"/>
        <v>4.041343669250646</v>
      </c>
      <c r="AC149" s="330">
        <v>0</v>
      </c>
      <c r="AD149" s="326">
        <f t="shared" si="29"/>
      </c>
      <c r="AE149" s="327">
        <f t="shared" si="22"/>
        <v>-2667</v>
      </c>
      <c r="AF149" s="323">
        <f t="shared" si="23"/>
        <v>-692</v>
      </c>
      <c r="AG149" s="334">
        <v>461</v>
      </c>
      <c r="AH149" s="338">
        <v>82</v>
      </c>
      <c r="AI149" s="326">
        <f t="shared" si="24"/>
        <v>9.439024390243903</v>
      </c>
      <c r="AJ149" s="326">
        <f t="shared" si="25"/>
        <v>-8.439024390243903</v>
      </c>
      <c r="AK149" s="323">
        <f t="shared" si="26"/>
        <v>82</v>
      </c>
      <c r="AL149" s="324">
        <f t="shared" si="27"/>
        <v>5.621951219512195</v>
      </c>
      <c r="AM149" s="334"/>
      <c r="AN149" s="326">
        <f t="shared" si="32"/>
      </c>
      <c r="AO149" s="334">
        <f>216520+198358.5+149589.5+18051.79+5443+2220+114+4171+1835+2260+1129+246+3268+461</f>
        <v>603666.79</v>
      </c>
      <c r="AP149" s="338">
        <f>26831+25025+19383+2440+733+337+19+682+538+754+351+76+802+82</f>
        <v>78053</v>
      </c>
      <c r="AQ149" s="329">
        <f t="shared" si="28"/>
        <v>7.734062624114384</v>
      </c>
      <c r="AR149" s="297">
        <v>41012</v>
      </c>
      <c r="AS149" s="293"/>
    </row>
    <row r="150" spans="1:45" s="233" customFormat="1" ht="11.25" customHeight="1" hidden="1">
      <c r="A150" s="295"/>
      <c r="B150" s="236"/>
      <c r="C150" s="236" t="s">
        <v>223</v>
      </c>
      <c r="D150" s="236"/>
      <c r="E150" s="236"/>
      <c r="F150" s="236"/>
      <c r="G150" s="236"/>
      <c r="H150" s="236"/>
      <c r="I150" s="236" t="s">
        <v>54</v>
      </c>
      <c r="J150" s="366" t="s">
        <v>109</v>
      </c>
      <c r="K150" s="312"/>
      <c r="L150" s="288"/>
      <c r="M150" s="339" t="s">
        <v>109</v>
      </c>
      <c r="N150" s="370">
        <v>40886</v>
      </c>
      <c r="O150" s="288" t="s">
        <v>12</v>
      </c>
      <c r="P150" s="312">
        <v>161</v>
      </c>
      <c r="Q150" s="312">
        <v>1</v>
      </c>
      <c r="R150" s="312">
        <v>18</v>
      </c>
      <c r="S150" s="347">
        <v>85</v>
      </c>
      <c r="T150" s="348">
        <v>15</v>
      </c>
      <c r="U150" s="347">
        <v>85</v>
      </c>
      <c r="V150" s="348">
        <v>15</v>
      </c>
      <c r="W150" s="347">
        <v>85</v>
      </c>
      <c r="X150" s="348">
        <v>15</v>
      </c>
      <c r="Y150" s="334">
        <f t="shared" si="20"/>
        <v>255</v>
      </c>
      <c r="Z150" s="338">
        <f t="shared" si="21"/>
        <v>45</v>
      </c>
      <c r="AA150" s="323">
        <f t="shared" si="30"/>
        <v>45</v>
      </c>
      <c r="AB150" s="324">
        <f t="shared" si="31"/>
        <v>5.666666666666667</v>
      </c>
      <c r="AC150" s="330">
        <v>0</v>
      </c>
      <c r="AD150" s="326">
        <f t="shared" si="29"/>
      </c>
      <c r="AE150" s="327">
        <f t="shared" si="22"/>
        <v>0</v>
      </c>
      <c r="AF150" s="323">
        <f t="shared" si="23"/>
        <v>0</v>
      </c>
      <c r="AG150" s="334">
        <v>255</v>
      </c>
      <c r="AH150" s="338">
        <v>45</v>
      </c>
      <c r="AI150" s="326">
        <f t="shared" si="24"/>
        <v>1</v>
      </c>
      <c r="AJ150" s="326">
        <f t="shared" si="25"/>
        <v>0</v>
      </c>
      <c r="AK150" s="323">
        <f t="shared" si="26"/>
        <v>45</v>
      </c>
      <c r="AL150" s="324">
        <f t="shared" si="27"/>
        <v>5.666666666666667</v>
      </c>
      <c r="AM150" s="334"/>
      <c r="AN150" s="326">
        <f t="shared" si="32"/>
      </c>
      <c r="AO150" s="334">
        <v>886423</v>
      </c>
      <c r="AP150" s="338">
        <v>108395</v>
      </c>
      <c r="AQ150" s="329">
        <f t="shared" si="28"/>
        <v>8.17771114903824</v>
      </c>
      <c r="AR150" s="297">
        <v>41012</v>
      </c>
      <c r="AS150" s="293"/>
    </row>
    <row r="151" spans="1:45" s="233" customFormat="1" ht="11.25" customHeight="1" hidden="1">
      <c r="A151" s="295"/>
      <c r="B151" s="236"/>
      <c r="C151" s="236" t="s">
        <v>223</v>
      </c>
      <c r="D151" s="236"/>
      <c r="E151" s="236"/>
      <c r="F151" s="236"/>
      <c r="G151" s="236"/>
      <c r="H151" s="236"/>
      <c r="I151" s="236" t="s">
        <v>54</v>
      </c>
      <c r="J151" s="366" t="s">
        <v>696</v>
      </c>
      <c r="K151" s="288"/>
      <c r="L151" s="288"/>
      <c r="M151" s="339" t="s">
        <v>696</v>
      </c>
      <c r="N151" s="370">
        <v>40830</v>
      </c>
      <c r="O151" s="288" t="s">
        <v>68</v>
      </c>
      <c r="P151" s="312">
        <v>20</v>
      </c>
      <c r="Q151" s="312">
        <v>1</v>
      </c>
      <c r="R151" s="312">
        <v>10</v>
      </c>
      <c r="S151" s="325">
        <v>0</v>
      </c>
      <c r="T151" s="355">
        <v>0</v>
      </c>
      <c r="U151" s="325">
        <v>0</v>
      </c>
      <c r="V151" s="355">
        <v>0</v>
      </c>
      <c r="W151" s="325">
        <v>0</v>
      </c>
      <c r="X151" s="355">
        <v>0</v>
      </c>
      <c r="Y151" s="334">
        <f t="shared" si="20"/>
        <v>0</v>
      </c>
      <c r="Z151" s="338">
        <f t="shared" si="21"/>
        <v>0</v>
      </c>
      <c r="AA151" s="323">
        <f t="shared" si="30"/>
      </c>
      <c r="AB151" s="324">
        <f t="shared" si="31"/>
      </c>
      <c r="AC151" s="334">
        <v>0</v>
      </c>
      <c r="AD151" s="326">
        <f t="shared" si="29"/>
      </c>
      <c r="AE151" s="327">
        <f t="shared" si="22"/>
        <v>118</v>
      </c>
      <c r="AF151" s="323">
        <f t="shared" si="23"/>
        <v>12</v>
      </c>
      <c r="AG151" s="328">
        <v>118</v>
      </c>
      <c r="AH151" s="344">
        <v>12</v>
      </c>
      <c r="AI151" s="326">
        <f t="shared" si="24"/>
        <v>0</v>
      </c>
      <c r="AJ151" s="326">
        <f t="shared" si="25"/>
        <v>1</v>
      </c>
      <c r="AK151" s="323">
        <f t="shared" si="26"/>
        <v>12</v>
      </c>
      <c r="AL151" s="324">
        <f t="shared" si="27"/>
        <v>9.833333333333334</v>
      </c>
      <c r="AM151" s="328"/>
      <c r="AN151" s="326">
        <f t="shared" si="32"/>
      </c>
      <c r="AO151" s="328">
        <f>26768+13515+1530.5+2017+657+1806.5+358+1117+976+118</f>
        <v>48863</v>
      </c>
      <c r="AP151" s="344">
        <f>3002+1672+228+433+100+551+82+193+144+12</f>
        <v>6417</v>
      </c>
      <c r="AQ151" s="329">
        <f t="shared" si="28"/>
        <v>7.61461742247156</v>
      </c>
      <c r="AR151" s="297">
        <v>41012</v>
      </c>
      <c r="AS151" s="293"/>
    </row>
    <row r="152" spans="1:45" s="233" customFormat="1" ht="11.25" customHeight="1" hidden="1">
      <c r="A152" s="295"/>
      <c r="B152" s="236"/>
      <c r="C152" s="236" t="s">
        <v>223</v>
      </c>
      <c r="D152" s="236"/>
      <c r="E152" s="236">
        <v>3</v>
      </c>
      <c r="F152" s="236"/>
      <c r="G152" s="236"/>
      <c r="H152" s="236"/>
      <c r="I152" s="236"/>
      <c r="J152" s="361" t="s">
        <v>72</v>
      </c>
      <c r="K152" s="312"/>
      <c r="L152" s="353"/>
      <c r="M152" s="312" t="s">
        <v>166</v>
      </c>
      <c r="N152" s="370">
        <v>40858</v>
      </c>
      <c r="O152" s="288" t="s">
        <v>8</v>
      </c>
      <c r="P152" s="312">
        <v>132</v>
      </c>
      <c r="Q152" s="312">
        <v>1</v>
      </c>
      <c r="R152" s="312">
        <v>17</v>
      </c>
      <c r="S152" s="347">
        <v>0</v>
      </c>
      <c r="T152" s="348">
        <v>0</v>
      </c>
      <c r="U152" s="347">
        <v>32</v>
      </c>
      <c r="V152" s="348">
        <v>5</v>
      </c>
      <c r="W152" s="347">
        <v>37</v>
      </c>
      <c r="X152" s="348">
        <v>6</v>
      </c>
      <c r="Y152" s="334">
        <f t="shared" si="20"/>
        <v>69</v>
      </c>
      <c r="Z152" s="338">
        <f t="shared" si="21"/>
        <v>11</v>
      </c>
      <c r="AA152" s="323">
        <f t="shared" si="30"/>
        <v>11</v>
      </c>
      <c r="AB152" s="324">
        <f t="shared" si="31"/>
        <v>6.2727272727272725</v>
      </c>
      <c r="AC152" s="330">
        <v>0</v>
      </c>
      <c r="AD152" s="326">
        <f t="shared" si="29"/>
      </c>
      <c r="AE152" s="327">
        <f t="shared" si="22"/>
        <v>30</v>
      </c>
      <c r="AF152" s="323">
        <f t="shared" si="23"/>
        <v>5</v>
      </c>
      <c r="AG152" s="342">
        <v>99</v>
      </c>
      <c r="AH152" s="343">
        <v>16</v>
      </c>
      <c r="AI152" s="326">
        <f t="shared" si="24"/>
        <v>0.6875</v>
      </c>
      <c r="AJ152" s="326">
        <f t="shared" si="25"/>
        <v>0.3125</v>
      </c>
      <c r="AK152" s="323">
        <f t="shared" si="26"/>
        <v>16</v>
      </c>
      <c r="AL152" s="324">
        <f t="shared" si="27"/>
        <v>6.1875</v>
      </c>
      <c r="AM152" s="334"/>
      <c r="AN152" s="326">
        <f t="shared" si="32"/>
      </c>
      <c r="AO152" s="347">
        <v>6014993</v>
      </c>
      <c r="AP152" s="348">
        <v>541433</v>
      </c>
      <c r="AQ152" s="329">
        <f t="shared" si="28"/>
        <v>11.109394883577469</v>
      </c>
      <c r="AR152" s="297">
        <v>41012</v>
      </c>
      <c r="AS152" s="293"/>
    </row>
    <row r="153" spans="1:45" s="233" customFormat="1" ht="11.25" customHeight="1" hidden="1">
      <c r="A153" s="295"/>
      <c r="B153" s="236"/>
      <c r="C153" s="236"/>
      <c r="D153" s="236"/>
      <c r="E153" s="236"/>
      <c r="F153" s="236"/>
      <c r="G153" s="236"/>
      <c r="H153" s="236"/>
      <c r="I153" s="236" t="s">
        <v>54</v>
      </c>
      <c r="J153" s="362" t="s">
        <v>304</v>
      </c>
      <c r="K153" s="312"/>
      <c r="L153" s="319"/>
      <c r="M153" s="341" t="s">
        <v>304</v>
      </c>
      <c r="N153" s="370">
        <v>40914</v>
      </c>
      <c r="O153" s="288" t="s">
        <v>12</v>
      </c>
      <c r="P153" s="312">
        <v>204</v>
      </c>
      <c r="Q153" s="312">
        <v>1</v>
      </c>
      <c r="R153" s="312">
        <v>14</v>
      </c>
      <c r="S153" s="347">
        <v>0</v>
      </c>
      <c r="T153" s="348">
        <v>0</v>
      </c>
      <c r="U153" s="347">
        <v>38</v>
      </c>
      <c r="V153" s="348">
        <v>7</v>
      </c>
      <c r="W153" s="347">
        <v>22</v>
      </c>
      <c r="X153" s="348">
        <v>4</v>
      </c>
      <c r="Y153" s="334">
        <f t="shared" si="20"/>
        <v>60</v>
      </c>
      <c r="Z153" s="338">
        <f t="shared" si="21"/>
        <v>11</v>
      </c>
      <c r="AA153" s="323">
        <f t="shared" si="30"/>
        <v>11</v>
      </c>
      <c r="AB153" s="324">
        <f t="shared" si="31"/>
        <v>5.454545454545454</v>
      </c>
      <c r="AC153" s="330">
        <v>0</v>
      </c>
      <c r="AD153" s="326">
        <f t="shared" si="29"/>
      </c>
      <c r="AE153" s="327">
        <f t="shared" si="22"/>
        <v>0</v>
      </c>
      <c r="AF153" s="323">
        <f t="shared" si="23"/>
        <v>0</v>
      </c>
      <c r="AG153" s="334">
        <v>60</v>
      </c>
      <c r="AH153" s="338">
        <v>11</v>
      </c>
      <c r="AI153" s="326">
        <f t="shared" si="24"/>
        <v>1</v>
      </c>
      <c r="AJ153" s="326">
        <f t="shared" si="25"/>
        <v>0</v>
      </c>
      <c r="AK153" s="323">
        <f t="shared" si="26"/>
        <v>11</v>
      </c>
      <c r="AL153" s="324">
        <f t="shared" si="27"/>
        <v>5.454545454545454</v>
      </c>
      <c r="AM153" s="334"/>
      <c r="AN153" s="326">
        <f t="shared" si="32"/>
      </c>
      <c r="AO153" s="347">
        <v>5368985</v>
      </c>
      <c r="AP153" s="348">
        <v>580479</v>
      </c>
      <c r="AQ153" s="329">
        <f t="shared" si="28"/>
        <v>9.249232099696975</v>
      </c>
      <c r="AR153" s="297">
        <v>41012</v>
      </c>
      <c r="AS153" s="293"/>
    </row>
    <row r="154" spans="1:45" s="233" customFormat="1" ht="11.25" customHeight="1" hidden="1">
      <c r="A154" s="295"/>
      <c r="B154" s="236"/>
      <c r="C154" s="236" t="s">
        <v>223</v>
      </c>
      <c r="D154" s="236"/>
      <c r="E154" s="236"/>
      <c r="F154" s="236"/>
      <c r="G154" s="236"/>
      <c r="H154" s="236"/>
      <c r="I154" s="236"/>
      <c r="J154" s="361" t="s">
        <v>586</v>
      </c>
      <c r="K154" s="312"/>
      <c r="L154" s="319"/>
      <c r="M154" s="288" t="s">
        <v>587</v>
      </c>
      <c r="N154" s="370">
        <v>40922</v>
      </c>
      <c r="O154" s="288" t="s">
        <v>289</v>
      </c>
      <c r="P154" s="312">
        <v>7</v>
      </c>
      <c r="Q154" s="312">
        <v>2</v>
      </c>
      <c r="R154" s="312">
        <v>14</v>
      </c>
      <c r="S154" s="334">
        <v>0</v>
      </c>
      <c r="T154" s="338">
        <v>0</v>
      </c>
      <c r="U154" s="334">
        <v>0</v>
      </c>
      <c r="V154" s="338">
        <v>0</v>
      </c>
      <c r="W154" s="334">
        <v>0</v>
      </c>
      <c r="X154" s="338">
        <v>0</v>
      </c>
      <c r="Y154" s="334">
        <f t="shared" si="20"/>
        <v>0</v>
      </c>
      <c r="Z154" s="338">
        <f t="shared" si="21"/>
        <v>0</v>
      </c>
      <c r="AA154" s="323">
        <f t="shared" si="30"/>
      </c>
      <c r="AB154" s="324">
        <f t="shared" si="31"/>
      </c>
      <c r="AC154" s="334">
        <v>0</v>
      </c>
      <c r="AD154" s="326">
        <f t="shared" si="29"/>
      </c>
      <c r="AE154" s="327">
        <f t="shared" si="22"/>
        <v>2376</v>
      </c>
      <c r="AF154" s="323">
        <f t="shared" si="23"/>
        <v>476</v>
      </c>
      <c r="AG154" s="334">
        <v>2376</v>
      </c>
      <c r="AH154" s="338">
        <v>476</v>
      </c>
      <c r="AI154" s="326">
        <f t="shared" si="24"/>
        <v>0</v>
      </c>
      <c r="AJ154" s="326">
        <f t="shared" si="25"/>
        <v>1</v>
      </c>
      <c r="AK154" s="323">
        <f t="shared" si="26"/>
        <v>238</v>
      </c>
      <c r="AL154" s="324">
        <f t="shared" si="27"/>
        <v>4.991596638655462</v>
      </c>
      <c r="AM154" s="334"/>
      <c r="AN154" s="326">
        <f t="shared" si="32"/>
      </c>
      <c r="AO154" s="334">
        <v>110985</v>
      </c>
      <c r="AP154" s="338">
        <v>9370</v>
      </c>
      <c r="AQ154" s="329">
        <f t="shared" si="28"/>
        <v>11.844717182497332</v>
      </c>
      <c r="AR154" s="297">
        <v>41005</v>
      </c>
      <c r="AS154" s="293"/>
    </row>
    <row r="155" spans="1:45" s="233" customFormat="1" ht="11.25" customHeight="1" hidden="1">
      <c r="A155" s="295"/>
      <c r="B155" s="236"/>
      <c r="C155" s="236"/>
      <c r="D155" s="236" t="s">
        <v>193</v>
      </c>
      <c r="E155" s="236"/>
      <c r="F155" s="236"/>
      <c r="G155" s="236"/>
      <c r="H155" s="236"/>
      <c r="I155" s="236"/>
      <c r="J155" s="364" t="s">
        <v>301</v>
      </c>
      <c r="K155" s="312" t="s">
        <v>866</v>
      </c>
      <c r="L155" s="319" t="s">
        <v>85</v>
      </c>
      <c r="M155" s="340" t="s">
        <v>307</v>
      </c>
      <c r="N155" s="369">
        <v>40914</v>
      </c>
      <c r="O155" s="288" t="s">
        <v>68</v>
      </c>
      <c r="P155" s="312">
        <v>56</v>
      </c>
      <c r="Q155" s="312">
        <v>1</v>
      </c>
      <c r="R155" s="312">
        <v>12</v>
      </c>
      <c r="S155" s="325">
        <v>0</v>
      </c>
      <c r="T155" s="355">
        <v>0</v>
      </c>
      <c r="U155" s="325">
        <v>0</v>
      </c>
      <c r="V155" s="355">
        <v>0</v>
      </c>
      <c r="W155" s="325">
        <v>0</v>
      </c>
      <c r="X155" s="355">
        <v>0</v>
      </c>
      <c r="Y155" s="334">
        <f t="shared" si="20"/>
        <v>0</v>
      </c>
      <c r="Z155" s="338">
        <f t="shared" si="21"/>
        <v>0</v>
      </c>
      <c r="AA155" s="323">
        <f t="shared" si="30"/>
      </c>
      <c r="AB155" s="324">
        <f t="shared" si="31"/>
      </c>
      <c r="AC155" s="330">
        <v>0</v>
      </c>
      <c r="AD155" s="326">
        <f t="shared" si="29"/>
      </c>
      <c r="AE155" s="327">
        <f t="shared" si="22"/>
        <v>1782</v>
      </c>
      <c r="AF155" s="323">
        <f t="shared" si="23"/>
        <v>356</v>
      </c>
      <c r="AG155" s="328">
        <v>1782</v>
      </c>
      <c r="AH155" s="344">
        <v>356</v>
      </c>
      <c r="AI155" s="326">
        <f t="shared" si="24"/>
        <v>0</v>
      </c>
      <c r="AJ155" s="326">
        <f t="shared" si="25"/>
        <v>1</v>
      </c>
      <c r="AK155" s="323">
        <f t="shared" si="26"/>
        <v>356</v>
      </c>
      <c r="AL155" s="324">
        <f t="shared" si="27"/>
        <v>5.00561797752809</v>
      </c>
      <c r="AM155" s="328"/>
      <c r="AN155" s="326">
        <f t="shared" si="32"/>
      </c>
      <c r="AO155" s="328">
        <f>212792+161708.5+190927+56533.48+39859.88+22564.8+12520.5+1707.5+187+1782+3292.5+1782</f>
        <v>705657.16</v>
      </c>
      <c r="AP155" s="344">
        <f>19942+16687+19909+5952+4552+2963+2467+206+32+356+581+356</f>
        <v>74003</v>
      </c>
      <c r="AQ155" s="329">
        <f t="shared" si="28"/>
        <v>9.5355209923922</v>
      </c>
      <c r="AR155" s="297">
        <v>41005</v>
      </c>
      <c r="AS155" s="293"/>
    </row>
    <row r="156" spans="1:45" s="233" customFormat="1" ht="11.25" customHeight="1" hidden="1">
      <c r="A156" s="295"/>
      <c r="B156" s="293"/>
      <c r="C156" s="236" t="s">
        <v>223</v>
      </c>
      <c r="D156" s="293"/>
      <c r="E156" s="293"/>
      <c r="F156" s="236"/>
      <c r="G156" s="236"/>
      <c r="H156" s="236"/>
      <c r="I156" s="236"/>
      <c r="J156" s="366" t="s">
        <v>652</v>
      </c>
      <c r="K156" s="288" t="s">
        <v>703</v>
      </c>
      <c r="L156" s="288" t="s">
        <v>867</v>
      </c>
      <c r="M156" s="340" t="s">
        <v>654</v>
      </c>
      <c r="N156" s="370">
        <v>40774</v>
      </c>
      <c r="O156" s="288" t="s">
        <v>68</v>
      </c>
      <c r="P156" s="340">
        <v>25</v>
      </c>
      <c r="Q156" s="312">
        <v>1</v>
      </c>
      <c r="R156" s="312">
        <v>13</v>
      </c>
      <c r="S156" s="325">
        <v>0</v>
      </c>
      <c r="T156" s="355">
        <v>0</v>
      </c>
      <c r="U156" s="325">
        <v>0</v>
      </c>
      <c r="V156" s="355">
        <v>0</v>
      </c>
      <c r="W156" s="325">
        <v>0</v>
      </c>
      <c r="X156" s="355">
        <v>0</v>
      </c>
      <c r="Y156" s="334">
        <f t="shared" si="20"/>
        <v>0</v>
      </c>
      <c r="Z156" s="338">
        <f t="shared" si="21"/>
        <v>0</v>
      </c>
      <c r="AA156" s="323"/>
      <c r="AB156" s="324"/>
      <c r="AC156" s="330">
        <v>0</v>
      </c>
      <c r="AD156" s="326">
        <f t="shared" si="29"/>
      </c>
      <c r="AE156" s="327">
        <f t="shared" si="22"/>
        <v>1425.5</v>
      </c>
      <c r="AF156" s="323">
        <f t="shared" si="23"/>
        <v>285</v>
      </c>
      <c r="AG156" s="328">
        <v>1425.5</v>
      </c>
      <c r="AH156" s="344">
        <v>285</v>
      </c>
      <c r="AI156" s="326">
        <f t="shared" si="24"/>
        <v>0</v>
      </c>
      <c r="AJ156" s="326">
        <f t="shared" si="25"/>
        <v>1</v>
      </c>
      <c r="AK156" s="323">
        <f t="shared" si="26"/>
        <v>285</v>
      </c>
      <c r="AL156" s="324">
        <f t="shared" si="27"/>
        <v>5.0017543859649125</v>
      </c>
      <c r="AM156" s="328"/>
      <c r="AN156" s="326">
        <f t="shared" si="32"/>
      </c>
      <c r="AO156" s="328">
        <f>71665+23168+6045+9867+5511.5+7115.5+3954.5+6872+2674+324+1001+1425.5+1425.5</f>
        <v>141048.5</v>
      </c>
      <c r="AP156" s="344">
        <f>5766+2127+747+1564+727+1254+590+980+592+25+143+285+285</f>
        <v>15085</v>
      </c>
      <c r="AQ156" s="329">
        <f t="shared" si="28"/>
        <v>9.350248591315877</v>
      </c>
      <c r="AR156" s="297">
        <v>41005</v>
      </c>
      <c r="AS156" s="293"/>
    </row>
    <row r="157" spans="1:45" s="233" customFormat="1" ht="11.25" customHeight="1" hidden="1">
      <c r="A157" s="295"/>
      <c r="B157" s="236"/>
      <c r="C157" s="236" t="s">
        <v>223</v>
      </c>
      <c r="D157" s="236"/>
      <c r="E157" s="236"/>
      <c r="F157" s="236"/>
      <c r="G157" s="236"/>
      <c r="H157" s="236"/>
      <c r="I157" s="236"/>
      <c r="J157" s="366" t="s">
        <v>528</v>
      </c>
      <c r="K157" s="312" t="s">
        <v>330</v>
      </c>
      <c r="L157" s="288" t="s">
        <v>120</v>
      </c>
      <c r="M157" s="339" t="s">
        <v>537</v>
      </c>
      <c r="N157" s="370">
        <v>40893</v>
      </c>
      <c r="O157" s="288" t="s">
        <v>68</v>
      </c>
      <c r="P157" s="312">
        <v>1</v>
      </c>
      <c r="Q157" s="312">
        <v>1</v>
      </c>
      <c r="R157" s="312">
        <v>6</v>
      </c>
      <c r="S157" s="325">
        <v>0</v>
      </c>
      <c r="T157" s="355">
        <v>0</v>
      </c>
      <c r="U157" s="325">
        <v>0</v>
      </c>
      <c r="V157" s="355">
        <v>0</v>
      </c>
      <c r="W157" s="325">
        <v>0</v>
      </c>
      <c r="X157" s="355">
        <v>0</v>
      </c>
      <c r="Y157" s="334">
        <f t="shared" si="20"/>
        <v>0</v>
      </c>
      <c r="Z157" s="338">
        <f t="shared" si="21"/>
        <v>0</v>
      </c>
      <c r="AA157" s="323"/>
      <c r="AB157" s="324"/>
      <c r="AC157" s="330">
        <v>0</v>
      </c>
      <c r="AD157" s="326">
        <f t="shared" si="29"/>
      </c>
      <c r="AE157" s="327">
        <f t="shared" si="22"/>
        <v>1425.5</v>
      </c>
      <c r="AF157" s="323">
        <f t="shared" si="23"/>
        <v>285</v>
      </c>
      <c r="AG157" s="328">
        <v>1425.5</v>
      </c>
      <c r="AH157" s="344">
        <v>285</v>
      </c>
      <c r="AI157" s="326">
        <f t="shared" si="24"/>
        <v>0</v>
      </c>
      <c r="AJ157" s="326">
        <f t="shared" si="25"/>
        <v>1</v>
      </c>
      <c r="AK157" s="323">
        <f t="shared" si="26"/>
        <v>285</v>
      </c>
      <c r="AL157" s="324">
        <f t="shared" si="27"/>
        <v>5.0017543859649125</v>
      </c>
      <c r="AM157" s="328"/>
      <c r="AN157" s="326">
        <f t="shared" si="32"/>
      </c>
      <c r="AO157" s="328">
        <f>1021.5+726.5+3207.5+938+1425.5+1425.5</f>
        <v>8744.5</v>
      </c>
      <c r="AP157" s="344">
        <f>71+52+642+93+285+285</f>
        <v>1428</v>
      </c>
      <c r="AQ157" s="329">
        <f t="shared" si="28"/>
        <v>6.12359943977591</v>
      </c>
      <c r="AR157" s="297">
        <v>41005</v>
      </c>
      <c r="AS157" s="293"/>
    </row>
    <row r="158" spans="1:45" s="233" customFormat="1" ht="11.25" customHeight="1" hidden="1">
      <c r="A158" s="295"/>
      <c r="B158" s="236"/>
      <c r="C158" s="236" t="s">
        <v>223</v>
      </c>
      <c r="D158" s="236"/>
      <c r="E158" s="236">
        <v>3</v>
      </c>
      <c r="F158" s="236"/>
      <c r="G158" s="236"/>
      <c r="H158" s="236"/>
      <c r="I158" s="236"/>
      <c r="J158" s="366" t="s">
        <v>236</v>
      </c>
      <c r="K158" s="312" t="s">
        <v>868</v>
      </c>
      <c r="L158" s="353" t="s">
        <v>92</v>
      </c>
      <c r="M158" s="339" t="s">
        <v>246</v>
      </c>
      <c r="N158" s="370">
        <v>40830</v>
      </c>
      <c r="O158" s="288" t="s">
        <v>68</v>
      </c>
      <c r="P158" s="312">
        <v>98</v>
      </c>
      <c r="Q158" s="312">
        <v>2</v>
      </c>
      <c r="R158" s="312">
        <v>15</v>
      </c>
      <c r="S158" s="325">
        <v>0</v>
      </c>
      <c r="T158" s="355">
        <v>0</v>
      </c>
      <c r="U158" s="325">
        <v>0</v>
      </c>
      <c r="V158" s="355">
        <v>0</v>
      </c>
      <c r="W158" s="325">
        <v>0</v>
      </c>
      <c r="X158" s="355">
        <v>0</v>
      </c>
      <c r="Y158" s="334">
        <f t="shared" si="20"/>
        <v>0</v>
      </c>
      <c r="Z158" s="338">
        <f t="shared" si="21"/>
        <v>0</v>
      </c>
      <c r="AA158" s="323">
        <f>IF(Y158&lt;&gt;0,Z158/Q158,"")</f>
      </c>
      <c r="AB158" s="324">
        <f>IF(Y158&lt;&gt;0,Y158/Z158,"")</f>
      </c>
      <c r="AC158" s="330">
        <v>0</v>
      </c>
      <c r="AD158" s="326">
        <f t="shared" si="29"/>
      </c>
      <c r="AE158" s="327">
        <f t="shared" si="22"/>
        <v>1321.5</v>
      </c>
      <c r="AF158" s="323">
        <f t="shared" si="23"/>
        <v>363</v>
      </c>
      <c r="AG158" s="328">
        <v>1321.5</v>
      </c>
      <c r="AH158" s="344">
        <v>363</v>
      </c>
      <c r="AI158" s="326">
        <f t="shared" si="24"/>
        <v>0</v>
      </c>
      <c r="AJ158" s="326">
        <f t="shared" si="25"/>
        <v>1</v>
      </c>
      <c r="AK158" s="323">
        <f t="shared" si="26"/>
        <v>181.5</v>
      </c>
      <c r="AL158" s="324">
        <f t="shared" si="27"/>
        <v>3.6404958677685952</v>
      </c>
      <c r="AM158" s="328"/>
      <c r="AN158" s="326">
        <f t="shared" si="32"/>
      </c>
      <c r="AO158" s="328">
        <f>573965.5+340647.5+298149+37925.5+16221+796+1713.5+3994+1930+1403+3582+6668.5+488+3207.5+1321.5</f>
        <v>1292012.5</v>
      </c>
      <c r="AP158" s="344">
        <f>50953+31140+27249+4634+2655+127+438+632+617+597+1015+1646+70+641+363</f>
        <v>122777</v>
      </c>
      <c r="AQ158" s="329">
        <f t="shared" si="28"/>
        <v>10.52324539612468</v>
      </c>
      <c r="AR158" s="297">
        <v>41005</v>
      </c>
      <c r="AS158" s="293"/>
    </row>
    <row r="159" spans="1:45" s="233" customFormat="1" ht="11.25" customHeight="1" hidden="1">
      <c r="A159" s="295"/>
      <c r="B159" s="236"/>
      <c r="C159" s="236" t="s">
        <v>223</v>
      </c>
      <c r="D159" s="236"/>
      <c r="E159" s="236"/>
      <c r="F159" s="236"/>
      <c r="G159" s="236"/>
      <c r="H159" s="236"/>
      <c r="I159" s="236"/>
      <c r="J159" s="361" t="s">
        <v>704</v>
      </c>
      <c r="K159" s="288"/>
      <c r="L159" s="288"/>
      <c r="M159" s="288" t="s">
        <v>702</v>
      </c>
      <c r="N159" s="370">
        <v>40543</v>
      </c>
      <c r="O159" s="288" t="s">
        <v>289</v>
      </c>
      <c r="P159" s="312">
        <v>2</v>
      </c>
      <c r="Q159" s="312">
        <v>1</v>
      </c>
      <c r="R159" s="312">
        <v>14</v>
      </c>
      <c r="S159" s="334">
        <v>0</v>
      </c>
      <c r="T159" s="338">
        <v>0</v>
      </c>
      <c r="U159" s="334">
        <v>0</v>
      </c>
      <c r="V159" s="338">
        <v>0</v>
      </c>
      <c r="W159" s="334">
        <v>0</v>
      </c>
      <c r="X159" s="338">
        <v>0</v>
      </c>
      <c r="Y159" s="334">
        <f t="shared" si="20"/>
        <v>0</v>
      </c>
      <c r="Z159" s="338">
        <f t="shared" si="21"/>
        <v>0</v>
      </c>
      <c r="AA159" s="323"/>
      <c r="AB159" s="324"/>
      <c r="AC159" s="334">
        <v>0</v>
      </c>
      <c r="AD159" s="326">
        <f t="shared" si="29"/>
      </c>
      <c r="AE159" s="327">
        <f t="shared" si="22"/>
        <v>1188</v>
      </c>
      <c r="AF159" s="323">
        <f t="shared" si="23"/>
        <v>238</v>
      </c>
      <c r="AG159" s="334">
        <v>1188</v>
      </c>
      <c r="AH159" s="338">
        <v>238</v>
      </c>
      <c r="AI159" s="326">
        <f t="shared" si="24"/>
        <v>0</v>
      </c>
      <c r="AJ159" s="326">
        <f t="shared" si="25"/>
        <v>1</v>
      </c>
      <c r="AK159" s="323">
        <f t="shared" si="26"/>
        <v>238</v>
      </c>
      <c r="AL159" s="324">
        <f t="shared" si="27"/>
        <v>4.991596638655462</v>
      </c>
      <c r="AM159" s="334"/>
      <c r="AN159" s="326">
        <f t="shared" si="32"/>
      </c>
      <c r="AO159" s="334">
        <v>70801.5</v>
      </c>
      <c r="AP159" s="338">
        <v>5878</v>
      </c>
      <c r="AQ159" s="329">
        <f t="shared" si="28"/>
        <v>12.045168424634229</v>
      </c>
      <c r="AR159" s="297">
        <v>41005</v>
      </c>
      <c r="AS159" s="293"/>
    </row>
    <row r="160" spans="1:45" s="233" customFormat="1" ht="11.25" customHeight="1" hidden="1">
      <c r="A160" s="295"/>
      <c r="B160" s="236"/>
      <c r="C160" s="236" t="s">
        <v>223</v>
      </c>
      <c r="D160" s="236"/>
      <c r="E160" s="236"/>
      <c r="F160" s="236"/>
      <c r="G160" s="236"/>
      <c r="H160" s="236"/>
      <c r="I160" s="236"/>
      <c r="J160" s="361" t="s">
        <v>700</v>
      </c>
      <c r="K160" s="339"/>
      <c r="L160" s="319"/>
      <c r="M160" s="288" t="s">
        <v>706</v>
      </c>
      <c r="N160" s="370">
        <v>40669</v>
      </c>
      <c r="O160" s="288" t="s">
        <v>289</v>
      </c>
      <c r="P160" s="312">
        <v>10</v>
      </c>
      <c r="Q160" s="312">
        <v>1</v>
      </c>
      <c r="R160" s="312">
        <v>12</v>
      </c>
      <c r="S160" s="334">
        <v>0</v>
      </c>
      <c r="T160" s="338">
        <v>0</v>
      </c>
      <c r="U160" s="334">
        <v>0</v>
      </c>
      <c r="V160" s="338">
        <v>0</v>
      </c>
      <c r="W160" s="334">
        <v>0</v>
      </c>
      <c r="X160" s="338">
        <v>0</v>
      </c>
      <c r="Y160" s="334">
        <f t="shared" si="20"/>
        <v>0</v>
      </c>
      <c r="Z160" s="338">
        <f t="shared" si="21"/>
        <v>0</v>
      </c>
      <c r="AA160" s="323"/>
      <c r="AB160" s="324"/>
      <c r="AC160" s="334">
        <v>0</v>
      </c>
      <c r="AD160" s="326">
        <f t="shared" si="29"/>
      </c>
      <c r="AE160" s="327">
        <f t="shared" si="22"/>
        <v>1188</v>
      </c>
      <c r="AF160" s="323">
        <f t="shared" si="23"/>
        <v>238</v>
      </c>
      <c r="AG160" s="334">
        <v>1188</v>
      </c>
      <c r="AH160" s="338">
        <v>238</v>
      </c>
      <c r="AI160" s="326">
        <f t="shared" si="24"/>
        <v>0</v>
      </c>
      <c r="AJ160" s="326">
        <f t="shared" si="25"/>
        <v>1</v>
      </c>
      <c r="AK160" s="323">
        <f t="shared" si="26"/>
        <v>238</v>
      </c>
      <c r="AL160" s="324">
        <f t="shared" si="27"/>
        <v>4.991596638655462</v>
      </c>
      <c r="AM160" s="334"/>
      <c r="AN160" s="326">
        <f t="shared" si="32"/>
      </c>
      <c r="AO160" s="334">
        <v>52682.75</v>
      </c>
      <c r="AP160" s="338">
        <v>4661</v>
      </c>
      <c r="AQ160" s="329">
        <f t="shared" si="28"/>
        <v>11.302885646856897</v>
      </c>
      <c r="AR160" s="297">
        <v>41005</v>
      </c>
      <c r="AS160" s="293"/>
    </row>
    <row r="161" spans="1:45" s="233" customFormat="1" ht="11.25" customHeight="1" hidden="1">
      <c r="A161" s="295"/>
      <c r="B161" s="293"/>
      <c r="C161" s="236" t="s">
        <v>223</v>
      </c>
      <c r="D161" s="293"/>
      <c r="E161" s="293"/>
      <c r="F161" s="236"/>
      <c r="G161" s="293"/>
      <c r="H161" s="236"/>
      <c r="I161" s="236"/>
      <c r="J161" s="360" t="s">
        <v>331</v>
      </c>
      <c r="K161" s="312"/>
      <c r="L161" s="340" t="s">
        <v>88</v>
      </c>
      <c r="M161" s="288" t="s">
        <v>332</v>
      </c>
      <c r="N161" s="370">
        <v>40893</v>
      </c>
      <c r="O161" s="288" t="s">
        <v>289</v>
      </c>
      <c r="P161" s="312">
        <v>8</v>
      </c>
      <c r="Q161" s="312">
        <v>1</v>
      </c>
      <c r="R161" s="312">
        <v>8</v>
      </c>
      <c r="S161" s="334">
        <v>14</v>
      </c>
      <c r="T161" s="338">
        <v>2</v>
      </c>
      <c r="U161" s="334">
        <v>63</v>
      </c>
      <c r="V161" s="338">
        <v>8</v>
      </c>
      <c r="W161" s="334">
        <v>74</v>
      </c>
      <c r="X161" s="338">
        <v>10</v>
      </c>
      <c r="Y161" s="334">
        <f t="shared" si="20"/>
        <v>151</v>
      </c>
      <c r="Z161" s="338">
        <f t="shared" si="21"/>
        <v>20</v>
      </c>
      <c r="AA161" s="323">
        <f>IF(Y161&lt;&gt;0,Z161/Q161,"")</f>
        <v>20</v>
      </c>
      <c r="AB161" s="324">
        <f>IF(Y161&lt;&gt;0,Y161/Z161,"")</f>
        <v>7.55</v>
      </c>
      <c r="AC161" s="325">
        <v>0</v>
      </c>
      <c r="AD161" s="326">
        <f t="shared" si="29"/>
      </c>
      <c r="AE161" s="327">
        <f t="shared" si="22"/>
        <v>1037</v>
      </c>
      <c r="AF161" s="323">
        <f t="shared" si="23"/>
        <v>218</v>
      </c>
      <c r="AG161" s="334">
        <v>1188</v>
      </c>
      <c r="AH161" s="338">
        <v>238</v>
      </c>
      <c r="AI161" s="326">
        <f t="shared" si="24"/>
        <v>0.08403361344537816</v>
      </c>
      <c r="AJ161" s="326">
        <f t="shared" si="25"/>
        <v>0.9159663865546218</v>
      </c>
      <c r="AK161" s="323">
        <f t="shared" si="26"/>
        <v>238</v>
      </c>
      <c r="AL161" s="324">
        <f t="shared" si="27"/>
        <v>4.991596638655462</v>
      </c>
      <c r="AM161" s="328"/>
      <c r="AN161" s="326">
        <f t="shared" si="32"/>
      </c>
      <c r="AO161" s="334">
        <v>44486.5</v>
      </c>
      <c r="AP161" s="338">
        <v>4862</v>
      </c>
      <c r="AQ161" s="329">
        <f t="shared" si="28"/>
        <v>9.149835458658988</v>
      </c>
      <c r="AR161" s="297">
        <v>41005</v>
      </c>
      <c r="AS161" s="293"/>
    </row>
    <row r="162" spans="1:45" s="233" customFormat="1" ht="11.25" customHeight="1" hidden="1">
      <c r="A162" s="295"/>
      <c r="B162" s="236"/>
      <c r="C162" s="236" t="s">
        <v>223</v>
      </c>
      <c r="D162" s="236"/>
      <c r="E162" s="236"/>
      <c r="F162" s="236"/>
      <c r="G162" s="236"/>
      <c r="H162" s="236"/>
      <c r="I162" s="236"/>
      <c r="J162" s="361" t="s">
        <v>211</v>
      </c>
      <c r="K162" s="339"/>
      <c r="L162" s="319"/>
      <c r="M162" s="288" t="s">
        <v>212</v>
      </c>
      <c r="N162" s="370">
        <v>40781</v>
      </c>
      <c r="O162" s="288" t="s">
        <v>289</v>
      </c>
      <c r="P162" s="312">
        <v>10</v>
      </c>
      <c r="Q162" s="312">
        <v>1</v>
      </c>
      <c r="R162" s="312">
        <v>9</v>
      </c>
      <c r="S162" s="334">
        <v>0</v>
      </c>
      <c r="T162" s="338">
        <v>0</v>
      </c>
      <c r="U162" s="334">
        <v>0</v>
      </c>
      <c r="V162" s="338">
        <v>0</v>
      </c>
      <c r="W162" s="334">
        <v>0</v>
      </c>
      <c r="X162" s="338">
        <v>0</v>
      </c>
      <c r="Y162" s="334">
        <f t="shared" si="20"/>
        <v>0</v>
      </c>
      <c r="Z162" s="338">
        <f t="shared" si="21"/>
        <v>0</v>
      </c>
      <c r="AA162" s="323">
        <f>IF(Y162&lt;&gt;0,Z162/Q162,"")</f>
      </c>
      <c r="AB162" s="324">
        <f>IF(Y162&lt;&gt;0,Y162/Z162,"")</f>
      </c>
      <c r="AC162" s="334">
        <v>0</v>
      </c>
      <c r="AD162" s="326">
        <f t="shared" si="29"/>
      </c>
      <c r="AE162" s="327">
        <f t="shared" si="22"/>
        <v>1188</v>
      </c>
      <c r="AF162" s="323">
        <f t="shared" si="23"/>
        <v>238</v>
      </c>
      <c r="AG162" s="334">
        <v>1188</v>
      </c>
      <c r="AH162" s="338">
        <v>238</v>
      </c>
      <c r="AI162" s="326">
        <f t="shared" si="24"/>
        <v>0</v>
      </c>
      <c r="AJ162" s="326">
        <f t="shared" si="25"/>
        <v>1</v>
      </c>
      <c r="AK162" s="323">
        <f t="shared" si="26"/>
        <v>238</v>
      </c>
      <c r="AL162" s="324">
        <f t="shared" si="27"/>
        <v>4.991596638655462</v>
      </c>
      <c r="AM162" s="334"/>
      <c r="AN162" s="326">
        <f t="shared" si="32"/>
      </c>
      <c r="AO162" s="334">
        <v>36000</v>
      </c>
      <c r="AP162" s="338">
        <v>4809</v>
      </c>
      <c r="AQ162" s="329">
        <f t="shared" si="28"/>
        <v>7.485963817841547</v>
      </c>
      <c r="AR162" s="297">
        <v>41005</v>
      </c>
      <c r="AS162" s="293"/>
    </row>
    <row r="163" spans="1:45" s="233" customFormat="1" ht="11.25" customHeight="1" hidden="1">
      <c r="A163" s="295"/>
      <c r="B163" s="236"/>
      <c r="C163" s="236" t="s">
        <v>223</v>
      </c>
      <c r="D163" s="236"/>
      <c r="E163" s="236"/>
      <c r="F163" s="236"/>
      <c r="G163" s="236"/>
      <c r="H163" s="236"/>
      <c r="I163" s="236"/>
      <c r="J163" s="361" t="s">
        <v>701</v>
      </c>
      <c r="K163" s="312"/>
      <c r="L163" s="319" t="s">
        <v>91</v>
      </c>
      <c r="M163" s="288" t="s">
        <v>707</v>
      </c>
      <c r="N163" s="370">
        <v>40662</v>
      </c>
      <c r="O163" s="288" t="s">
        <v>289</v>
      </c>
      <c r="P163" s="312">
        <v>4</v>
      </c>
      <c r="Q163" s="312">
        <v>1</v>
      </c>
      <c r="R163" s="312">
        <v>15</v>
      </c>
      <c r="S163" s="334">
        <v>0</v>
      </c>
      <c r="T163" s="338">
        <v>0</v>
      </c>
      <c r="U163" s="334">
        <v>0</v>
      </c>
      <c r="V163" s="338">
        <v>0</v>
      </c>
      <c r="W163" s="334">
        <v>0</v>
      </c>
      <c r="X163" s="338">
        <v>0</v>
      </c>
      <c r="Y163" s="334">
        <f t="shared" si="20"/>
        <v>0</v>
      </c>
      <c r="Z163" s="338">
        <f t="shared" si="21"/>
        <v>0</v>
      </c>
      <c r="AA163" s="323"/>
      <c r="AB163" s="324"/>
      <c r="AC163" s="334">
        <v>0</v>
      </c>
      <c r="AD163" s="326">
        <f t="shared" si="29"/>
      </c>
      <c r="AE163" s="327">
        <f t="shared" si="22"/>
        <v>1188</v>
      </c>
      <c r="AF163" s="323">
        <f t="shared" si="23"/>
        <v>238</v>
      </c>
      <c r="AG163" s="334">
        <v>1188</v>
      </c>
      <c r="AH163" s="338">
        <v>238</v>
      </c>
      <c r="AI163" s="326">
        <f t="shared" si="24"/>
        <v>0</v>
      </c>
      <c r="AJ163" s="326">
        <f t="shared" si="25"/>
        <v>1</v>
      </c>
      <c r="AK163" s="323">
        <f t="shared" si="26"/>
        <v>238</v>
      </c>
      <c r="AL163" s="324">
        <f t="shared" si="27"/>
        <v>4.991596638655462</v>
      </c>
      <c r="AM163" s="334"/>
      <c r="AN163" s="326">
        <f t="shared" si="32"/>
      </c>
      <c r="AO163" s="334">
        <v>34947.75</v>
      </c>
      <c r="AP163" s="338">
        <v>4439</v>
      </c>
      <c r="AQ163" s="329">
        <f t="shared" si="28"/>
        <v>7.872888037846362</v>
      </c>
      <c r="AR163" s="297">
        <v>41005</v>
      </c>
      <c r="AS163" s="293"/>
    </row>
    <row r="164" spans="1:45" s="233" customFormat="1" ht="11.25" customHeight="1" hidden="1">
      <c r="A164" s="295"/>
      <c r="B164" s="236"/>
      <c r="C164" s="236" t="s">
        <v>223</v>
      </c>
      <c r="D164" s="236"/>
      <c r="E164" s="236"/>
      <c r="F164" s="236"/>
      <c r="G164" s="236"/>
      <c r="H164" s="236"/>
      <c r="I164" s="236"/>
      <c r="J164" s="360" t="s">
        <v>148</v>
      </c>
      <c r="K164" s="339" t="s">
        <v>865</v>
      </c>
      <c r="L164" s="339" t="s">
        <v>79</v>
      </c>
      <c r="M164" s="288" t="s">
        <v>153</v>
      </c>
      <c r="N164" s="369">
        <v>40886</v>
      </c>
      <c r="O164" s="288" t="s">
        <v>289</v>
      </c>
      <c r="P164" s="312">
        <v>3</v>
      </c>
      <c r="Q164" s="312">
        <v>1</v>
      </c>
      <c r="R164" s="312">
        <v>13</v>
      </c>
      <c r="S164" s="334">
        <v>120</v>
      </c>
      <c r="T164" s="338">
        <v>20</v>
      </c>
      <c r="U164" s="334">
        <v>120</v>
      </c>
      <c r="V164" s="338">
        <v>20</v>
      </c>
      <c r="W164" s="334">
        <v>102</v>
      </c>
      <c r="X164" s="338">
        <v>17</v>
      </c>
      <c r="Y164" s="334">
        <f t="shared" si="20"/>
        <v>342</v>
      </c>
      <c r="Z164" s="338">
        <f t="shared" si="21"/>
        <v>57</v>
      </c>
      <c r="AA164" s="323">
        <f>IF(Y164&lt;&gt;0,Z164/Q164,"")</f>
        <v>57</v>
      </c>
      <c r="AB164" s="324">
        <f>IF(Y164&lt;&gt;0,Y164/Z164,"")</f>
        <v>6</v>
      </c>
      <c r="AC164" s="330">
        <v>0</v>
      </c>
      <c r="AD164" s="326">
        <f t="shared" si="29"/>
      </c>
      <c r="AE164" s="327">
        <f t="shared" si="22"/>
        <v>846</v>
      </c>
      <c r="AF164" s="323">
        <f t="shared" si="23"/>
        <v>181</v>
      </c>
      <c r="AG164" s="334">
        <v>1188</v>
      </c>
      <c r="AH164" s="338">
        <v>238</v>
      </c>
      <c r="AI164" s="326">
        <f t="shared" si="24"/>
        <v>0.23949579831932774</v>
      </c>
      <c r="AJ164" s="326">
        <f t="shared" si="25"/>
        <v>0.7605042016806722</v>
      </c>
      <c r="AK164" s="323">
        <f t="shared" si="26"/>
        <v>238</v>
      </c>
      <c r="AL164" s="324">
        <f t="shared" si="27"/>
        <v>4.991596638655462</v>
      </c>
      <c r="AM164" s="334"/>
      <c r="AN164" s="326">
        <f t="shared" si="32"/>
      </c>
      <c r="AO164" s="334">
        <v>27167</v>
      </c>
      <c r="AP164" s="338">
        <v>4186</v>
      </c>
      <c r="AQ164" s="329">
        <f t="shared" si="28"/>
        <v>6.489966555183947</v>
      </c>
      <c r="AR164" s="297">
        <v>41005</v>
      </c>
      <c r="AS164" s="293"/>
    </row>
    <row r="165" spans="1:45" s="233" customFormat="1" ht="11.25" customHeight="1" hidden="1">
      <c r="A165" s="295"/>
      <c r="B165" s="236"/>
      <c r="C165" s="236" t="s">
        <v>223</v>
      </c>
      <c r="D165" s="236"/>
      <c r="E165" s="236"/>
      <c r="F165" s="293"/>
      <c r="G165" s="236"/>
      <c r="H165" s="236"/>
      <c r="I165" s="236"/>
      <c r="J165" s="366" t="s">
        <v>394</v>
      </c>
      <c r="K165" s="339" t="s">
        <v>869</v>
      </c>
      <c r="L165" s="339" t="s">
        <v>88</v>
      </c>
      <c r="M165" s="339" t="s">
        <v>400</v>
      </c>
      <c r="N165" s="370">
        <v>40753</v>
      </c>
      <c r="O165" s="288" t="s">
        <v>68</v>
      </c>
      <c r="P165" s="312">
        <v>13</v>
      </c>
      <c r="Q165" s="312">
        <v>1</v>
      </c>
      <c r="R165" s="312">
        <v>19</v>
      </c>
      <c r="S165" s="325">
        <v>0</v>
      </c>
      <c r="T165" s="355">
        <v>0</v>
      </c>
      <c r="U165" s="325">
        <v>0</v>
      </c>
      <c r="V165" s="355">
        <v>0</v>
      </c>
      <c r="W165" s="325">
        <v>0</v>
      </c>
      <c r="X165" s="355">
        <v>0</v>
      </c>
      <c r="Y165" s="334">
        <f t="shared" si="20"/>
        <v>0</v>
      </c>
      <c r="Z165" s="338">
        <f t="shared" si="21"/>
        <v>0</v>
      </c>
      <c r="AA165" s="323">
        <f>IF(Y165&lt;&gt;0,Z165/Q165,"")</f>
      </c>
      <c r="AB165" s="324">
        <f>IF(Y165&lt;&gt;0,Y165/Z165,"")</f>
      </c>
      <c r="AC165" s="330">
        <v>0</v>
      </c>
      <c r="AD165" s="326">
        <f t="shared" si="29"/>
      </c>
      <c r="AE165" s="327">
        <f t="shared" si="22"/>
        <v>3801.5</v>
      </c>
      <c r="AF165" s="323">
        <f t="shared" si="23"/>
        <v>760</v>
      </c>
      <c r="AG165" s="328">
        <v>3801.5</v>
      </c>
      <c r="AH165" s="344">
        <v>760</v>
      </c>
      <c r="AI165" s="326">
        <f t="shared" si="24"/>
        <v>0</v>
      </c>
      <c r="AJ165" s="326">
        <f t="shared" si="25"/>
        <v>1</v>
      </c>
      <c r="AK165" s="323">
        <f t="shared" si="26"/>
        <v>760</v>
      </c>
      <c r="AL165" s="324">
        <f t="shared" si="27"/>
        <v>5.001973684210526</v>
      </c>
      <c r="AM165" s="328"/>
      <c r="AN165" s="326">
        <f t="shared" si="32"/>
      </c>
      <c r="AO165" s="328">
        <f>37355+12427+7492+8213.5+4676+5757+7050+1356+2892.5+6045+5978+639+919+810+143.5+1188+1188+1188+3801.5</f>
        <v>109119</v>
      </c>
      <c r="AP165" s="344">
        <f>3112+1234+925+858+645+791+1079+205+381+739+757+85+126+135+31+238+238+238+760</f>
        <v>12577</v>
      </c>
      <c r="AQ165" s="329">
        <f t="shared" si="28"/>
        <v>8.676075375685775</v>
      </c>
      <c r="AR165" s="297">
        <v>40998</v>
      </c>
      <c r="AS165" s="293"/>
    </row>
    <row r="166" spans="1:45" s="233" customFormat="1" ht="11.25" customHeight="1" hidden="1">
      <c r="A166" s="295"/>
      <c r="B166" s="236"/>
      <c r="C166" s="236" t="s">
        <v>223</v>
      </c>
      <c r="D166" s="236"/>
      <c r="E166" s="236"/>
      <c r="F166" s="236"/>
      <c r="G166" s="236"/>
      <c r="H166" s="236"/>
      <c r="I166" s="236" t="s">
        <v>54</v>
      </c>
      <c r="J166" s="363" t="s">
        <v>544</v>
      </c>
      <c r="K166" s="288"/>
      <c r="L166" s="288"/>
      <c r="M166" s="288" t="s">
        <v>544</v>
      </c>
      <c r="N166" s="370">
        <v>40606</v>
      </c>
      <c r="O166" s="288" t="s">
        <v>52</v>
      </c>
      <c r="P166" s="331">
        <v>152</v>
      </c>
      <c r="Q166" s="312">
        <v>1</v>
      </c>
      <c r="R166" s="312">
        <v>20</v>
      </c>
      <c r="S166" s="334">
        <v>0</v>
      </c>
      <c r="T166" s="338">
        <v>0</v>
      </c>
      <c r="U166" s="334">
        <v>0</v>
      </c>
      <c r="V166" s="338">
        <v>0</v>
      </c>
      <c r="W166" s="334">
        <v>0</v>
      </c>
      <c r="X166" s="338">
        <v>0</v>
      </c>
      <c r="Y166" s="334">
        <f t="shared" si="20"/>
        <v>0</v>
      </c>
      <c r="Z166" s="338">
        <f t="shared" si="21"/>
        <v>0</v>
      </c>
      <c r="AA166" s="323"/>
      <c r="AB166" s="324"/>
      <c r="AC166" s="330">
        <v>0</v>
      </c>
      <c r="AD166" s="326">
        <f t="shared" si="29"/>
      </c>
      <c r="AE166" s="327">
        <f t="shared" si="22"/>
        <v>3564</v>
      </c>
      <c r="AF166" s="323">
        <f t="shared" si="23"/>
        <v>713</v>
      </c>
      <c r="AG166" s="334">
        <v>3564</v>
      </c>
      <c r="AH166" s="338">
        <v>713</v>
      </c>
      <c r="AI166" s="326">
        <f t="shared" si="24"/>
        <v>0</v>
      </c>
      <c r="AJ166" s="326">
        <f t="shared" si="25"/>
        <v>1</v>
      </c>
      <c r="AK166" s="323">
        <f t="shared" si="26"/>
        <v>713</v>
      </c>
      <c r="AL166" s="324">
        <f t="shared" si="27"/>
        <v>4.998597475455821</v>
      </c>
      <c r="AM166" s="334"/>
      <c r="AN166" s="326">
        <f t="shared" si="32"/>
      </c>
      <c r="AO166" s="334">
        <f>1064857.25+602581.25+269086.5+86552+70688+40243.5+15124.5+5534.5+5248.5+1364+305+140+147+994+250+240+70+55+2970+3564</f>
        <v>2170015</v>
      </c>
      <c r="AP166" s="338">
        <f>118954+67997+33243+12973+11521+6623+2561+922+800+239+45+20+21+199+36+34+14+11+594+713</f>
        <v>257520</v>
      </c>
      <c r="AQ166" s="329">
        <f t="shared" si="28"/>
        <v>8.426588226157191</v>
      </c>
      <c r="AR166" s="297">
        <v>40998</v>
      </c>
      <c r="AS166" s="293"/>
    </row>
    <row r="167" spans="1:45" s="233" customFormat="1" ht="11.25" customHeight="1" hidden="1">
      <c r="A167" s="295"/>
      <c r="B167" s="293"/>
      <c r="C167" s="236" t="s">
        <v>223</v>
      </c>
      <c r="D167" s="293"/>
      <c r="E167" s="293"/>
      <c r="F167" s="236"/>
      <c r="G167" s="293"/>
      <c r="H167" s="236" t="s">
        <v>55</v>
      </c>
      <c r="I167" s="236" t="s">
        <v>54</v>
      </c>
      <c r="J167" s="363" t="s">
        <v>74</v>
      </c>
      <c r="K167" s="331"/>
      <c r="L167" s="331"/>
      <c r="M167" s="331" t="s">
        <v>74</v>
      </c>
      <c r="N167" s="370">
        <v>40851</v>
      </c>
      <c r="O167" s="288" t="s">
        <v>53</v>
      </c>
      <c r="P167" s="340">
        <v>247</v>
      </c>
      <c r="Q167" s="346">
        <v>1</v>
      </c>
      <c r="R167" s="346">
        <v>20</v>
      </c>
      <c r="S167" s="347">
        <v>402</v>
      </c>
      <c r="T167" s="348">
        <v>81</v>
      </c>
      <c r="U167" s="347">
        <v>1000</v>
      </c>
      <c r="V167" s="348">
        <v>200</v>
      </c>
      <c r="W167" s="347">
        <v>1000</v>
      </c>
      <c r="X167" s="348">
        <v>200</v>
      </c>
      <c r="Y167" s="334">
        <f t="shared" si="20"/>
        <v>2402</v>
      </c>
      <c r="Z167" s="338">
        <f t="shared" si="21"/>
        <v>481</v>
      </c>
      <c r="AA167" s="323">
        <f>IF(Y167&lt;&gt;0,Z167/Q167,"")</f>
        <v>481</v>
      </c>
      <c r="AB167" s="324">
        <f>IF(Y167&lt;&gt;0,Y167/Z167,"")</f>
        <v>4.993762993762994</v>
      </c>
      <c r="AC167" s="330">
        <v>0</v>
      </c>
      <c r="AD167" s="326">
        <f t="shared" si="29"/>
      </c>
      <c r="AE167" s="327">
        <f t="shared" si="22"/>
        <v>0</v>
      </c>
      <c r="AF167" s="323">
        <f t="shared" si="23"/>
        <v>0</v>
      </c>
      <c r="AG167" s="334">
        <v>2402</v>
      </c>
      <c r="AH167" s="338">
        <v>481</v>
      </c>
      <c r="AI167" s="326">
        <f t="shared" si="24"/>
        <v>1</v>
      </c>
      <c r="AJ167" s="326">
        <f t="shared" si="25"/>
        <v>0</v>
      </c>
      <c r="AK167" s="323">
        <f t="shared" si="26"/>
        <v>481</v>
      </c>
      <c r="AL167" s="324">
        <f t="shared" si="27"/>
        <v>4.993762993762994</v>
      </c>
      <c r="AM167" s="334"/>
      <c r="AN167" s="326">
        <f t="shared" si="32"/>
      </c>
      <c r="AO167" s="334">
        <f>2260223+2366876.75+3859638+3137342+1906742.5+252.25+1189485.5+474275+250512+184428+13126+754+5006+188+4804+3604+350+2402+2402+2402</f>
        <v>15664813</v>
      </c>
      <c r="AP167" s="338">
        <f>286038+329194+554088+452220+278080+42+178270+68355+40409+33224+1975+104+988+22+960+721+70+480+480+481</f>
        <v>2226201</v>
      </c>
      <c r="AQ167" s="329">
        <f t="shared" si="28"/>
        <v>7.036567228206258</v>
      </c>
      <c r="AR167" s="297">
        <v>40998</v>
      </c>
      <c r="AS167" s="293"/>
    </row>
    <row r="168" spans="1:45" s="233" customFormat="1" ht="11.25" customHeight="1" hidden="1">
      <c r="A168" s="295"/>
      <c r="B168" s="236"/>
      <c r="C168" s="236" t="s">
        <v>223</v>
      </c>
      <c r="D168" s="236"/>
      <c r="E168" s="236"/>
      <c r="F168" s="236"/>
      <c r="G168" s="236"/>
      <c r="H168" s="236"/>
      <c r="I168" s="293"/>
      <c r="J168" s="363" t="s">
        <v>545</v>
      </c>
      <c r="K168" s="288"/>
      <c r="L168" s="288" t="s">
        <v>94</v>
      </c>
      <c r="M168" s="288" t="s">
        <v>562</v>
      </c>
      <c r="N168" s="370">
        <v>39423</v>
      </c>
      <c r="O168" s="288" t="s">
        <v>52</v>
      </c>
      <c r="P168" s="331">
        <v>164</v>
      </c>
      <c r="Q168" s="312">
        <v>1</v>
      </c>
      <c r="R168" s="312">
        <v>26</v>
      </c>
      <c r="S168" s="334">
        <v>0</v>
      </c>
      <c r="T168" s="338">
        <v>0</v>
      </c>
      <c r="U168" s="334">
        <v>0</v>
      </c>
      <c r="V168" s="338">
        <v>0</v>
      </c>
      <c r="W168" s="334">
        <v>0</v>
      </c>
      <c r="X168" s="338">
        <v>0</v>
      </c>
      <c r="Y168" s="334">
        <f t="shared" si="20"/>
        <v>0</v>
      </c>
      <c r="Z168" s="338">
        <f t="shared" si="21"/>
        <v>0</v>
      </c>
      <c r="AA168" s="323"/>
      <c r="AB168" s="324"/>
      <c r="AC168" s="330">
        <v>0</v>
      </c>
      <c r="AD168" s="326">
        <f t="shared" si="29"/>
      </c>
      <c r="AE168" s="327">
        <f t="shared" si="22"/>
        <v>2376</v>
      </c>
      <c r="AF168" s="323">
        <f t="shared" si="23"/>
        <v>475</v>
      </c>
      <c r="AG168" s="334">
        <v>2376</v>
      </c>
      <c r="AH168" s="338">
        <v>475</v>
      </c>
      <c r="AI168" s="326">
        <f t="shared" si="24"/>
        <v>0</v>
      </c>
      <c r="AJ168" s="326">
        <f t="shared" si="25"/>
        <v>1</v>
      </c>
      <c r="AK168" s="323">
        <f t="shared" si="26"/>
        <v>475</v>
      </c>
      <c r="AL168" s="324">
        <f t="shared" si="27"/>
        <v>5.002105263157895</v>
      </c>
      <c r="AM168" s="334"/>
      <c r="AN168" s="326">
        <f t="shared" si="32"/>
      </c>
      <c r="AO168" s="334">
        <f>3571428+831+1901+2376</f>
        <v>3576536</v>
      </c>
      <c r="AP168" s="338">
        <f>442208+166+380+475</f>
        <v>443229</v>
      </c>
      <c r="AQ168" s="329">
        <f t="shared" si="28"/>
        <v>8.069273445555233</v>
      </c>
      <c r="AR168" s="297">
        <v>40998</v>
      </c>
      <c r="AS168" s="293"/>
    </row>
    <row r="169" spans="1:45" s="233" customFormat="1" ht="11.25" customHeight="1" hidden="1">
      <c r="A169" s="295"/>
      <c r="B169" s="236"/>
      <c r="C169" s="236" t="s">
        <v>223</v>
      </c>
      <c r="D169" s="236"/>
      <c r="E169" s="236">
        <v>3</v>
      </c>
      <c r="F169" s="236">
        <v>2</v>
      </c>
      <c r="G169" s="293"/>
      <c r="H169" s="236"/>
      <c r="I169" s="293"/>
      <c r="J169" s="364" t="s">
        <v>564</v>
      </c>
      <c r="K169" s="340" t="s">
        <v>299</v>
      </c>
      <c r="L169" s="312" t="s">
        <v>169</v>
      </c>
      <c r="M169" s="340" t="s">
        <v>563</v>
      </c>
      <c r="N169" s="369">
        <v>40586</v>
      </c>
      <c r="O169" s="288" t="s">
        <v>8</v>
      </c>
      <c r="P169" s="346">
        <v>90</v>
      </c>
      <c r="Q169" s="340">
        <v>1</v>
      </c>
      <c r="R169" s="340">
        <v>10</v>
      </c>
      <c r="S169" s="332">
        <v>170</v>
      </c>
      <c r="T169" s="333">
        <v>13</v>
      </c>
      <c r="U169" s="332">
        <v>304</v>
      </c>
      <c r="V169" s="333">
        <v>27</v>
      </c>
      <c r="W169" s="332">
        <v>716</v>
      </c>
      <c r="X169" s="333">
        <v>43</v>
      </c>
      <c r="Y169" s="334">
        <f t="shared" si="20"/>
        <v>1190</v>
      </c>
      <c r="Z169" s="338">
        <f t="shared" si="21"/>
        <v>83</v>
      </c>
      <c r="AA169" s="323">
        <f>IF(Y169&lt;&gt;0,Z169/Q169,"")</f>
        <v>83</v>
      </c>
      <c r="AB169" s="324">
        <f>IF(Y169&lt;&gt;0,Y169/Z169,"")</f>
        <v>14.337349397590362</v>
      </c>
      <c r="AC169" s="330">
        <v>0</v>
      </c>
      <c r="AD169" s="326">
        <f aca="true" t="shared" si="33" ref="AD169:AD200">IF(AC169&lt;&gt;0,-(AC169-Y169)/AC169,"")</f>
      </c>
      <c r="AE169" s="327">
        <f t="shared" si="22"/>
        <v>449</v>
      </c>
      <c r="AF169" s="323">
        <f t="shared" si="23"/>
        <v>31</v>
      </c>
      <c r="AG169" s="332">
        <v>1639</v>
      </c>
      <c r="AH169" s="333">
        <v>114</v>
      </c>
      <c r="AI169" s="326">
        <f t="shared" si="24"/>
        <v>0.7280701754385965</v>
      </c>
      <c r="AJ169" s="326">
        <f t="shared" si="25"/>
        <v>0.2719298245614035</v>
      </c>
      <c r="AK169" s="323">
        <f t="shared" si="26"/>
        <v>114</v>
      </c>
      <c r="AL169" s="324">
        <f t="shared" si="27"/>
        <v>14.37719298245614</v>
      </c>
      <c r="AM169" s="334"/>
      <c r="AN169" s="326">
        <f t="shared" si="32"/>
      </c>
      <c r="AO169" s="332">
        <v>1383279</v>
      </c>
      <c r="AP169" s="333">
        <v>109250</v>
      </c>
      <c r="AQ169" s="329">
        <f t="shared" si="28"/>
        <v>12.661592677345539</v>
      </c>
      <c r="AR169" s="297">
        <v>40998</v>
      </c>
      <c r="AS169" s="293"/>
    </row>
    <row r="170" spans="1:45" s="233" customFormat="1" ht="11.25" customHeight="1" hidden="1">
      <c r="A170" s="295"/>
      <c r="B170" s="236"/>
      <c r="C170" s="236" t="s">
        <v>223</v>
      </c>
      <c r="D170" s="236"/>
      <c r="E170" s="236"/>
      <c r="F170" s="236"/>
      <c r="G170" s="236"/>
      <c r="H170" s="236"/>
      <c r="I170" s="236"/>
      <c r="J170" s="366" t="s">
        <v>350</v>
      </c>
      <c r="K170" s="339" t="s">
        <v>355</v>
      </c>
      <c r="L170" s="339" t="s">
        <v>88</v>
      </c>
      <c r="M170" s="339" t="s">
        <v>350</v>
      </c>
      <c r="N170" s="370">
        <v>40886</v>
      </c>
      <c r="O170" s="288" t="s">
        <v>68</v>
      </c>
      <c r="P170" s="312">
        <v>9</v>
      </c>
      <c r="Q170" s="312">
        <v>4</v>
      </c>
      <c r="R170" s="312">
        <v>9</v>
      </c>
      <c r="S170" s="325">
        <v>0</v>
      </c>
      <c r="T170" s="355">
        <v>0</v>
      </c>
      <c r="U170" s="325">
        <v>0</v>
      </c>
      <c r="V170" s="355">
        <v>0</v>
      </c>
      <c r="W170" s="325">
        <v>0</v>
      </c>
      <c r="X170" s="355">
        <v>0</v>
      </c>
      <c r="Y170" s="334">
        <f t="shared" si="20"/>
        <v>0</v>
      </c>
      <c r="Z170" s="338">
        <f t="shared" si="21"/>
        <v>0</v>
      </c>
      <c r="AA170" s="323">
        <f>IF(Y170&lt;&gt;0,Z170/Q170,"")</f>
      </c>
      <c r="AB170" s="324">
        <f>IF(Y170&lt;&gt;0,Y170/Z170,"")</f>
      </c>
      <c r="AC170" s="330">
        <v>0</v>
      </c>
      <c r="AD170" s="326">
        <f t="shared" si="33"/>
      </c>
      <c r="AE170" s="327">
        <f t="shared" si="22"/>
        <v>1575</v>
      </c>
      <c r="AF170" s="323">
        <f t="shared" si="23"/>
        <v>156</v>
      </c>
      <c r="AG170" s="328">
        <v>1575</v>
      </c>
      <c r="AH170" s="344">
        <v>156</v>
      </c>
      <c r="AI170" s="326">
        <f t="shared" si="24"/>
        <v>0</v>
      </c>
      <c r="AJ170" s="326">
        <f t="shared" si="25"/>
        <v>1</v>
      </c>
      <c r="AK170" s="323">
        <f t="shared" si="26"/>
        <v>39</v>
      </c>
      <c r="AL170" s="324">
        <f t="shared" si="27"/>
        <v>10.096153846153847</v>
      </c>
      <c r="AM170" s="328"/>
      <c r="AN170" s="326">
        <f t="shared" si="32"/>
      </c>
      <c r="AO170" s="328">
        <f>55869.5+42730+1422+522+1782+4115.4+1188+1188+1575</f>
        <v>110391.9</v>
      </c>
      <c r="AP170" s="344">
        <f>3902+3837+240+87+356+563+238+238+156</f>
        <v>9617</v>
      </c>
      <c r="AQ170" s="329">
        <f t="shared" si="28"/>
        <v>11.478829156701673</v>
      </c>
      <c r="AR170" s="297">
        <v>40998</v>
      </c>
      <c r="AS170" s="293"/>
    </row>
    <row r="171" spans="1:45" s="233" customFormat="1" ht="11.25" customHeight="1" hidden="1">
      <c r="A171" s="295"/>
      <c r="B171" s="236"/>
      <c r="C171" s="236" t="s">
        <v>223</v>
      </c>
      <c r="D171" s="236" t="s">
        <v>193</v>
      </c>
      <c r="E171" s="236">
        <v>3</v>
      </c>
      <c r="F171" s="236">
        <v>2</v>
      </c>
      <c r="G171" s="236" t="s">
        <v>250</v>
      </c>
      <c r="H171" s="236"/>
      <c r="I171" s="236"/>
      <c r="J171" s="362" t="s">
        <v>550</v>
      </c>
      <c r="K171" s="312" t="s">
        <v>90</v>
      </c>
      <c r="L171" s="341" t="s">
        <v>91</v>
      </c>
      <c r="M171" s="341" t="s">
        <v>551</v>
      </c>
      <c r="N171" s="370">
        <v>40682</v>
      </c>
      <c r="O171" s="288" t="s">
        <v>12</v>
      </c>
      <c r="P171" s="312">
        <v>115</v>
      </c>
      <c r="Q171" s="312">
        <v>1</v>
      </c>
      <c r="R171" s="312">
        <v>46</v>
      </c>
      <c r="S171" s="347">
        <v>0</v>
      </c>
      <c r="T171" s="348">
        <v>0</v>
      </c>
      <c r="U171" s="347">
        <v>0</v>
      </c>
      <c r="V171" s="348">
        <v>0</v>
      </c>
      <c r="W171" s="347">
        <v>0</v>
      </c>
      <c r="X171" s="348">
        <v>0</v>
      </c>
      <c r="Y171" s="334">
        <f t="shared" si="20"/>
        <v>0</v>
      </c>
      <c r="Z171" s="338">
        <f t="shared" si="21"/>
        <v>0</v>
      </c>
      <c r="AA171" s="323"/>
      <c r="AB171" s="324"/>
      <c r="AC171" s="330">
        <v>0</v>
      </c>
      <c r="AD171" s="326">
        <f t="shared" si="33"/>
      </c>
      <c r="AE171" s="327">
        <f t="shared" si="22"/>
        <v>1197</v>
      </c>
      <c r="AF171" s="323">
        <f t="shared" si="23"/>
        <v>189</v>
      </c>
      <c r="AG171" s="334">
        <v>1197</v>
      </c>
      <c r="AH171" s="338">
        <v>189</v>
      </c>
      <c r="AI171" s="326">
        <f t="shared" si="24"/>
        <v>0</v>
      </c>
      <c r="AJ171" s="326">
        <f t="shared" si="25"/>
        <v>1</v>
      </c>
      <c r="AK171" s="323">
        <f t="shared" si="26"/>
        <v>189</v>
      </c>
      <c r="AL171" s="324">
        <f t="shared" si="27"/>
        <v>6.333333333333333</v>
      </c>
      <c r="AM171" s="334"/>
      <c r="AN171" s="326">
        <f t="shared" si="32"/>
      </c>
      <c r="AO171" s="334">
        <v>13130776</v>
      </c>
      <c r="AP171" s="338">
        <v>1171181</v>
      </c>
      <c r="AQ171" s="329">
        <f t="shared" si="28"/>
        <v>11.211568493682872</v>
      </c>
      <c r="AR171" s="297">
        <v>40998</v>
      </c>
      <c r="AS171" s="293"/>
    </row>
    <row r="172" spans="1:45" s="233" customFormat="1" ht="11.25" customHeight="1" hidden="1">
      <c r="A172" s="295"/>
      <c r="B172" s="236"/>
      <c r="C172" s="236" t="s">
        <v>223</v>
      </c>
      <c r="D172" s="236"/>
      <c r="E172" s="236"/>
      <c r="F172" s="236"/>
      <c r="G172" s="294"/>
      <c r="H172" s="294"/>
      <c r="I172" s="236" t="s">
        <v>54</v>
      </c>
      <c r="J172" s="362" t="s">
        <v>597</v>
      </c>
      <c r="K172" s="312" t="s">
        <v>596</v>
      </c>
      <c r="L172" s="288"/>
      <c r="M172" s="288" t="s">
        <v>597</v>
      </c>
      <c r="N172" s="369">
        <v>40682</v>
      </c>
      <c r="O172" s="288" t="s">
        <v>10</v>
      </c>
      <c r="P172" s="312">
        <v>164</v>
      </c>
      <c r="Q172" s="331">
        <v>1</v>
      </c>
      <c r="R172" s="331">
        <v>13</v>
      </c>
      <c r="S172" s="342">
        <v>0</v>
      </c>
      <c r="T172" s="343">
        <v>0</v>
      </c>
      <c r="U172" s="342">
        <v>0</v>
      </c>
      <c r="V172" s="343">
        <v>0</v>
      </c>
      <c r="W172" s="342">
        <v>0</v>
      </c>
      <c r="X172" s="343">
        <v>0</v>
      </c>
      <c r="Y172" s="334">
        <f t="shared" si="20"/>
        <v>0</v>
      </c>
      <c r="Z172" s="338">
        <f t="shared" si="21"/>
        <v>0</v>
      </c>
      <c r="AA172" s="323">
        <f aca="true" t="shared" si="34" ref="AA172:AA177">IF(Y172&lt;&gt;0,Z172/Q172,"")</f>
      </c>
      <c r="AB172" s="324">
        <f aca="true" t="shared" si="35" ref="AB172:AB177">IF(Y172&lt;&gt;0,Y172/Z172,"")</f>
      </c>
      <c r="AC172" s="325">
        <v>0</v>
      </c>
      <c r="AD172" s="326">
        <f t="shared" si="33"/>
      </c>
      <c r="AE172" s="327">
        <f t="shared" si="22"/>
        <v>1190</v>
      </c>
      <c r="AF172" s="323">
        <f t="shared" si="23"/>
        <v>238</v>
      </c>
      <c r="AG172" s="342">
        <v>1190</v>
      </c>
      <c r="AH172" s="343">
        <v>238</v>
      </c>
      <c r="AI172" s="326">
        <f t="shared" si="24"/>
        <v>0</v>
      </c>
      <c r="AJ172" s="326">
        <f t="shared" si="25"/>
        <v>1</v>
      </c>
      <c r="AK172" s="323">
        <f t="shared" si="26"/>
        <v>238</v>
      </c>
      <c r="AL172" s="324">
        <f t="shared" si="27"/>
        <v>5</v>
      </c>
      <c r="AM172" s="328"/>
      <c r="AN172" s="326">
        <f t="shared" si="32"/>
      </c>
      <c r="AO172" s="342">
        <v>579858</v>
      </c>
      <c r="AP172" s="343">
        <v>64001</v>
      </c>
      <c r="AQ172" s="329">
        <f t="shared" si="28"/>
        <v>9.060139685317417</v>
      </c>
      <c r="AR172" s="297">
        <v>40998</v>
      </c>
      <c r="AS172" s="293"/>
    </row>
    <row r="173" spans="1:45" s="233" customFormat="1" ht="11.25" customHeight="1" hidden="1">
      <c r="A173" s="295"/>
      <c r="B173" s="236"/>
      <c r="C173" s="236" t="s">
        <v>223</v>
      </c>
      <c r="D173" s="236"/>
      <c r="E173" s="236"/>
      <c r="F173" s="236"/>
      <c r="G173" s="236"/>
      <c r="H173" s="236"/>
      <c r="I173" s="293"/>
      <c r="J173" s="361" t="s">
        <v>125</v>
      </c>
      <c r="K173" s="312"/>
      <c r="L173" s="331" t="s">
        <v>94</v>
      </c>
      <c r="M173" s="319" t="s">
        <v>124</v>
      </c>
      <c r="N173" s="369">
        <v>40851</v>
      </c>
      <c r="O173" s="288" t="s">
        <v>52</v>
      </c>
      <c r="P173" s="341">
        <v>29</v>
      </c>
      <c r="Q173" s="312">
        <v>1</v>
      </c>
      <c r="R173" s="312">
        <v>12</v>
      </c>
      <c r="S173" s="334">
        <v>0</v>
      </c>
      <c r="T173" s="338">
        <v>0</v>
      </c>
      <c r="U173" s="334">
        <v>0</v>
      </c>
      <c r="V173" s="338">
        <v>0</v>
      </c>
      <c r="W173" s="334">
        <v>0</v>
      </c>
      <c r="X173" s="338">
        <v>0</v>
      </c>
      <c r="Y173" s="334">
        <f t="shared" si="20"/>
        <v>0</v>
      </c>
      <c r="Z173" s="338">
        <f t="shared" si="21"/>
        <v>0</v>
      </c>
      <c r="AA173" s="323">
        <f t="shared" si="34"/>
      </c>
      <c r="AB173" s="324">
        <f t="shared" si="35"/>
      </c>
      <c r="AC173" s="330">
        <v>0</v>
      </c>
      <c r="AD173" s="326">
        <f t="shared" si="33"/>
      </c>
      <c r="AE173" s="327">
        <f t="shared" si="22"/>
        <v>1188</v>
      </c>
      <c r="AF173" s="323">
        <f t="shared" si="23"/>
        <v>238</v>
      </c>
      <c r="AG173" s="334">
        <v>1188</v>
      </c>
      <c r="AH173" s="338">
        <v>238</v>
      </c>
      <c r="AI173" s="326">
        <f t="shared" si="24"/>
        <v>0</v>
      </c>
      <c r="AJ173" s="326">
        <f t="shared" si="25"/>
        <v>1</v>
      </c>
      <c r="AK173" s="323">
        <f t="shared" si="26"/>
        <v>238</v>
      </c>
      <c r="AL173" s="324">
        <f t="shared" si="27"/>
        <v>4.991596638655462</v>
      </c>
      <c r="AM173" s="330"/>
      <c r="AN173" s="326">
        <f t="shared" si="32"/>
      </c>
      <c r="AO173" s="334">
        <f>58904+19329.5+590+8101+236+218+391.5+325+1050+132+48+1188</f>
        <v>90513</v>
      </c>
      <c r="AP173" s="338">
        <f>5890+1991+54+1603+47+38+47+65+150+22+8+238</f>
        <v>10153</v>
      </c>
      <c r="AQ173" s="329">
        <f t="shared" si="28"/>
        <v>8.914901999409041</v>
      </c>
      <c r="AR173" s="297">
        <v>40998</v>
      </c>
      <c r="AS173" s="293"/>
    </row>
    <row r="174" spans="1:45" s="233" customFormat="1" ht="11.25" customHeight="1" hidden="1">
      <c r="A174" s="295"/>
      <c r="B174" s="236"/>
      <c r="C174" s="236" t="s">
        <v>223</v>
      </c>
      <c r="D174" s="236"/>
      <c r="E174" s="236"/>
      <c r="F174" s="236"/>
      <c r="G174" s="236"/>
      <c r="H174" s="236"/>
      <c r="I174" s="236" t="s">
        <v>54</v>
      </c>
      <c r="J174" s="361" t="s">
        <v>100</v>
      </c>
      <c r="K174" s="312" t="s">
        <v>108</v>
      </c>
      <c r="L174" s="312"/>
      <c r="M174" s="312" t="s">
        <v>100</v>
      </c>
      <c r="N174" s="370">
        <v>40879</v>
      </c>
      <c r="O174" s="288" t="s">
        <v>8</v>
      </c>
      <c r="P174" s="312">
        <v>39</v>
      </c>
      <c r="Q174" s="340">
        <v>1</v>
      </c>
      <c r="R174" s="340">
        <v>12</v>
      </c>
      <c r="S174" s="332">
        <v>138</v>
      </c>
      <c r="T174" s="333">
        <v>23</v>
      </c>
      <c r="U174" s="332">
        <v>198</v>
      </c>
      <c r="V174" s="333">
        <v>33</v>
      </c>
      <c r="W174" s="332">
        <v>246</v>
      </c>
      <c r="X174" s="333">
        <v>41</v>
      </c>
      <c r="Y174" s="334">
        <f t="shared" si="20"/>
        <v>582</v>
      </c>
      <c r="Z174" s="338">
        <f t="shared" si="21"/>
        <v>97</v>
      </c>
      <c r="AA174" s="323">
        <f t="shared" si="34"/>
        <v>97</v>
      </c>
      <c r="AB174" s="324">
        <f t="shared" si="35"/>
        <v>6</v>
      </c>
      <c r="AC174" s="330">
        <v>0</v>
      </c>
      <c r="AD174" s="326">
        <f t="shared" si="33"/>
      </c>
      <c r="AE174" s="327">
        <f t="shared" si="22"/>
        <v>513</v>
      </c>
      <c r="AF174" s="323">
        <f t="shared" si="23"/>
        <v>88</v>
      </c>
      <c r="AG174" s="332">
        <v>1095</v>
      </c>
      <c r="AH174" s="333">
        <v>185</v>
      </c>
      <c r="AI174" s="326">
        <f t="shared" si="24"/>
        <v>0.5243243243243243</v>
      </c>
      <c r="AJ174" s="326">
        <f t="shared" si="25"/>
        <v>0.4756756756756757</v>
      </c>
      <c r="AK174" s="323">
        <f t="shared" si="26"/>
        <v>185</v>
      </c>
      <c r="AL174" s="324">
        <f t="shared" si="27"/>
        <v>5.918918918918919</v>
      </c>
      <c r="AM174" s="334"/>
      <c r="AN174" s="326">
        <f t="shared" si="32"/>
      </c>
      <c r="AO174" s="332">
        <v>225808</v>
      </c>
      <c r="AP174" s="333">
        <v>25678</v>
      </c>
      <c r="AQ174" s="329">
        <f t="shared" si="28"/>
        <v>8.793831295272218</v>
      </c>
      <c r="AR174" s="297">
        <v>40998</v>
      </c>
      <c r="AS174" s="293"/>
    </row>
    <row r="175" spans="1:45" s="233" customFormat="1" ht="11.25" customHeight="1" hidden="1">
      <c r="A175" s="295"/>
      <c r="B175" s="236"/>
      <c r="C175" s="236" t="s">
        <v>223</v>
      </c>
      <c r="D175" s="236"/>
      <c r="E175" s="236"/>
      <c r="F175" s="236"/>
      <c r="G175" s="236"/>
      <c r="H175" s="236"/>
      <c r="I175" s="236"/>
      <c r="J175" s="366" t="s">
        <v>674</v>
      </c>
      <c r="K175" s="312" t="s">
        <v>908</v>
      </c>
      <c r="L175" s="319" t="s">
        <v>855</v>
      </c>
      <c r="M175" s="339" t="s">
        <v>675</v>
      </c>
      <c r="N175" s="369">
        <v>41242</v>
      </c>
      <c r="O175" s="288" t="s">
        <v>622</v>
      </c>
      <c r="P175" s="312">
        <v>14</v>
      </c>
      <c r="Q175" s="340">
        <v>1</v>
      </c>
      <c r="R175" s="340">
        <v>44</v>
      </c>
      <c r="S175" s="332">
        <v>0</v>
      </c>
      <c r="T175" s="333">
        <v>0</v>
      </c>
      <c r="U175" s="332">
        <v>0</v>
      </c>
      <c r="V175" s="333">
        <v>0</v>
      </c>
      <c r="W175" s="332">
        <v>0</v>
      </c>
      <c r="X175" s="333">
        <v>0</v>
      </c>
      <c r="Y175" s="334">
        <f t="shared" si="20"/>
        <v>0</v>
      </c>
      <c r="Z175" s="338">
        <f t="shared" si="21"/>
        <v>0</v>
      </c>
      <c r="AA175" s="323">
        <f t="shared" si="34"/>
      </c>
      <c r="AB175" s="324">
        <f t="shared" si="35"/>
      </c>
      <c r="AC175" s="330">
        <v>0</v>
      </c>
      <c r="AD175" s="326">
        <f t="shared" si="33"/>
      </c>
      <c r="AE175" s="327">
        <f t="shared" si="22"/>
        <v>958</v>
      </c>
      <c r="AF175" s="323">
        <f t="shared" si="23"/>
        <v>160</v>
      </c>
      <c r="AG175" s="332">
        <v>958</v>
      </c>
      <c r="AH175" s="333">
        <v>160</v>
      </c>
      <c r="AI175" s="326">
        <f t="shared" si="24"/>
        <v>0</v>
      </c>
      <c r="AJ175" s="326">
        <f t="shared" si="25"/>
        <v>1</v>
      </c>
      <c r="AK175" s="323">
        <f t="shared" si="26"/>
        <v>160</v>
      </c>
      <c r="AL175" s="324">
        <f t="shared" si="27"/>
        <v>5.9875</v>
      </c>
      <c r="AM175" s="328"/>
      <c r="AN175" s="326">
        <f t="shared" si="32"/>
      </c>
      <c r="AO175" s="332">
        <v>971139.75</v>
      </c>
      <c r="AP175" s="333">
        <v>213701</v>
      </c>
      <c r="AQ175" s="329">
        <f t="shared" si="28"/>
        <v>4.544385613544158</v>
      </c>
      <c r="AR175" s="297">
        <v>40998</v>
      </c>
      <c r="AS175" s="293"/>
    </row>
    <row r="176" spans="1:45" s="233" customFormat="1" ht="11.25" customHeight="1" hidden="1">
      <c r="A176" s="295"/>
      <c r="B176" s="236"/>
      <c r="C176" s="236" t="s">
        <v>223</v>
      </c>
      <c r="D176" s="236"/>
      <c r="E176" s="236"/>
      <c r="F176" s="236"/>
      <c r="G176" s="236"/>
      <c r="H176" s="236"/>
      <c r="I176" s="236"/>
      <c r="J176" s="366" t="s">
        <v>679</v>
      </c>
      <c r="K176" s="312" t="s">
        <v>909</v>
      </c>
      <c r="L176" s="319" t="s">
        <v>855</v>
      </c>
      <c r="M176" s="339" t="s">
        <v>677</v>
      </c>
      <c r="N176" s="369">
        <v>40870</v>
      </c>
      <c r="O176" s="288" t="s">
        <v>622</v>
      </c>
      <c r="P176" s="312">
        <v>15</v>
      </c>
      <c r="Q176" s="340">
        <v>1</v>
      </c>
      <c r="R176" s="340">
        <v>65</v>
      </c>
      <c r="S176" s="332">
        <v>0</v>
      </c>
      <c r="T176" s="333">
        <v>0</v>
      </c>
      <c r="U176" s="332">
        <v>0</v>
      </c>
      <c r="V176" s="333">
        <v>0</v>
      </c>
      <c r="W176" s="332">
        <v>0</v>
      </c>
      <c r="X176" s="333">
        <v>0</v>
      </c>
      <c r="Y176" s="334">
        <f t="shared" si="20"/>
        <v>0</v>
      </c>
      <c r="Z176" s="338">
        <f t="shared" si="21"/>
        <v>0</v>
      </c>
      <c r="AA176" s="323">
        <f t="shared" si="34"/>
      </c>
      <c r="AB176" s="324">
        <f t="shared" si="35"/>
      </c>
      <c r="AC176" s="330">
        <v>0</v>
      </c>
      <c r="AD176" s="326">
        <f t="shared" si="33"/>
      </c>
      <c r="AE176" s="327">
        <f t="shared" si="22"/>
        <v>958</v>
      </c>
      <c r="AF176" s="323">
        <f t="shared" si="23"/>
        <v>160</v>
      </c>
      <c r="AG176" s="332">
        <v>958</v>
      </c>
      <c r="AH176" s="333">
        <v>160</v>
      </c>
      <c r="AI176" s="326">
        <f t="shared" si="24"/>
        <v>0</v>
      </c>
      <c r="AJ176" s="326">
        <f t="shared" si="25"/>
        <v>1</v>
      </c>
      <c r="AK176" s="323">
        <f t="shared" si="26"/>
        <v>160</v>
      </c>
      <c r="AL176" s="324">
        <f t="shared" si="27"/>
        <v>5.9875</v>
      </c>
      <c r="AM176" s="328"/>
      <c r="AN176" s="326">
        <f t="shared" si="32"/>
      </c>
      <c r="AO176" s="332">
        <v>939252.95</v>
      </c>
      <c r="AP176" s="333">
        <v>249261</v>
      </c>
      <c r="AQ176" s="329">
        <f t="shared" si="28"/>
        <v>3.7681504527382943</v>
      </c>
      <c r="AR176" s="297">
        <v>40998</v>
      </c>
      <c r="AS176" s="293"/>
    </row>
    <row r="177" spans="1:45" s="233" customFormat="1" ht="11.25" customHeight="1" hidden="1">
      <c r="A177" s="295"/>
      <c r="B177" s="236"/>
      <c r="C177" s="236" t="s">
        <v>223</v>
      </c>
      <c r="D177" s="236"/>
      <c r="E177" s="236"/>
      <c r="F177" s="236"/>
      <c r="G177" s="236"/>
      <c r="H177" s="236"/>
      <c r="I177" s="236"/>
      <c r="J177" s="366" t="s">
        <v>625</v>
      </c>
      <c r="K177" s="312" t="s">
        <v>910</v>
      </c>
      <c r="L177" s="319" t="s">
        <v>855</v>
      </c>
      <c r="M177" s="339" t="s">
        <v>632</v>
      </c>
      <c r="N177" s="369">
        <v>38296</v>
      </c>
      <c r="O177" s="288" t="s">
        <v>622</v>
      </c>
      <c r="P177" s="312">
        <v>20</v>
      </c>
      <c r="Q177" s="340">
        <v>1</v>
      </c>
      <c r="R177" s="340">
        <v>40</v>
      </c>
      <c r="S177" s="332">
        <v>0</v>
      </c>
      <c r="T177" s="333">
        <v>0</v>
      </c>
      <c r="U177" s="332">
        <v>0</v>
      </c>
      <c r="V177" s="333">
        <v>0</v>
      </c>
      <c r="W177" s="332">
        <v>0</v>
      </c>
      <c r="X177" s="333">
        <v>0</v>
      </c>
      <c r="Y177" s="334">
        <f t="shared" si="20"/>
        <v>0</v>
      </c>
      <c r="Z177" s="338">
        <f t="shared" si="21"/>
        <v>0</v>
      </c>
      <c r="AA177" s="323">
        <f t="shared" si="34"/>
      </c>
      <c r="AB177" s="324">
        <f t="shared" si="35"/>
      </c>
      <c r="AC177" s="330">
        <v>0</v>
      </c>
      <c r="AD177" s="326">
        <f t="shared" si="33"/>
      </c>
      <c r="AE177" s="327">
        <f t="shared" si="22"/>
        <v>958</v>
      </c>
      <c r="AF177" s="323">
        <f t="shared" si="23"/>
        <v>160</v>
      </c>
      <c r="AG177" s="332">
        <v>958</v>
      </c>
      <c r="AH177" s="333">
        <v>160</v>
      </c>
      <c r="AI177" s="326">
        <f t="shared" si="24"/>
        <v>0</v>
      </c>
      <c r="AJ177" s="326">
        <f t="shared" si="25"/>
        <v>1</v>
      </c>
      <c r="AK177" s="323">
        <f t="shared" si="26"/>
        <v>160</v>
      </c>
      <c r="AL177" s="324">
        <f t="shared" si="27"/>
        <v>5.9875</v>
      </c>
      <c r="AM177" s="328"/>
      <c r="AN177" s="326">
        <f t="shared" si="32"/>
      </c>
      <c r="AO177" s="332">
        <v>335758</v>
      </c>
      <c r="AP177" s="333">
        <v>51463</v>
      </c>
      <c r="AQ177" s="329">
        <f t="shared" si="28"/>
        <v>6.524260148067544</v>
      </c>
      <c r="AR177" s="297">
        <v>40998</v>
      </c>
      <c r="AS177" s="293"/>
    </row>
    <row r="178" spans="1:45" s="233" customFormat="1" ht="11.25" customHeight="1" hidden="1">
      <c r="A178" s="295"/>
      <c r="B178" s="236"/>
      <c r="C178" s="236" t="s">
        <v>223</v>
      </c>
      <c r="D178" s="236"/>
      <c r="E178" s="236"/>
      <c r="F178" s="236"/>
      <c r="G178" s="236"/>
      <c r="H178" s="236"/>
      <c r="I178" s="236"/>
      <c r="J178" s="366" t="s">
        <v>678</v>
      </c>
      <c r="K178" s="312" t="s">
        <v>911</v>
      </c>
      <c r="L178" s="319" t="s">
        <v>855</v>
      </c>
      <c r="M178" s="339" t="s">
        <v>676</v>
      </c>
      <c r="N178" s="369">
        <v>36861</v>
      </c>
      <c r="O178" s="288" t="s">
        <v>622</v>
      </c>
      <c r="P178" s="312">
        <v>8</v>
      </c>
      <c r="Q178" s="340">
        <v>1</v>
      </c>
      <c r="R178" s="340">
        <v>81</v>
      </c>
      <c r="S178" s="332">
        <v>0</v>
      </c>
      <c r="T178" s="333">
        <v>0</v>
      </c>
      <c r="U178" s="332">
        <v>0</v>
      </c>
      <c r="V178" s="333">
        <v>0</v>
      </c>
      <c r="W178" s="332">
        <v>0</v>
      </c>
      <c r="X178" s="333">
        <v>0</v>
      </c>
      <c r="Y178" s="334">
        <f t="shared" si="20"/>
        <v>0</v>
      </c>
      <c r="Z178" s="338">
        <f t="shared" si="21"/>
        <v>0</v>
      </c>
      <c r="AA178" s="323"/>
      <c r="AB178" s="324"/>
      <c r="AC178" s="330">
        <v>0</v>
      </c>
      <c r="AD178" s="326">
        <f t="shared" si="33"/>
      </c>
      <c r="AE178" s="327">
        <f t="shared" si="22"/>
        <v>958</v>
      </c>
      <c r="AF178" s="323">
        <f t="shared" si="23"/>
        <v>160</v>
      </c>
      <c r="AG178" s="332">
        <v>958</v>
      </c>
      <c r="AH178" s="333">
        <v>160</v>
      </c>
      <c r="AI178" s="326">
        <f t="shared" si="24"/>
        <v>0</v>
      </c>
      <c r="AJ178" s="326">
        <f t="shared" si="25"/>
        <v>1</v>
      </c>
      <c r="AK178" s="323">
        <f t="shared" si="26"/>
        <v>160</v>
      </c>
      <c r="AL178" s="324">
        <f t="shared" si="27"/>
        <v>5.9875</v>
      </c>
      <c r="AM178" s="328"/>
      <c r="AN178" s="326">
        <f t="shared" si="32"/>
      </c>
      <c r="AO178" s="332">
        <v>220961.5</v>
      </c>
      <c r="AP178" s="333">
        <v>91128</v>
      </c>
      <c r="AQ178" s="329">
        <f t="shared" si="28"/>
        <v>2.4247377315424457</v>
      </c>
      <c r="AR178" s="297">
        <v>40998</v>
      </c>
      <c r="AS178" s="293"/>
    </row>
    <row r="179" spans="1:45" s="233" customFormat="1" ht="11.25" customHeight="1" hidden="1">
      <c r="A179" s="295"/>
      <c r="B179" s="236"/>
      <c r="C179" s="236" t="s">
        <v>223</v>
      </c>
      <c r="D179" s="236"/>
      <c r="E179" s="236"/>
      <c r="F179" s="236"/>
      <c r="G179" s="236"/>
      <c r="H179" s="236"/>
      <c r="I179" s="236"/>
      <c r="J179" s="361" t="s">
        <v>666</v>
      </c>
      <c r="K179" s="312" t="s">
        <v>386</v>
      </c>
      <c r="L179" s="312" t="s">
        <v>169</v>
      </c>
      <c r="M179" s="312" t="s">
        <v>667</v>
      </c>
      <c r="N179" s="370">
        <v>40732</v>
      </c>
      <c r="O179" s="288" t="s">
        <v>8</v>
      </c>
      <c r="P179" s="312">
        <v>1</v>
      </c>
      <c r="Q179" s="340">
        <v>1</v>
      </c>
      <c r="R179" s="340">
        <v>16</v>
      </c>
      <c r="S179" s="332">
        <v>43</v>
      </c>
      <c r="T179" s="333">
        <v>7</v>
      </c>
      <c r="U179" s="332">
        <v>114</v>
      </c>
      <c r="V179" s="333">
        <v>19</v>
      </c>
      <c r="W179" s="332">
        <v>120</v>
      </c>
      <c r="X179" s="333">
        <v>20</v>
      </c>
      <c r="Y179" s="334">
        <f t="shared" si="20"/>
        <v>277</v>
      </c>
      <c r="Z179" s="338">
        <f t="shared" si="21"/>
        <v>46</v>
      </c>
      <c r="AA179" s="323">
        <f>IF(Y179&lt;&gt;0,Z179/Q179,"")</f>
        <v>46</v>
      </c>
      <c r="AB179" s="324">
        <f>IF(Y179&lt;&gt;0,Y179/Z179,"")</f>
        <v>6.021739130434782</v>
      </c>
      <c r="AC179" s="330">
        <v>0</v>
      </c>
      <c r="AD179" s="326">
        <f t="shared" si="33"/>
      </c>
      <c r="AE179" s="327">
        <f t="shared" si="22"/>
        <v>114</v>
      </c>
      <c r="AF179" s="323">
        <f t="shared" si="23"/>
        <v>19</v>
      </c>
      <c r="AG179" s="332">
        <v>391</v>
      </c>
      <c r="AH179" s="333">
        <v>65</v>
      </c>
      <c r="AI179" s="326">
        <f t="shared" si="24"/>
        <v>0.7076923076923077</v>
      </c>
      <c r="AJ179" s="326">
        <f t="shared" si="25"/>
        <v>0.2923076923076923</v>
      </c>
      <c r="AK179" s="323">
        <f t="shared" si="26"/>
        <v>65</v>
      </c>
      <c r="AL179" s="324">
        <f t="shared" si="27"/>
        <v>6.015384615384615</v>
      </c>
      <c r="AM179" s="334"/>
      <c r="AN179" s="326">
        <f t="shared" si="32"/>
      </c>
      <c r="AO179" s="332">
        <v>30429</v>
      </c>
      <c r="AP179" s="333">
        <v>2895</v>
      </c>
      <c r="AQ179" s="329">
        <f t="shared" si="28"/>
        <v>10.510880829015544</v>
      </c>
      <c r="AR179" s="297">
        <v>40998</v>
      </c>
      <c r="AS179" s="293"/>
    </row>
    <row r="180" spans="1:45" s="233" customFormat="1" ht="11.25" customHeight="1" hidden="1">
      <c r="A180" s="295"/>
      <c r="B180" s="293"/>
      <c r="C180" s="236" t="s">
        <v>223</v>
      </c>
      <c r="D180" s="236"/>
      <c r="E180" s="236"/>
      <c r="F180" s="236"/>
      <c r="G180" s="236"/>
      <c r="H180" s="236"/>
      <c r="I180" s="236" t="s">
        <v>54</v>
      </c>
      <c r="J180" s="364" t="s">
        <v>644</v>
      </c>
      <c r="K180" s="340"/>
      <c r="L180" s="340"/>
      <c r="M180" s="340" t="s">
        <v>645</v>
      </c>
      <c r="N180" s="370">
        <v>40480</v>
      </c>
      <c r="O180" s="288" t="s">
        <v>53</v>
      </c>
      <c r="P180" s="346">
        <v>135</v>
      </c>
      <c r="Q180" s="346">
        <v>1</v>
      </c>
      <c r="R180" s="346">
        <v>12</v>
      </c>
      <c r="S180" s="347">
        <v>422</v>
      </c>
      <c r="T180" s="348">
        <v>84</v>
      </c>
      <c r="U180" s="347">
        <v>750</v>
      </c>
      <c r="V180" s="348">
        <v>150</v>
      </c>
      <c r="W180" s="347">
        <v>750</v>
      </c>
      <c r="X180" s="348">
        <v>150</v>
      </c>
      <c r="Y180" s="334">
        <f t="shared" si="20"/>
        <v>1922</v>
      </c>
      <c r="Z180" s="338">
        <f t="shared" si="21"/>
        <v>384</v>
      </c>
      <c r="AA180" s="323">
        <f>IF(Y180&lt;&gt;0,Z180/Q180,"")</f>
        <v>384</v>
      </c>
      <c r="AB180" s="324">
        <f>IF(Y180&lt;&gt;0,Y180/Z180,"")</f>
        <v>5.005208333333333</v>
      </c>
      <c r="AC180" s="330">
        <v>0</v>
      </c>
      <c r="AD180" s="326">
        <f t="shared" si="33"/>
      </c>
      <c r="AE180" s="327">
        <f t="shared" si="22"/>
        <v>0</v>
      </c>
      <c r="AF180" s="323">
        <f t="shared" si="23"/>
        <v>0</v>
      </c>
      <c r="AG180" s="334">
        <v>1922</v>
      </c>
      <c r="AH180" s="338">
        <v>384</v>
      </c>
      <c r="AI180" s="326">
        <f t="shared" si="24"/>
        <v>1</v>
      </c>
      <c r="AJ180" s="326">
        <f t="shared" si="25"/>
        <v>0</v>
      </c>
      <c r="AK180" s="323">
        <f t="shared" si="26"/>
        <v>384</v>
      </c>
      <c r="AL180" s="324">
        <f t="shared" si="27"/>
        <v>5.005208333333333</v>
      </c>
      <c r="AM180" s="334"/>
      <c r="AN180" s="326">
        <f t="shared" si="32"/>
      </c>
      <c r="AO180" s="334">
        <f>151771.5+44278.5+20156+4831.5+5960.5+2697+3743.5+81+2518+2320+604+265+1922</f>
        <v>241148.5</v>
      </c>
      <c r="AP180" s="338">
        <f>19003+7410+3277+795+995+475+746+11+433+386+91+52+384</f>
        <v>34058</v>
      </c>
      <c r="AQ180" s="329">
        <f t="shared" si="28"/>
        <v>7.080524399553703</v>
      </c>
      <c r="AR180" s="297">
        <v>40991</v>
      </c>
      <c r="AS180" s="293"/>
    </row>
    <row r="181" spans="1:45" s="233" customFormat="1" ht="11.25" customHeight="1" hidden="1">
      <c r="A181" s="295"/>
      <c r="B181" s="293"/>
      <c r="C181" s="236" t="s">
        <v>223</v>
      </c>
      <c r="D181" s="293"/>
      <c r="E181" s="293"/>
      <c r="F181" s="236"/>
      <c r="G181" s="236"/>
      <c r="H181" s="236"/>
      <c r="I181" s="236"/>
      <c r="J181" s="366" t="s">
        <v>653</v>
      </c>
      <c r="K181" s="312" t="s">
        <v>870</v>
      </c>
      <c r="L181" s="340" t="s">
        <v>118</v>
      </c>
      <c r="M181" s="340" t="s">
        <v>655</v>
      </c>
      <c r="N181" s="370">
        <v>39983</v>
      </c>
      <c r="O181" s="288" t="s">
        <v>68</v>
      </c>
      <c r="P181" s="340">
        <v>25</v>
      </c>
      <c r="Q181" s="312">
        <v>1</v>
      </c>
      <c r="R181" s="312">
        <v>16</v>
      </c>
      <c r="S181" s="325">
        <v>0</v>
      </c>
      <c r="T181" s="355">
        <v>0</v>
      </c>
      <c r="U181" s="325">
        <v>0</v>
      </c>
      <c r="V181" s="355">
        <v>0</v>
      </c>
      <c r="W181" s="325">
        <v>0</v>
      </c>
      <c r="X181" s="355">
        <v>0</v>
      </c>
      <c r="Y181" s="334">
        <f t="shared" si="20"/>
        <v>0</v>
      </c>
      <c r="Z181" s="338">
        <f t="shared" si="21"/>
        <v>0</v>
      </c>
      <c r="AA181" s="323"/>
      <c r="AB181" s="324"/>
      <c r="AC181" s="330">
        <v>0</v>
      </c>
      <c r="AD181" s="326">
        <f t="shared" si="33"/>
      </c>
      <c r="AE181" s="327">
        <f t="shared" si="22"/>
        <v>1188</v>
      </c>
      <c r="AF181" s="323">
        <f t="shared" si="23"/>
        <v>238</v>
      </c>
      <c r="AG181" s="328">
        <v>1188</v>
      </c>
      <c r="AH181" s="344">
        <v>238</v>
      </c>
      <c r="AI181" s="326">
        <f t="shared" si="24"/>
        <v>0</v>
      </c>
      <c r="AJ181" s="326">
        <f t="shared" si="25"/>
        <v>1</v>
      </c>
      <c r="AK181" s="323">
        <f t="shared" si="26"/>
        <v>238</v>
      </c>
      <c r="AL181" s="324">
        <f t="shared" si="27"/>
        <v>4.991596638655462</v>
      </c>
      <c r="AM181" s="328"/>
      <c r="AN181" s="326">
        <f t="shared" si="32"/>
      </c>
      <c r="AO181" s="342">
        <f>35988+25834.5+20452+10883+7816+8362.5+11315.5+10053.5+5536+2993.5+4533+1172.5+10976+1028+224+1190</f>
        <v>158358</v>
      </c>
      <c r="AP181" s="343">
        <f>3783+2659+2949+1845+1497+1509+2090+1925+901+531+811+180+1565+159+30+238</f>
        <v>22672</v>
      </c>
      <c r="AQ181" s="329">
        <f t="shared" si="28"/>
        <v>6.984738884968243</v>
      </c>
      <c r="AR181" s="297">
        <v>40991</v>
      </c>
      <c r="AS181" s="293"/>
    </row>
    <row r="182" spans="1:45" s="233" customFormat="1" ht="11.25" customHeight="1" hidden="1">
      <c r="A182" s="295"/>
      <c r="B182" s="236"/>
      <c r="C182" s="236"/>
      <c r="D182" s="236"/>
      <c r="E182" s="236"/>
      <c r="F182" s="236"/>
      <c r="G182" s="236"/>
      <c r="H182" s="236" t="s">
        <v>55</v>
      </c>
      <c r="I182" s="236"/>
      <c r="J182" s="360" t="s">
        <v>146</v>
      </c>
      <c r="K182" s="288"/>
      <c r="L182" s="288" t="s">
        <v>120</v>
      </c>
      <c r="M182" s="288" t="s">
        <v>149</v>
      </c>
      <c r="N182" s="370">
        <v>40907</v>
      </c>
      <c r="O182" s="288" t="s">
        <v>289</v>
      </c>
      <c r="P182" s="312">
        <v>2</v>
      </c>
      <c r="Q182" s="312">
        <v>1</v>
      </c>
      <c r="R182" s="312">
        <v>3</v>
      </c>
      <c r="S182" s="334">
        <v>76</v>
      </c>
      <c r="T182" s="338">
        <v>7</v>
      </c>
      <c r="U182" s="334">
        <v>184</v>
      </c>
      <c r="V182" s="338">
        <v>18</v>
      </c>
      <c r="W182" s="334">
        <v>146</v>
      </c>
      <c r="X182" s="338">
        <v>13</v>
      </c>
      <c r="Y182" s="334">
        <f t="shared" si="20"/>
        <v>406</v>
      </c>
      <c r="Z182" s="338">
        <f t="shared" si="21"/>
        <v>38</v>
      </c>
      <c r="AA182" s="323">
        <f>IF(Y182&lt;&gt;0,Z182/Q182,"")</f>
        <v>38</v>
      </c>
      <c r="AB182" s="324">
        <f>IF(Y182&lt;&gt;0,Y182/Z182,"")</f>
        <v>10.68421052631579</v>
      </c>
      <c r="AC182" s="334">
        <v>0</v>
      </c>
      <c r="AD182" s="326">
        <f t="shared" si="33"/>
      </c>
      <c r="AE182" s="327">
        <f t="shared" si="22"/>
        <v>417</v>
      </c>
      <c r="AF182" s="323">
        <f t="shared" si="23"/>
        <v>43</v>
      </c>
      <c r="AG182" s="334">
        <v>823</v>
      </c>
      <c r="AH182" s="338">
        <v>81</v>
      </c>
      <c r="AI182" s="326">
        <f t="shared" si="24"/>
        <v>0.4691358024691358</v>
      </c>
      <c r="AJ182" s="326">
        <f t="shared" si="25"/>
        <v>0.5308641975308642</v>
      </c>
      <c r="AK182" s="323">
        <f t="shared" si="26"/>
        <v>81</v>
      </c>
      <c r="AL182" s="324">
        <f t="shared" si="27"/>
        <v>10.160493827160494</v>
      </c>
      <c r="AM182" s="334"/>
      <c r="AN182" s="326">
        <f t="shared" si="32"/>
      </c>
      <c r="AO182" s="334">
        <v>3788</v>
      </c>
      <c r="AP182" s="338">
        <v>529</v>
      </c>
      <c r="AQ182" s="329">
        <f t="shared" si="28"/>
        <v>7.160680529300567</v>
      </c>
      <c r="AR182" s="297">
        <v>40991</v>
      </c>
      <c r="AS182" s="293"/>
    </row>
    <row r="183" spans="1:45" s="233" customFormat="1" ht="11.25" customHeight="1" hidden="1">
      <c r="A183" s="295"/>
      <c r="B183" s="236"/>
      <c r="C183" s="236" t="s">
        <v>223</v>
      </c>
      <c r="D183" s="236"/>
      <c r="E183" s="236"/>
      <c r="F183" s="236"/>
      <c r="G183" s="293"/>
      <c r="H183" s="236"/>
      <c r="I183" s="236"/>
      <c r="J183" s="366" t="s">
        <v>531</v>
      </c>
      <c r="K183" s="339" t="s">
        <v>871</v>
      </c>
      <c r="L183" s="319" t="s">
        <v>88</v>
      </c>
      <c r="M183" s="339" t="s">
        <v>535</v>
      </c>
      <c r="N183" s="370">
        <v>40746</v>
      </c>
      <c r="O183" s="288" t="s">
        <v>68</v>
      </c>
      <c r="P183" s="312">
        <v>8</v>
      </c>
      <c r="Q183" s="312">
        <v>1</v>
      </c>
      <c r="R183" s="312">
        <v>15</v>
      </c>
      <c r="S183" s="325">
        <v>0</v>
      </c>
      <c r="T183" s="355">
        <v>0</v>
      </c>
      <c r="U183" s="325">
        <v>0</v>
      </c>
      <c r="V183" s="355">
        <v>0</v>
      </c>
      <c r="W183" s="325">
        <v>0</v>
      </c>
      <c r="X183" s="355">
        <v>0</v>
      </c>
      <c r="Y183" s="334">
        <f t="shared" si="20"/>
        <v>0</v>
      </c>
      <c r="Z183" s="338">
        <f t="shared" si="21"/>
        <v>0</v>
      </c>
      <c r="AA183" s="323"/>
      <c r="AB183" s="324"/>
      <c r="AC183" s="334">
        <v>0</v>
      </c>
      <c r="AD183" s="326">
        <f t="shared" si="33"/>
      </c>
      <c r="AE183" s="327">
        <f t="shared" si="22"/>
        <v>332</v>
      </c>
      <c r="AF183" s="323">
        <f t="shared" si="23"/>
        <v>144</v>
      </c>
      <c r="AG183" s="328">
        <v>332</v>
      </c>
      <c r="AH183" s="344">
        <v>144</v>
      </c>
      <c r="AI183" s="326">
        <f t="shared" si="24"/>
        <v>0</v>
      </c>
      <c r="AJ183" s="326">
        <f t="shared" si="25"/>
        <v>1</v>
      </c>
      <c r="AK183" s="323">
        <f t="shared" si="26"/>
        <v>144</v>
      </c>
      <c r="AL183" s="324">
        <f t="shared" si="27"/>
        <v>2.3055555555555554</v>
      </c>
      <c r="AM183" s="328"/>
      <c r="AN183" s="326">
        <f t="shared" si="32"/>
      </c>
      <c r="AO183" s="328">
        <f>34995.5+29767+4050+6340+3008.5+4152+1152+3132.5+792+962+1663+1188+1188+3801.5+332</f>
        <v>96524</v>
      </c>
      <c r="AP183" s="344">
        <f>2476+2114+377+695+481+799+155+438+105+135+416+238+238+761+144</f>
        <v>9572</v>
      </c>
      <c r="AQ183" s="329">
        <f t="shared" si="28"/>
        <v>10.083994985374007</v>
      </c>
      <c r="AR183" s="297">
        <v>40991</v>
      </c>
      <c r="AS183" s="293"/>
    </row>
    <row r="184" spans="1:45" s="233" customFormat="1" ht="11.25" customHeight="1" hidden="1">
      <c r="A184" s="295"/>
      <c r="B184" s="236"/>
      <c r="C184" s="236" t="s">
        <v>223</v>
      </c>
      <c r="D184" s="236"/>
      <c r="E184" s="236"/>
      <c r="F184" s="236"/>
      <c r="G184" s="236"/>
      <c r="H184" s="236"/>
      <c r="I184" s="236"/>
      <c r="J184" s="366" t="s">
        <v>143</v>
      </c>
      <c r="K184" s="312" t="s">
        <v>872</v>
      </c>
      <c r="L184" s="319" t="s">
        <v>79</v>
      </c>
      <c r="M184" s="339" t="s">
        <v>144</v>
      </c>
      <c r="N184" s="369">
        <v>40781</v>
      </c>
      <c r="O184" s="288" t="s">
        <v>68</v>
      </c>
      <c r="P184" s="312">
        <v>25</v>
      </c>
      <c r="Q184" s="312">
        <v>1</v>
      </c>
      <c r="R184" s="312">
        <v>19</v>
      </c>
      <c r="S184" s="325">
        <v>0</v>
      </c>
      <c r="T184" s="355">
        <v>0</v>
      </c>
      <c r="U184" s="325">
        <v>0</v>
      </c>
      <c r="V184" s="355">
        <v>0</v>
      </c>
      <c r="W184" s="325">
        <v>0</v>
      </c>
      <c r="X184" s="355">
        <v>0</v>
      </c>
      <c r="Y184" s="334">
        <f t="shared" si="20"/>
        <v>0</v>
      </c>
      <c r="Z184" s="338">
        <f t="shared" si="21"/>
        <v>0</v>
      </c>
      <c r="AA184" s="323">
        <f>IF(Y184&lt;&gt;0,Z184/Q184,"")</f>
      </c>
      <c r="AB184" s="324">
        <f>IF(Y184&lt;&gt;0,Y184/Z184,"")</f>
      </c>
      <c r="AC184" s="330">
        <v>0</v>
      </c>
      <c r="AD184" s="326">
        <f t="shared" si="33"/>
      </c>
      <c r="AE184" s="327">
        <f t="shared" si="22"/>
        <v>3801.5</v>
      </c>
      <c r="AF184" s="323">
        <f t="shared" si="23"/>
        <v>760</v>
      </c>
      <c r="AG184" s="328">
        <v>3801.5</v>
      </c>
      <c r="AH184" s="344">
        <v>760</v>
      </c>
      <c r="AI184" s="326">
        <f t="shared" si="24"/>
        <v>0</v>
      </c>
      <c r="AJ184" s="326">
        <f t="shared" si="25"/>
        <v>1</v>
      </c>
      <c r="AK184" s="323">
        <f t="shared" si="26"/>
        <v>760</v>
      </c>
      <c r="AL184" s="324">
        <f t="shared" si="27"/>
        <v>5.001973684210526</v>
      </c>
      <c r="AM184" s="328"/>
      <c r="AN184" s="326">
        <f t="shared" si="32"/>
      </c>
      <c r="AO184" s="328">
        <f>144733+112570+56967.5+34113.5+30823.5+33890.5+41306+25896.5+24762.5+2776+2376+588+744+1788+950.5+3841+1705+854+3801.5</f>
        <v>524487</v>
      </c>
      <c r="AP184" s="344">
        <f>11669+10065+5619+3946+3929+4284+5351+3682+3657+420+594+249+124+397+237+653+271+126+760</f>
        <v>56033</v>
      </c>
      <c r="AQ184" s="329">
        <f t="shared" si="28"/>
        <v>9.360323380864848</v>
      </c>
      <c r="AR184" s="297">
        <v>40984</v>
      </c>
      <c r="AS184" s="293"/>
    </row>
    <row r="185" spans="1:45" s="233" customFormat="1" ht="11.25" customHeight="1" hidden="1">
      <c r="A185" s="295"/>
      <c r="B185" s="293"/>
      <c r="C185" s="236" t="s">
        <v>223</v>
      </c>
      <c r="D185" s="293"/>
      <c r="E185" s="293"/>
      <c r="F185" s="236"/>
      <c r="G185" s="236"/>
      <c r="H185" s="236"/>
      <c r="I185" s="236" t="s">
        <v>54</v>
      </c>
      <c r="J185" s="364">
        <v>120</v>
      </c>
      <c r="K185" s="340"/>
      <c r="L185" s="312"/>
      <c r="M185" s="340">
        <v>120</v>
      </c>
      <c r="N185" s="369">
        <v>39488</v>
      </c>
      <c r="O185" s="288" t="s">
        <v>53</v>
      </c>
      <c r="P185" s="312">
        <v>179</v>
      </c>
      <c r="Q185" s="346">
        <v>1</v>
      </c>
      <c r="R185" s="346">
        <v>51</v>
      </c>
      <c r="S185" s="347">
        <v>853</v>
      </c>
      <c r="T185" s="348">
        <v>170</v>
      </c>
      <c r="U185" s="347">
        <v>1250</v>
      </c>
      <c r="V185" s="348">
        <v>250</v>
      </c>
      <c r="W185" s="347">
        <v>1500</v>
      </c>
      <c r="X185" s="348">
        <v>300</v>
      </c>
      <c r="Y185" s="334">
        <f t="shared" si="20"/>
        <v>3603</v>
      </c>
      <c r="Z185" s="338">
        <f t="shared" si="21"/>
        <v>720</v>
      </c>
      <c r="AA185" s="323">
        <f>IF(Y185&lt;&gt;0,Z185/Q185,"")</f>
        <v>720</v>
      </c>
      <c r="AB185" s="324">
        <f>IF(Y185&lt;&gt;0,Y185/Z185,"")</f>
        <v>5.004166666666666</v>
      </c>
      <c r="AC185" s="330">
        <v>0</v>
      </c>
      <c r="AD185" s="326">
        <f t="shared" si="33"/>
      </c>
      <c r="AE185" s="327">
        <f t="shared" si="22"/>
        <v>0</v>
      </c>
      <c r="AF185" s="323">
        <f t="shared" si="23"/>
        <v>0</v>
      </c>
      <c r="AG185" s="334">
        <v>3603</v>
      </c>
      <c r="AH185" s="338">
        <v>720</v>
      </c>
      <c r="AI185" s="326">
        <f t="shared" si="24"/>
        <v>1</v>
      </c>
      <c r="AJ185" s="326">
        <f t="shared" si="25"/>
        <v>0</v>
      </c>
      <c r="AK185" s="323">
        <f t="shared" si="26"/>
        <v>720</v>
      </c>
      <c r="AL185" s="324">
        <f t="shared" si="27"/>
        <v>5.004166666666666</v>
      </c>
      <c r="AM185" s="334"/>
      <c r="AN185" s="326">
        <f t="shared" si="32"/>
      </c>
      <c r="AO185" s="334">
        <f>5039812.5+1919+2402+2402+1201+3603</f>
        <v>5051339.5</v>
      </c>
      <c r="AP185" s="338">
        <f>1038442+320+480+480+240+720</f>
        <v>1040682</v>
      </c>
      <c r="AQ185" s="329">
        <f t="shared" si="28"/>
        <v>4.8538741901945075</v>
      </c>
      <c r="AR185" s="297">
        <v>40984</v>
      </c>
      <c r="AS185" s="293"/>
    </row>
    <row r="186" spans="1:45" s="233" customFormat="1" ht="11.25" customHeight="1" hidden="1">
      <c r="A186" s="295"/>
      <c r="B186" s="236"/>
      <c r="C186" s="236" t="s">
        <v>223</v>
      </c>
      <c r="D186" s="236"/>
      <c r="E186" s="236"/>
      <c r="F186" s="236"/>
      <c r="G186" s="236"/>
      <c r="H186" s="236"/>
      <c r="I186" s="236"/>
      <c r="J186" s="366" t="s">
        <v>623</v>
      </c>
      <c r="K186" s="312" t="s">
        <v>912</v>
      </c>
      <c r="L186" s="319" t="s">
        <v>855</v>
      </c>
      <c r="M186" s="339" t="s">
        <v>624</v>
      </c>
      <c r="N186" s="369">
        <v>38275</v>
      </c>
      <c r="O186" s="288" t="s">
        <v>622</v>
      </c>
      <c r="P186" s="312">
        <v>13</v>
      </c>
      <c r="Q186" s="340">
        <v>1</v>
      </c>
      <c r="R186" s="340">
        <v>31</v>
      </c>
      <c r="S186" s="332">
        <v>0</v>
      </c>
      <c r="T186" s="333">
        <v>0</v>
      </c>
      <c r="U186" s="332">
        <v>2158</v>
      </c>
      <c r="V186" s="333">
        <v>361</v>
      </c>
      <c r="W186" s="332">
        <v>0</v>
      </c>
      <c r="X186" s="333">
        <v>0</v>
      </c>
      <c r="Y186" s="334">
        <f t="shared" si="20"/>
        <v>2158</v>
      </c>
      <c r="Z186" s="338">
        <f t="shared" si="21"/>
        <v>361</v>
      </c>
      <c r="AA186" s="323">
        <f>IF(Y186&lt;&gt;0,Z186/Q186,"")</f>
        <v>361</v>
      </c>
      <c r="AB186" s="324">
        <f>IF(Y186&lt;&gt;0,Y186/Z186,"")</f>
        <v>5.977839335180056</v>
      </c>
      <c r="AC186" s="330">
        <v>0</v>
      </c>
      <c r="AD186" s="326">
        <f t="shared" si="33"/>
      </c>
      <c r="AE186" s="327">
        <f t="shared" si="22"/>
        <v>0</v>
      </c>
      <c r="AF186" s="323">
        <f t="shared" si="23"/>
        <v>0</v>
      </c>
      <c r="AG186" s="342">
        <v>2158</v>
      </c>
      <c r="AH186" s="343">
        <v>361</v>
      </c>
      <c r="AI186" s="326">
        <f t="shared" si="24"/>
        <v>1</v>
      </c>
      <c r="AJ186" s="326">
        <f t="shared" si="25"/>
        <v>0</v>
      </c>
      <c r="AK186" s="323">
        <f t="shared" si="26"/>
        <v>361</v>
      </c>
      <c r="AL186" s="324">
        <f t="shared" si="27"/>
        <v>5.977839335180056</v>
      </c>
      <c r="AM186" s="328"/>
      <c r="AN186" s="326">
        <f t="shared" si="32"/>
      </c>
      <c r="AO186" s="342">
        <v>91359.5</v>
      </c>
      <c r="AP186" s="343">
        <v>14616</v>
      </c>
      <c r="AQ186" s="329">
        <f t="shared" si="28"/>
        <v>6.250649972632731</v>
      </c>
      <c r="AR186" s="297">
        <v>40984</v>
      </c>
      <c r="AS186" s="293"/>
    </row>
    <row r="187" spans="1:45" s="233" customFormat="1" ht="11.25" customHeight="1" hidden="1">
      <c r="A187" s="295"/>
      <c r="B187" s="236"/>
      <c r="C187" s="236" t="s">
        <v>223</v>
      </c>
      <c r="D187" s="236"/>
      <c r="E187" s="236"/>
      <c r="F187" s="236"/>
      <c r="G187" s="236"/>
      <c r="H187" s="236"/>
      <c r="I187" s="236"/>
      <c r="J187" s="366" t="s">
        <v>631</v>
      </c>
      <c r="K187" s="312" t="s">
        <v>913</v>
      </c>
      <c r="L187" s="319" t="s">
        <v>128</v>
      </c>
      <c r="M187" s="339" t="s">
        <v>630</v>
      </c>
      <c r="N187" s="369">
        <v>38478</v>
      </c>
      <c r="O187" s="288" t="s">
        <v>622</v>
      </c>
      <c r="P187" s="312">
        <v>11</v>
      </c>
      <c r="Q187" s="340">
        <v>1</v>
      </c>
      <c r="R187" s="340">
        <v>19</v>
      </c>
      <c r="S187" s="332">
        <v>0</v>
      </c>
      <c r="T187" s="333">
        <v>0</v>
      </c>
      <c r="U187" s="332">
        <v>0</v>
      </c>
      <c r="V187" s="333">
        <v>0</v>
      </c>
      <c r="W187" s="332">
        <v>0</v>
      </c>
      <c r="X187" s="333">
        <v>0</v>
      </c>
      <c r="Y187" s="334">
        <f t="shared" si="20"/>
        <v>0</v>
      </c>
      <c r="Z187" s="338">
        <f t="shared" si="21"/>
        <v>0</v>
      </c>
      <c r="AA187" s="323">
        <f>IF(Y187&lt;&gt;0,Z187/Q187,"")</f>
      </c>
      <c r="AB187" s="324">
        <f>IF(Y187&lt;&gt;0,Y187/Z187,"")</f>
      </c>
      <c r="AC187" s="330">
        <v>0</v>
      </c>
      <c r="AD187" s="326">
        <f t="shared" si="33"/>
      </c>
      <c r="AE187" s="327">
        <f t="shared" si="22"/>
        <v>2158</v>
      </c>
      <c r="AF187" s="323">
        <f t="shared" si="23"/>
        <v>361</v>
      </c>
      <c r="AG187" s="342">
        <v>2158</v>
      </c>
      <c r="AH187" s="343">
        <v>361</v>
      </c>
      <c r="AI187" s="326">
        <f t="shared" si="24"/>
        <v>0</v>
      </c>
      <c r="AJ187" s="326">
        <f t="shared" si="25"/>
        <v>1</v>
      </c>
      <c r="AK187" s="323">
        <f t="shared" si="26"/>
        <v>361</v>
      </c>
      <c r="AL187" s="324">
        <f t="shared" si="27"/>
        <v>5.977839335180056</v>
      </c>
      <c r="AM187" s="328"/>
      <c r="AN187" s="326">
        <f t="shared" si="32"/>
      </c>
      <c r="AO187" s="342">
        <v>33631</v>
      </c>
      <c r="AP187" s="343">
        <v>6544</v>
      </c>
      <c r="AQ187" s="329">
        <f t="shared" si="28"/>
        <v>5.139211491442543</v>
      </c>
      <c r="AR187" s="297">
        <v>40984</v>
      </c>
      <c r="AS187" s="293"/>
    </row>
    <row r="188" spans="1:45" s="233" customFormat="1" ht="11.25" customHeight="1" hidden="1">
      <c r="A188" s="295"/>
      <c r="B188" s="236"/>
      <c r="C188" s="236" t="s">
        <v>223</v>
      </c>
      <c r="D188" s="236"/>
      <c r="E188" s="236"/>
      <c r="F188" s="236"/>
      <c r="G188" s="236"/>
      <c r="H188" s="236"/>
      <c r="I188" s="236"/>
      <c r="J188" s="366" t="s">
        <v>634</v>
      </c>
      <c r="K188" s="339" t="s">
        <v>118</v>
      </c>
      <c r="L188" s="339" t="s">
        <v>88</v>
      </c>
      <c r="M188" s="339" t="s">
        <v>636</v>
      </c>
      <c r="N188" s="370">
        <v>40494</v>
      </c>
      <c r="O188" s="288" t="s">
        <v>68</v>
      </c>
      <c r="P188" s="312">
        <v>80</v>
      </c>
      <c r="Q188" s="312">
        <v>1</v>
      </c>
      <c r="R188" s="312">
        <v>13</v>
      </c>
      <c r="S188" s="325">
        <v>0</v>
      </c>
      <c r="T188" s="355">
        <v>0</v>
      </c>
      <c r="U188" s="325">
        <v>0</v>
      </c>
      <c r="V188" s="355">
        <v>0</v>
      </c>
      <c r="W188" s="325">
        <v>0</v>
      </c>
      <c r="X188" s="355">
        <v>0</v>
      </c>
      <c r="Y188" s="334">
        <f t="shared" si="20"/>
        <v>0</v>
      </c>
      <c r="Z188" s="338">
        <f t="shared" si="21"/>
        <v>0</v>
      </c>
      <c r="AA188" s="323"/>
      <c r="AB188" s="324"/>
      <c r="AC188" s="334">
        <v>0</v>
      </c>
      <c r="AD188" s="326">
        <f t="shared" si="33"/>
      </c>
      <c r="AE188" s="327">
        <f t="shared" si="22"/>
        <v>1782</v>
      </c>
      <c r="AF188" s="323">
        <f t="shared" si="23"/>
        <v>356</v>
      </c>
      <c r="AG188" s="328">
        <v>1782</v>
      </c>
      <c r="AH188" s="344">
        <v>356</v>
      </c>
      <c r="AI188" s="326">
        <f t="shared" si="24"/>
        <v>0</v>
      </c>
      <c r="AJ188" s="326">
        <f t="shared" si="25"/>
        <v>1</v>
      </c>
      <c r="AK188" s="323">
        <f t="shared" si="26"/>
        <v>356</v>
      </c>
      <c r="AL188" s="324">
        <f t="shared" si="27"/>
        <v>5.00561797752809</v>
      </c>
      <c r="AM188" s="328"/>
      <c r="AN188" s="326">
        <f t="shared" si="32"/>
      </c>
      <c r="AO188" s="328">
        <f>400584.5+260220.5+91588.5+26738.5+6598.5+10112.5+8832+11751.5+1782+1570.5+3564+90+1782</f>
        <v>825215</v>
      </c>
      <c r="AP188" s="344">
        <f>34427+24318+9929+5066+1310+1866+1322+2055+445+470+891+15+356</f>
        <v>82470</v>
      </c>
      <c r="AQ188" s="329">
        <f t="shared" si="28"/>
        <v>10.006244695040621</v>
      </c>
      <c r="AR188" s="297">
        <v>40984</v>
      </c>
      <c r="AS188" s="293"/>
    </row>
    <row r="189" spans="1:45" s="233" customFormat="1" ht="11.25" customHeight="1" hidden="1">
      <c r="A189" s="295"/>
      <c r="B189" s="236"/>
      <c r="C189" s="236" t="s">
        <v>223</v>
      </c>
      <c r="D189" s="236"/>
      <c r="E189" s="236"/>
      <c r="F189" s="236"/>
      <c r="G189" s="236"/>
      <c r="H189" s="236"/>
      <c r="I189" s="236"/>
      <c r="J189" s="366" t="s">
        <v>635</v>
      </c>
      <c r="K189" s="339" t="s">
        <v>118</v>
      </c>
      <c r="L189" s="339" t="s">
        <v>88</v>
      </c>
      <c r="M189" s="339" t="s">
        <v>637</v>
      </c>
      <c r="N189" s="370">
        <v>41161</v>
      </c>
      <c r="O189" s="288" t="s">
        <v>68</v>
      </c>
      <c r="P189" s="312">
        <v>57</v>
      </c>
      <c r="Q189" s="312">
        <v>1</v>
      </c>
      <c r="R189" s="312">
        <v>18</v>
      </c>
      <c r="S189" s="325">
        <v>0</v>
      </c>
      <c r="T189" s="355">
        <v>0</v>
      </c>
      <c r="U189" s="325">
        <v>0</v>
      </c>
      <c r="V189" s="355">
        <v>0</v>
      </c>
      <c r="W189" s="325">
        <v>0</v>
      </c>
      <c r="X189" s="355">
        <v>0</v>
      </c>
      <c r="Y189" s="334">
        <f t="shared" si="20"/>
        <v>0</v>
      </c>
      <c r="Z189" s="338">
        <f t="shared" si="21"/>
        <v>0</v>
      </c>
      <c r="AA189" s="323"/>
      <c r="AB189" s="324"/>
      <c r="AC189" s="330">
        <v>0</v>
      </c>
      <c r="AD189" s="326">
        <f t="shared" si="33"/>
      </c>
      <c r="AE189" s="327">
        <f t="shared" si="22"/>
        <v>1425.5</v>
      </c>
      <c r="AF189" s="323">
        <f t="shared" si="23"/>
        <v>285</v>
      </c>
      <c r="AG189" s="328">
        <v>1425.5</v>
      </c>
      <c r="AH189" s="344">
        <v>285</v>
      </c>
      <c r="AI189" s="326">
        <f t="shared" si="24"/>
        <v>0</v>
      </c>
      <c r="AJ189" s="326">
        <f t="shared" si="25"/>
        <v>1</v>
      </c>
      <c r="AK189" s="323">
        <f t="shared" si="26"/>
        <v>285</v>
      </c>
      <c r="AL189" s="324">
        <f t="shared" si="27"/>
        <v>5.0017543859649125</v>
      </c>
      <c r="AM189" s="328"/>
      <c r="AN189" s="326">
        <f t="shared" si="32"/>
      </c>
      <c r="AO189" s="328">
        <f>15818.5+150711.5+75138.5+33591.5+30249.5+17415.5+8294.5+10566+6016+6121.5+888.5+2484+322+4243.5+950.5+1782+1782+4752+1425.5</f>
        <v>372553</v>
      </c>
      <c r="AP189" s="344">
        <f>1512+15643+7345+4634+4073+2646+1136+2027+1109+1483+117+572+47+1041+237+445+446+1188+285</f>
        <v>45986</v>
      </c>
      <c r="AQ189" s="329">
        <f t="shared" si="28"/>
        <v>8.101443917714088</v>
      </c>
      <c r="AR189" s="297">
        <v>40984</v>
      </c>
      <c r="AS189" s="293"/>
    </row>
    <row r="190" spans="1:45" s="233" customFormat="1" ht="11.25" customHeight="1" hidden="1">
      <c r="A190" s="295"/>
      <c r="B190" s="236"/>
      <c r="C190" s="236" t="s">
        <v>223</v>
      </c>
      <c r="D190" s="236"/>
      <c r="E190" s="236"/>
      <c r="F190" s="236"/>
      <c r="G190" s="236"/>
      <c r="H190" s="236"/>
      <c r="I190" s="236" t="s">
        <v>54</v>
      </c>
      <c r="J190" s="360" t="s">
        <v>633</v>
      </c>
      <c r="K190" s="288"/>
      <c r="L190" s="288"/>
      <c r="M190" s="288" t="s">
        <v>633</v>
      </c>
      <c r="N190" s="369">
        <v>38429</v>
      </c>
      <c r="O190" s="288" t="s">
        <v>53</v>
      </c>
      <c r="P190" s="312">
        <v>95</v>
      </c>
      <c r="Q190" s="346">
        <v>1</v>
      </c>
      <c r="R190" s="346">
        <v>41</v>
      </c>
      <c r="S190" s="347">
        <v>0</v>
      </c>
      <c r="T190" s="348">
        <v>0</v>
      </c>
      <c r="U190" s="347">
        <v>0</v>
      </c>
      <c r="V190" s="348">
        <v>0</v>
      </c>
      <c r="W190" s="347">
        <v>0</v>
      </c>
      <c r="X190" s="348">
        <v>0</v>
      </c>
      <c r="Y190" s="334">
        <f t="shared" si="20"/>
        <v>0</v>
      </c>
      <c r="Z190" s="338">
        <f t="shared" si="21"/>
        <v>0</v>
      </c>
      <c r="AA190" s="323">
        <f aca="true" t="shared" si="36" ref="AA190:AA195">IF(Y190&lt;&gt;0,Z190/Q190,"")</f>
      </c>
      <c r="AB190" s="324">
        <f aca="true" t="shared" si="37" ref="AB190:AB195">IF(Y190&lt;&gt;0,Y190/Z190,"")</f>
      </c>
      <c r="AC190" s="330">
        <v>0</v>
      </c>
      <c r="AD190" s="326">
        <f t="shared" si="33"/>
      </c>
      <c r="AE190" s="327">
        <f t="shared" si="22"/>
        <v>1199</v>
      </c>
      <c r="AF190" s="323">
        <f t="shared" si="23"/>
        <v>200</v>
      </c>
      <c r="AG190" s="334">
        <v>1199</v>
      </c>
      <c r="AH190" s="338">
        <v>200</v>
      </c>
      <c r="AI190" s="326">
        <f t="shared" si="24"/>
        <v>0</v>
      </c>
      <c r="AJ190" s="326">
        <f t="shared" si="25"/>
        <v>1</v>
      </c>
      <c r="AK190" s="323">
        <f t="shared" si="26"/>
        <v>200</v>
      </c>
      <c r="AL190" s="324">
        <f t="shared" si="27"/>
        <v>5.995</v>
      </c>
      <c r="AM190" s="334"/>
      <c r="AN190" s="326">
        <f t="shared" si="32"/>
      </c>
      <c r="AO190" s="334">
        <v>3584745.62</v>
      </c>
      <c r="AP190" s="338">
        <v>677738</v>
      </c>
      <c r="AQ190" s="329">
        <f t="shared" si="28"/>
        <v>5.28927936754321</v>
      </c>
      <c r="AR190" s="297">
        <v>40984</v>
      </c>
      <c r="AS190" s="293"/>
    </row>
    <row r="191" spans="1:45" s="233" customFormat="1" ht="11.25" customHeight="1" hidden="1">
      <c r="A191" s="295"/>
      <c r="B191" s="236"/>
      <c r="C191" s="236" t="s">
        <v>223</v>
      </c>
      <c r="D191" s="236" t="s">
        <v>193</v>
      </c>
      <c r="E191" s="236"/>
      <c r="F191" s="236"/>
      <c r="G191" s="236" t="s">
        <v>250</v>
      </c>
      <c r="H191" s="236" t="s">
        <v>55</v>
      </c>
      <c r="I191" s="236"/>
      <c r="J191" s="367" t="s">
        <v>49</v>
      </c>
      <c r="K191" s="353" t="s">
        <v>90</v>
      </c>
      <c r="L191" s="353" t="s">
        <v>91</v>
      </c>
      <c r="M191" s="319" t="s">
        <v>59</v>
      </c>
      <c r="N191" s="370">
        <v>40774</v>
      </c>
      <c r="O191" s="288" t="s">
        <v>12</v>
      </c>
      <c r="P191" s="312">
        <v>123</v>
      </c>
      <c r="Q191" s="312">
        <v>1</v>
      </c>
      <c r="R191" s="312">
        <v>31</v>
      </c>
      <c r="S191" s="347">
        <v>171</v>
      </c>
      <c r="T191" s="348">
        <v>27</v>
      </c>
      <c r="U191" s="347">
        <v>209</v>
      </c>
      <c r="V191" s="348">
        <v>34</v>
      </c>
      <c r="W191" s="347">
        <v>219</v>
      </c>
      <c r="X191" s="348">
        <v>36</v>
      </c>
      <c r="Y191" s="334">
        <f t="shared" si="20"/>
        <v>599</v>
      </c>
      <c r="Z191" s="338">
        <f t="shared" si="21"/>
        <v>97</v>
      </c>
      <c r="AA191" s="323">
        <f t="shared" si="36"/>
        <v>97</v>
      </c>
      <c r="AB191" s="324">
        <f t="shared" si="37"/>
        <v>6.175257731958763</v>
      </c>
      <c r="AC191" s="330">
        <v>0</v>
      </c>
      <c r="AD191" s="326">
        <f t="shared" si="33"/>
      </c>
      <c r="AE191" s="327">
        <f t="shared" si="22"/>
        <v>598</v>
      </c>
      <c r="AF191" s="323">
        <f t="shared" si="23"/>
        <v>92</v>
      </c>
      <c r="AG191" s="334">
        <v>1197</v>
      </c>
      <c r="AH191" s="338">
        <v>189</v>
      </c>
      <c r="AI191" s="326">
        <f t="shared" si="24"/>
        <v>0.5132275132275133</v>
      </c>
      <c r="AJ191" s="326">
        <f t="shared" si="25"/>
        <v>0.48677248677248675</v>
      </c>
      <c r="AK191" s="323">
        <f t="shared" si="26"/>
        <v>189</v>
      </c>
      <c r="AL191" s="324">
        <f t="shared" si="27"/>
        <v>6.333333333333333</v>
      </c>
      <c r="AM191" s="334"/>
      <c r="AN191" s="326">
        <f t="shared" si="32"/>
      </c>
      <c r="AO191" s="334">
        <v>7033893</v>
      </c>
      <c r="AP191" s="338">
        <v>689712</v>
      </c>
      <c r="AQ191" s="329">
        <f t="shared" si="28"/>
        <v>10.1983045097084</v>
      </c>
      <c r="AR191" s="297">
        <v>40984</v>
      </c>
      <c r="AS191" s="293"/>
    </row>
    <row r="192" spans="1:45" s="233" customFormat="1" ht="11.25" customHeight="1" hidden="1">
      <c r="A192" s="295"/>
      <c r="B192" s="293"/>
      <c r="C192" s="236" t="s">
        <v>223</v>
      </c>
      <c r="D192" s="236"/>
      <c r="E192" s="236"/>
      <c r="F192" s="236"/>
      <c r="G192" s="236"/>
      <c r="H192" s="294"/>
      <c r="I192" s="236" t="s">
        <v>54</v>
      </c>
      <c r="J192" s="364" t="s">
        <v>130</v>
      </c>
      <c r="K192" s="312" t="s">
        <v>131</v>
      </c>
      <c r="L192" s="340"/>
      <c r="M192" s="340" t="s">
        <v>130</v>
      </c>
      <c r="N192" s="369">
        <v>40893</v>
      </c>
      <c r="O192" s="288" t="s">
        <v>8</v>
      </c>
      <c r="P192" s="340">
        <v>131</v>
      </c>
      <c r="Q192" s="340">
        <v>2</v>
      </c>
      <c r="R192" s="340">
        <v>14</v>
      </c>
      <c r="S192" s="332">
        <v>48</v>
      </c>
      <c r="T192" s="333">
        <v>8</v>
      </c>
      <c r="U192" s="332">
        <v>239</v>
      </c>
      <c r="V192" s="333">
        <v>58</v>
      </c>
      <c r="W192" s="332">
        <v>455</v>
      </c>
      <c r="X192" s="333">
        <v>142</v>
      </c>
      <c r="Y192" s="334">
        <f t="shared" si="20"/>
        <v>742</v>
      </c>
      <c r="Z192" s="338">
        <f t="shared" si="21"/>
        <v>208</v>
      </c>
      <c r="AA192" s="323">
        <f t="shared" si="36"/>
        <v>104</v>
      </c>
      <c r="AB192" s="324">
        <f t="shared" si="37"/>
        <v>3.5673076923076925</v>
      </c>
      <c r="AC192" s="330">
        <v>0</v>
      </c>
      <c r="AD192" s="326">
        <f t="shared" si="33"/>
      </c>
      <c r="AE192" s="327">
        <f t="shared" si="22"/>
        <v>324</v>
      </c>
      <c r="AF192" s="323">
        <f t="shared" si="23"/>
        <v>81</v>
      </c>
      <c r="AG192" s="342">
        <v>1066</v>
      </c>
      <c r="AH192" s="343">
        <v>289</v>
      </c>
      <c r="AI192" s="326">
        <f t="shared" si="24"/>
        <v>0.7197231833910035</v>
      </c>
      <c r="AJ192" s="326">
        <f t="shared" si="25"/>
        <v>0.28027681660899656</v>
      </c>
      <c r="AK192" s="323">
        <f t="shared" si="26"/>
        <v>144.5</v>
      </c>
      <c r="AL192" s="324">
        <f t="shared" si="27"/>
        <v>3.688581314878893</v>
      </c>
      <c r="AM192" s="328"/>
      <c r="AN192" s="326">
        <f t="shared" si="32"/>
      </c>
      <c r="AO192" s="342">
        <v>15469006</v>
      </c>
      <c r="AP192" s="343">
        <v>1730696</v>
      </c>
      <c r="AQ192" s="329">
        <f t="shared" si="28"/>
        <v>8.938026088926074</v>
      </c>
      <c r="AR192" s="297">
        <v>40984</v>
      </c>
      <c r="AS192" s="293"/>
    </row>
    <row r="193" spans="1:45" s="233" customFormat="1" ht="11.25" customHeight="1" hidden="1">
      <c r="A193" s="295"/>
      <c r="B193" s="236"/>
      <c r="C193" s="236" t="s">
        <v>223</v>
      </c>
      <c r="D193" s="293"/>
      <c r="E193" s="293"/>
      <c r="F193" s="236"/>
      <c r="G193" s="293"/>
      <c r="H193" s="236"/>
      <c r="I193" s="236" t="s">
        <v>54</v>
      </c>
      <c r="J193" s="360" t="s">
        <v>609</v>
      </c>
      <c r="K193" s="312"/>
      <c r="L193" s="288"/>
      <c r="M193" s="288" t="s">
        <v>609</v>
      </c>
      <c r="N193" s="370">
        <v>40620</v>
      </c>
      <c r="O193" s="288" t="s">
        <v>52</v>
      </c>
      <c r="P193" s="331">
        <v>218</v>
      </c>
      <c r="Q193" s="312">
        <v>1</v>
      </c>
      <c r="R193" s="312">
        <v>27</v>
      </c>
      <c r="S193" s="334">
        <v>0</v>
      </c>
      <c r="T193" s="338">
        <v>0</v>
      </c>
      <c r="U193" s="334">
        <v>0</v>
      </c>
      <c r="V193" s="338">
        <v>0</v>
      </c>
      <c r="W193" s="334">
        <v>0</v>
      </c>
      <c r="X193" s="338">
        <v>0</v>
      </c>
      <c r="Y193" s="334">
        <f t="shared" si="20"/>
        <v>0</v>
      </c>
      <c r="Z193" s="338">
        <f t="shared" si="21"/>
        <v>0</v>
      </c>
      <c r="AA193" s="323">
        <f t="shared" si="36"/>
      </c>
      <c r="AB193" s="324">
        <f t="shared" si="37"/>
      </c>
      <c r="AC193" s="330">
        <v>0</v>
      </c>
      <c r="AD193" s="326">
        <f t="shared" si="33"/>
      </c>
      <c r="AE193" s="327">
        <f t="shared" si="22"/>
        <v>3564</v>
      </c>
      <c r="AF193" s="323">
        <f t="shared" si="23"/>
        <v>713</v>
      </c>
      <c r="AG193" s="334">
        <v>3564</v>
      </c>
      <c r="AH193" s="338">
        <v>713</v>
      </c>
      <c r="AI193" s="326">
        <f t="shared" si="24"/>
        <v>0</v>
      </c>
      <c r="AJ193" s="326">
        <f t="shared" si="25"/>
        <v>1</v>
      </c>
      <c r="AK193" s="323">
        <f t="shared" si="26"/>
        <v>713</v>
      </c>
      <c r="AL193" s="324">
        <f t="shared" si="27"/>
        <v>4.998597475455821</v>
      </c>
      <c r="AM193" s="328"/>
      <c r="AN193" s="326">
        <f t="shared" si="32"/>
      </c>
      <c r="AO193" s="334">
        <f>868723.5+629960.75+471670+272432+164061+97109.5+34971.5+29195+10591.5+4973+1214+25859.5+8228+5222+126+1321+161+8414+5940+170+7722+2970+242+249+16632+18847+2376+3564</f>
        <v>2692945.25</v>
      </c>
      <c r="AP193" s="338">
        <f>93361+70981+54177+33865+22657+14644+6278+5343+1965+923+199+3609+1160+736+18+257+23+1598+1188+23+1386+594+42+42+3326+3498+339+713</f>
        <v>322945</v>
      </c>
      <c r="AQ193" s="329">
        <f t="shared" si="28"/>
        <v>8.338711700134699</v>
      </c>
      <c r="AR193" s="297">
        <v>40977</v>
      </c>
      <c r="AS193" s="293"/>
    </row>
    <row r="194" spans="1:45" s="233" customFormat="1" ht="11.25" customHeight="1" hidden="1">
      <c r="A194" s="295"/>
      <c r="B194" s="293"/>
      <c r="C194" s="236"/>
      <c r="D194" s="236"/>
      <c r="E194" s="236"/>
      <c r="F194" s="236"/>
      <c r="G194" s="236"/>
      <c r="H194" s="236"/>
      <c r="I194" s="236"/>
      <c r="J194" s="366" t="s">
        <v>517</v>
      </c>
      <c r="K194" s="312" t="s">
        <v>187</v>
      </c>
      <c r="L194" s="341" t="s">
        <v>91</v>
      </c>
      <c r="M194" s="339" t="s">
        <v>519</v>
      </c>
      <c r="N194" s="370">
        <v>40949</v>
      </c>
      <c r="O194" s="288" t="s">
        <v>12</v>
      </c>
      <c r="P194" s="312">
        <v>15</v>
      </c>
      <c r="Q194" s="312">
        <v>2</v>
      </c>
      <c r="R194" s="312">
        <v>5</v>
      </c>
      <c r="S194" s="347">
        <v>117</v>
      </c>
      <c r="T194" s="348">
        <v>10</v>
      </c>
      <c r="U194" s="347">
        <v>318</v>
      </c>
      <c r="V194" s="348">
        <v>30</v>
      </c>
      <c r="W194" s="347">
        <v>676</v>
      </c>
      <c r="X194" s="348">
        <v>56</v>
      </c>
      <c r="Y194" s="334">
        <f t="shared" si="20"/>
        <v>1111</v>
      </c>
      <c r="Z194" s="338">
        <f t="shared" si="21"/>
        <v>96</v>
      </c>
      <c r="AA194" s="323">
        <f t="shared" si="36"/>
        <v>48</v>
      </c>
      <c r="AB194" s="324">
        <f t="shared" si="37"/>
        <v>11.572916666666666</v>
      </c>
      <c r="AC194" s="330">
        <v>0</v>
      </c>
      <c r="AD194" s="326">
        <f t="shared" si="33"/>
      </c>
      <c r="AE194" s="327">
        <f t="shared" si="22"/>
        <v>715</v>
      </c>
      <c r="AF194" s="323">
        <f t="shared" si="23"/>
        <v>94</v>
      </c>
      <c r="AG194" s="334">
        <v>1826</v>
      </c>
      <c r="AH194" s="338">
        <v>190</v>
      </c>
      <c r="AI194" s="326">
        <f t="shared" si="24"/>
        <v>0.5052631578947369</v>
      </c>
      <c r="AJ194" s="326">
        <f t="shared" si="25"/>
        <v>0.49473684210526314</v>
      </c>
      <c r="AK194" s="323">
        <f t="shared" si="26"/>
        <v>95</v>
      </c>
      <c r="AL194" s="324">
        <f t="shared" si="27"/>
        <v>9.610526315789473</v>
      </c>
      <c r="AM194" s="328"/>
      <c r="AN194" s="326">
        <f t="shared" si="32"/>
      </c>
      <c r="AO194" s="334">
        <v>87720</v>
      </c>
      <c r="AP194" s="338">
        <v>7372</v>
      </c>
      <c r="AQ194" s="329">
        <f t="shared" si="28"/>
        <v>11.899077590884428</v>
      </c>
      <c r="AR194" s="297">
        <v>40977</v>
      </c>
      <c r="AS194" s="293"/>
    </row>
    <row r="195" spans="1:45" s="233" customFormat="1" ht="11.25" customHeight="1" hidden="1">
      <c r="A195" s="295"/>
      <c r="B195" s="236"/>
      <c r="C195" s="236" t="s">
        <v>223</v>
      </c>
      <c r="D195" s="236"/>
      <c r="E195" s="236"/>
      <c r="F195" s="236"/>
      <c r="G195" s="236"/>
      <c r="H195" s="236"/>
      <c r="I195" s="236"/>
      <c r="J195" s="366" t="s">
        <v>95</v>
      </c>
      <c r="K195" s="312" t="s">
        <v>873</v>
      </c>
      <c r="L195" s="319" t="s">
        <v>79</v>
      </c>
      <c r="M195" s="339" t="s">
        <v>96</v>
      </c>
      <c r="N195" s="370">
        <v>40872</v>
      </c>
      <c r="O195" s="288" t="s">
        <v>68</v>
      </c>
      <c r="P195" s="312">
        <v>20</v>
      </c>
      <c r="Q195" s="312">
        <v>1</v>
      </c>
      <c r="R195" s="312">
        <v>14</v>
      </c>
      <c r="S195" s="325">
        <v>0</v>
      </c>
      <c r="T195" s="355">
        <v>0</v>
      </c>
      <c r="U195" s="325">
        <v>0</v>
      </c>
      <c r="V195" s="355">
        <v>0</v>
      </c>
      <c r="W195" s="325">
        <v>0</v>
      </c>
      <c r="X195" s="355">
        <v>0</v>
      </c>
      <c r="Y195" s="334">
        <f t="shared" si="20"/>
        <v>0</v>
      </c>
      <c r="Z195" s="338">
        <f t="shared" si="21"/>
        <v>0</v>
      </c>
      <c r="AA195" s="323">
        <f t="shared" si="36"/>
      </c>
      <c r="AB195" s="324">
        <f t="shared" si="37"/>
      </c>
      <c r="AC195" s="334">
        <v>0</v>
      </c>
      <c r="AD195" s="326">
        <f t="shared" si="33"/>
      </c>
      <c r="AE195" s="327">
        <f t="shared" si="22"/>
        <v>1188</v>
      </c>
      <c r="AF195" s="323">
        <f t="shared" si="23"/>
        <v>238</v>
      </c>
      <c r="AG195" s="328">
        <v>1188</v>
      </c>
      <c r="AH195" s="344">
        <v>238</v>
      </c>
      <c r="AI195" s="326">
        <f t="shared" si="24"/>
        <v>0</v>
      </c>
      <c r="AJ195" s="326">
        <f t="shared" si="25"/>
        <v>1</v>
      </c>
      <c r="AK195" s="323">
        <f t="shared" si="26"/>
        <v>238</v>
      </c>
      <c r="AL195" s="324">
        <f t="shared" si="27"/>
        <v>4.991596638655462</v>
      </c>
      <c r="AM195" s="328"/>
      <c r="AN195" s="326">
        <f t="shared" si="32"/>
      </c>
      <c r="AO195" s="328">
        <f>176767+122916.5+61599.5+22558.5+2646.5+4568+385+2545+1731+2348+5123.5+1188+3801.5+1188</f>
        <v>409366</v>
      </c>
      <c r="AP195" s="344">
        <f>14023+9525+5052+1961+507+655+55+406+298+346+724+238+761+238</f>
        <v>34789</v>
      </c>
      <c r="AQ195" s="329">
        <f t="shared" si="28"/>
        <v>11.767110293483572</v>
      </c>
      <c r="AR195" s="297">
        <v>40977</v>
      </c>
      <c r="AS195" s="293"/>
    </row>
    <row r="196" spans="1:45" s="233" customFormat="1" ht="11.25" customHeight="1" hidden="1">
      <c r="A196" s="295"/>
      <c r="B196" s="236"/>
      <c r="C196" s="236" t="s">
        <v>223</v>
      </c>
      <c r="D196" s="236"/>
      <c r="E196" s="236"/>
      <c r="F196" s="236"/>
      <c r="G196" s="236"/>
      <c r="H196" s="236"/>
      <c r="I196" s="236"/>
      <c r="J196" s="366" t="s">
        <v>529</v>
      </c>
      <c r="K196" s="339" t="s">
        <v>874</v>
      </c>
      <c r="L196" s="319" t="s">
        <v>120</v>
      </c>
      <c r="M196" s="339" t="s">
        <v>126</v>
      </c>
      <c r="N196" s="370">
        <v>40186</v>
      </c>
      <c r="O196" s="288" t="s">
        <v>68</v>
      </c>
      <c r="P196" s="312">
        <v>4</v>
      </c>
      <c r="Q196" s="312">
        <v>1</v>
      </c>
      <c r="R196" s="312">
        <v>38</v>
      </c>
      <c r="S196" s="325">
        <v>0</v>
      </c>
      <c r="T196" s="355">
        <v>0</v>
      </c>
      <c r="U196" s="325">
        <v>0</v>
      </c>
      <c r="V196" s="355">
        <v>0</v>
      </c>
      <c r="W196" s="325">
        <v>0</v>
      </c>
      <c r="X196" s="355">
        <v>0</v>
      </c>
      <c r="Y196" s="334">
        <f t="shared" si="20"/>
        <v>0</v>
      </c>
      <c r="Z196" s="338">
        <f t="shared" si="21"/>
        <v>0</v>
      </c>
      <c r="AA196" s="323"/>
      <c r="AB196" s="324"/>
      <c r="AC196" s="334">
        <v>0</v>
      </c>
      <c r="AD196" s="326">
        <f t="shared" si="33"/>
      </c>
      <c r="AE196" s="327">
        <f t="shared" si="22"/>
        <v>1188</v>
      </c>
      <c r="AF196" s="323">
        <f t="shared" si="23"/>
        <v>238</v>
      </c>
      <c r="AG196" s="328">
        <v>1188</v>
      </c>
      <c r="AH196" s="344">
        <v>238</v>
      </c>
      <c r="AI196" s="326">
        <f t="shared" si="24"/>
        <v>0</v>
      </c>
      <c r="AJ196" s="326">
        <f t="shared" si="25"/>
        <v>1</v>
      </c>
      <c r="AK196" s="323">
        <f t="shared" si="26"/>
        <v>238</v>
      </c>
      <c r="AL196" s="324">
        <f t="shared" si="27"/>
        <v>4.991596638655462</v>
      </c>
      <c r="AM196" s="328"/>
      <c r="AN196" s="326">
        <f t="shared" si="32"/>
      </c>
      <c r="AO196" s="328">
        <f>83443.75+1230+270+181+132+1991+2160.5+1188+1188+1188</f>
        <v>92972.25</v>
      </c>
      <c r="AP196" s="344">
        <f>11555+209+47+34+22+311+532+238+238+238</f>
        <v>13424</v>
      </c>
      <c r="AQ196" s="329">
        <f t="shared" si="28"/>
        <v>6.925823152562574</v>
      </c>
      <c r="AR196" s="297">
        <v>40977</v>
      </c>
      <c r="AS196" s="293"/>
    </row>
    <row r="197" spans="1:45" s="233" customFormat="1" ht="11.25" customHeight="1" hidden="1">
      <c r="A197" s="295"/>
      <c r="B197" s="236"/>
      <c r="C197" s="236" t="s">
        <v>223</v>
      </c>
      <c r="D197" s="293"/>
      <c r="E197" s="293"/>
      <c r="F197" s="236"/>
      <c r="G197" s="293"/>
      <c r="H197" s="236"/>
      <c r="I197" s="236" t="s">
        <v>54</v>
      </c>
      <c r="J197" s="360" t="s">
        <v>113</v>
      </c>
      <c r="K197" s="312" t="s">
        <v>115</v>
      </c>
      <c r="L197" s="288"/>
      <c r="M197" s="288" t="s">
        <v>113</v>
      </c>
      <c r="N197" s="370">
        <v>40886</v>
      </c>
      <c r="O197" s="288" t="s">
        <v>114</v>
      </c>
      <c r="P197" s="312">
        <v>82</v>
      </c>
      <c r="Q197" s="331">
        <v>3</v>
      </c>
      <c r="R197" s="331">
        <v>14</v>
      </c>
      <c r="S197" s="332">
        <v>0</v>
      </c>
      <c r="T197" s="333">
        <v>0</v>
      </c>
      <c r="U197" s="332">
        <v>0</v>
      </c>
      <c r="V197" s="333">
        <v>0</v>
      </c>
      <c r="W197" s="332">
        <v>0</v>
      </c>
      <c r="X197" s="333">
        <v>0</v>
      </c>
      <c r="Y197" s="334">
        <f t="shared" si="20"/>
        <v>0</v>
      </c>
      <c r="Z197" s="338">
        <f t="shared" si="21"/>
        <v>0</v>
      </c>
      <c r="AA197" s="323">
        <f>IF(Y197&lt;&gt;0,Z197/Q197,"")</f>
      </c>
      <c r="AB197" s="324">
        <f>IF(Y197&lt;&gt;0,Y197/Z197,"")</f>
      </c>
      <c r="AC197" s="334">
        <v>0</v>
      </c>
      <c r="AD197" s="326">
        <f t="shared" si="33"/>
      </c>
      <c r="AE197" s="327">
        <f t="shared" si="22"/>
        <v>1124.5</v>
      </c>
      <c r="AF197" s="323">
        <f t="shared" si="23"/>
        <v>76</v>
      </c>
      <c r="AG197" s="334">
        <v>1124.5</v>
      </c>
      <c r="AH197" s="338">
        <v>76</v>
      </c>
      <c r="AI197" s="326">
        <f t="shared" si="24"/>
        <v>0</v>
      </c>
      <c r="AJ197" s="326">
        <f t="shared" si="25"/>
        <v>1</v>
      </c>
      <c r="AK197" s="323">
        <f t="shared" si="26"/>
        <v>25.333333333333332</v>
      </c>
      <c r="AL197" s="324">
        <f t="shared" si="27"/>
        <v>14.796052631578947</v>
      </c>
      <c r="AM197" s="328"/>
      <c r="AN197" s="326">
        <f t="shared" si="32"/>
      </c>
      <c r="AO197" s="334">
        <v>78230.5</v>
      </c>
      <c r="AP197" s="338">
        <v>9358</v>
      </c>
      <c r="AQ197" s="329">
        <f t="shared" si="28"/>
        <v>8.359745672152169</v>
      </c>
      <c r="AR197" s="297">
        <v>40977</v>
      </c>
      <c r="AS197" s="293"/>
    </row>
    <row r="198" spans="1:45" s="233" customFormat="1" ht="11.25" customHeight="1" hidden="1">
      <c r="A198" s="295"/>
      <c r="B198" s="293"/>
      <c r="C198" s="236"/>
      <c r="D198" s="236"/>
      <c r="E198" s="236"/>
      <c r="F198" s="236"/>
      <c r="G198" s="236"/>
      <c r="H198" s="236"/>
      <c r="I198" s="236" t="s">
        <v>54</v>
      </c>
      <c r="J198" s="363" t="s">
        <v>509</v>
      </c>
      <c r="K198" s="312"/>
      <c r="L198" s="331" t="s">
        <v>128</v>
      </c>
      <c r="M198" s="319" t="s">
        <v>509</v>
      </c>
      <c r="N198" s="370">
        <v>40942</v>
      </c>
      <c r="O198" s="288" t="s">
        <v>53</v>
      </c>
      <c r="P198" s="346">
        <v>95</v>
      </c>
      <c r="Q198" s="346">
        <v>1</v>
      </c>
      <c r="R198" s="346">
        <v>6</v>
      </c>
      <c r="S198" s="347">
        <v>0</v>
      </c>
      <c r="T198" s="348">
        <v>0</v>
      </c>
      <c r="U198" s="347">
        <v>48</v>
      </c>
      <c r="V198" s="348">
        <v>6</v>
      </c>
      <c r="W198" s="347">
        <v>67</v>
      </c>
      <c r="X198" s="348">
        <v>8</v>
      </c>
      <c r="Y198" s="334">
        <f t="shared" si="20"/>
        <v>115</v>
      </c>
      <c r="Z198" s="338">
        <f t="shared" si="21"/>
        <v>14</v>
      </c>
      <c r="AA198" s="323">
        <f>IF(Y198&lt;&gt;0,Z198/Q198,"")</f>
        <v>14</v>
      </c>
      <c r="AB198" s="324">
        <f>IF(Y198&lt;&gt;0,Y198/Z198,"")</f>
        <v>8.214285714285714</v>
      </c>
      <c r="AC198" s="334">
        <v>0</v>
      </c>
      <c r="AD198" s="326">
        <f t="shared" si="33"/>
      </c>
      <c r="AE198" s="327">
        <f t="shared" si="22"/>
        <v>65</v>
      </c>
      <c r="AF198" s="323">
        <f t="shared" si="23"/>
        <v>8</v>
      </c>
      <c r="AG198" s="334">
        <v>180</v>
      </c>
      <c r="AH198" s="338">
        <v>22</v>
      </c>
      <c r="AI198" s="326">
        <f t="shared" si="24"/>
        <v>0.6363636363636364</v>
      </c>
      <c r="AJ198" s="326">
        <f t="shared" si="25"/>
        <v>0.36363636363636365</v>
      </c>
      <c r="AK198" s="323">
        <f t="shared" si="26"/>
        <v>22</v>
      </c>
      <c r="AL198" s="324">
        <f t="shared" si="27"/>
        <v>8.181818181818182</v>
      </c>
      <c r="AM198" s="330"/>
      <c r="AN198" s="326">
        <f t="shared" si="32"/>
      </c>
      <c r="AO198" s="334">
        <f>166893.1+124753.91+25288.04+4237+1396+180</f>
        <v>322748.05</v>
      </c>
      <c r="AP198" s="338">
        <f>18839+14893+3105+518+139+22</f>
        <v>37516</v>
      </c>
      <c r="AQ198" s="329">
        <f t="shared" si="28"/>
        <v>8.60294407719373</v>
      </c>
      <c r="AR198" s="297">
        <v>40977</v>
      </c>
      <c r="AS198" s="293"/>
    </row>
    <row r="199" spans="1:45" s="233" customFormat="1" ht="11.25" customHeight="1" hidden="1">
      <c r="A199" s="295"/>
      <c r="B199" s="236"/>
      <c r="C199" s="236" t="s">
        <v>223</v>
      </c>
      <c r="D199" s="236"/>
      <c r="E199" s="236"/>
      <c r="F199" s="236"/>
      <c r="G199" s="236"/>
      <c r="H199" s="236"/>
      <c r="I199" s="236"/>
      <c r="J199" s="366" t="s">
        <v>592</v>
      </c>
      <c r="K199" s="312" t="s">
        <v>348</v>
      </c>
      <c r="L199" s="319" t="s">
        <v>867</v>
      </c>
      <c r="M199" s="339" t="s">
        <v>593</v>
      </c>
      <c r="N199" s="370">
        <v>40704</v>
      </c>
      <c r="O199" s="288" t="s">
        <v>68</v>
      </c>
      <c r="P199" s="312">
        <v>5</v>
      </c>
      <c r="Q199" s="312">
        <v>1</v>
      </c>
      <c r="R199" s="312">
        <v>16</v>
      </c>
      <c r="S199" s="325">
        <v>0</v>
      </c>
      <c r="T199" s="355">
        <v>0</v>
      </c>
      <c r="U199" s="325">
        <v>0</v>
      </c>
      <c r="V199" s="355">
        <v>0</v>
      </c>
      <c r="W199" s="325">
        <v>0</v>
      </c>
      <c r="X199" s="355">
        <v>0</v>
      </c>
      <c r="Y199" s="334">
        <f t="shared" si="20"/>
        <v>0</v>
      </c>
      <c r="Z199" s="338">
        <f t="shared" si="21"/>
        <v>0</v>
      </c>
      <c r="AA199" s="323"/>
      <c r="AB199" s="324"/>
      <c r="AC199" s="334">
        <v>0</v>
      </c>
      <c r="AD199" s="326">
        <f t="shared" si="33"/>
      </c>
      <c r="AE199" s="327">
        <f t="shared" si="22"/>
        <v>1782</v>
      </c>
      <c r="AF199" s="323">
        <f t="shared" si="23"/>
        <v>356</v>
      </c>
      <c r="AG199" s="328">
        <v>1782</v>
      </c>
      <c r="AH199" s="344">
        <v>356</v>
      </c>
      <c r="AI199" s="326">
        <f t="shared" si="24"/>
        <v>0</v>
      </c>
      <c r="AJ199" s="326">
        <f t="shared" si="25"/>
        <v>1</v>
      </c>
      <c r="AK199" s="323">
        <f t="shared" si="26"/>
        <v>356</v>
      </c>
      <c r="AL199" s="324">
        <f t="shared" si="27"/>
        <v>5.00561797752809</v>
      </c>
      <c r="AM199" s="328"/>
      <c r="AN199" s="326">
        <f t="shared" si="32"/>
      </c>
      <c r="AO199" s="328">
        <f>20401.5+5027+2422+1135.5+4917+1138.5+597+1238.5+1934+2721.5+1965.5+798+172+1307+1782+1782</f>
        <v>49339</v>
      </c>
      <c r="AP199" s="344">
        <f>1380+485+214+81+460+135+75+159+185+328+268+93+24+328+446+356</f>
        <v>5017</v>
      </c>
      <c r="AQ199" s="329">
        <f t="shared" si="28"/>
        <v>9.83436316523819</v>
      </c>
      <c r="AR199" s="297">
        <v>40970</v>
      </c>
      <c r="AS199" s="293"/>
    </row>
    <row r="200" spans="1:45" s="233" customFormat="1" ht="11.25" customHeight="1" hidden="1">
      <c r="A200" s="295"/>
      <c r="B200" s="236"/>
      <c r="C200" s="236" t="s">
        <v>223</v>
      </c>
      <c r="D200" s="236"/>
      <c r="E200" s="236"/>
      <c r="F200" s="236"/>
      <c r="G200" s="236"/>
      <c r="H200" s="236"/>
      <c r="I200" s="236" t="s">
        <v>54</v>
      </c>
      <c r="J200" s="366" t="s">
        <v>590</v>
      </c>
      <c r="K200" s="312" t="s">
        <v>875</v>
      </c>
      <c r="L200" s="319"/>
      <c r="M200" s="339" t="s">
        <v>590</v>
      </c>
      <c r="N200" s="370">
        <v>39836</v>
      </c>
      <c r="O200" s="288" t="s">
        <v>68</v>
      </c>
      <c r="P200" s="312">
        <v>13</v>
      </c>
      <c r="Q200" s="312">
        <v>1</v>
      </c>
      <c r="R200" s="312">
        <v>30</v>
      </c>
      <c r="S200" s="325">
        <v>0</v>
      </c>
      <c r="T200" s="355">
        <v>0</v>
      </c>
      <c r="U200" s="325">
        <v>0</v>
      </c>
      <c r="V200" s="355">
        <v>0</v>
      </c>
      <c r="W200" s="325">
        <v>0</v>
      </c>
      <c r="X200" s="355">
        <v>0</v>
      </c>
      <c r="Y200" s="334">
        <f aca="true" t="shared" si="38" ref="Y200:Y263">SUM(S200+U200+W200)</f>
        <v>0</v>
      </c>
      <c r="Z200" s="338">
        <f aca="true" t="shared" si="39" ref="Z200:Z263">T200+V200+X200</f>
        <v>0</v>
      </c>
      <c r="AA200" s="323"/>
      <c r="AB200" s="324"/>
      <c r="AC200" s="334">
        <v>0</v>
      </c>
      <c r="AD200" s="326">
        <f t="shared" si="33"/>
      </c>
      <c r="AE200" s="327">
        <f aca="true" t="shared" si="40" ref="AE200:AE263">AG200-Y200</f>
        <v>1780</v>
      </c>
      <c r="AF200" s="323">
        <f aca="true" t="shared" si="41" ref="AF200:AF263">AH200-Z200</f>
        <v>356</v>
      </c>
      <c r="AG200" s="328">
        <v>1780</v>
      </c>
      <c r="AH200" s="344">
        <v>356</v>
      </c>
      <c r="AI200" s="326">
        <f aca="true" t="shared" si="42" ref="AI200:AI263">Z200*1/AH200</f>
        <v>0</v>
      </c>
      <c r="AJ200" s="326">
        <f aca="true" t="shared" si="43" ref="AJ200:AJ263">AF200*1/AH200</f>
        <v>1</v>
      </c>
      <c r="AK200" s="323">
        <f aca="true" t="shared" si="44" ref="AK200:AK263">AH200/Q200</f>
        <v>356</v>
      </c>
      <c r="AL200" s="324">
        <f aca="true" t="shared" si="45" ref="AL200:AL263">AG200/AH200</f>
        <v>5</v>
      </c>
      <c r="AM200" s="328"/>
      <c r="AN200" s="326">
        <f t="shared" si="32"/>
      </c>
      <c r="AO200" s="328">
        <f>57133.5+23554+18557+9186+29743.5+13631.5+13446+7072+7029+8018.5+7220.5+2856.5+1828+102+3517+635+324+30+2146+1842+376+154+799+463.52+415.64+339.28+4160+712+230+1780</f>
        <v>217301.44</v>
      </c>
      <c r="AP200" s="344">
        <f>5405+2651+2356+1389+3583+1713+1661+1216+1174+1324+1425+542+453+16+757+96+108+10+508+436+35+14+67+102+95+80+1040+178+60+356</f>
        <v>28850</v>
      </c>
      <c r="AQ200" s="329">
        <f aca="true" t="shared" si="46" ref="AQ200:AQ263">AO200/AP200</f>
        <v>7.532112305025997</v>
      </c>
      <c r="AR200" s="297">
        <v>40970</v>
      </c>
      <c r="AS200" s="293"/>
    </row>
    <row r="201" spans="1:45" s="233" customFormat="1" ht="11.25" customHeight="1" hidden="1">
      <c r="A201" s="295"/>
      <c r="B201" s="236"/>
      <c r="C201" s="236" t="s">
        <v>223</v>
      </c>
      <c r="D201" s="236"/>
      <c r="E201" s="236"/>
      <c r="F201" s="236"/>
      <c r="G201" s="236"/>
      <c r="H201" s="236"/>
      <c r="I201" s="236" t="s">
        <v>54</v>
      </c>
      <c r="J201" s="366" t="s">
        <v>591</v>
      </c>
      <c r="K201" s="312" t="s">
        <v>876</v>
      </c>
      <c r="L201" s="319"/>
      <c r="M201" s="339" t="s">
        <v>591</v>
      </c>
      <c r="N201" s="370">
        <v>40248</v>
      </c>
      <c r="O201" s="288" t="s">
        <v>68</v>
      </c>
      <c r="P201" s="312">
        <v>25</v>
      </c>
      <c r="Q201" s="312">
        <v>1</v>
      </c>
      <c r="R201" s="312">
        <v>27</v>
      </c>
      <c r="S201" s="325">
        <v>0</v>
      </c>
      <c r="T201" s="355">
        <v>0</v>
      </c>
      <c r="U201" s="325">
        <v>0</v>
      </c>
      <c r="V201" s="355">
        <v>0</v>
      </c>
      <c r="W201" s="325">
        <v>0</v>
      </c>
      <c r="X201" s="355">
        <v>0</v>
      </c>
      <c r="Y201" s="334">
        <f t="shared" si="38"/>
        <v>0</v>
      </c>
      <c r="Z201" s="338">
        <f t="shared" si="39"/>
        <v>0</v>
      </c>
      <c r="AA201" s="323"/>
      <c r="AB201" s="324" t="s">
        <v>877</v>
      </c>
      <c r="AC201" s="330">
        <v>0</v>
      </c>
      <c r="AD201" s="326">
        <f aca="true" t="shared" si="47" ref="AD201:AD232">IF(AC201&lt;&gt;0,-(AC201-Y201)/AC201,"")</f>
      </c>
      <c r="AE201" s="327">
        <f t="shared" si="40"/>
        <v>1632</v>
      </c>
      <c r="AF201" s="323">
        <f t="shared" si="41"/>
        <v>204</v>
      </c>
      <c r="AG201" s="328">
        <v>1632</v>
      </c>
      <c r="AH201" s="344">
        <v>204</v>
      </c>
      <c r="AI201" s="326">
        <f t="shared" si="42"/>
        <v>0</v>
      </c>
      <c r="AJ201" s="326">
        <f t="shared" si="43"/>
        <v>1</v>
      </c>
      <c r="AK201" s="323">
        <f t="shared" si="44"/>
        <v>204</v>
      </c>
      <c r="AL201" s="324">
        <f t="shared" si="45"/>
        <v>8</v>
      </c>
      <c r="AM201" s="328"/>
      <c r="AN201" s="326">
        <f t="shared" si="32"/>
      </c>
      <c r="AO201" s="328">
        <f>75934+53479.5+29060+17465+26762+20460.5+20847+12710+19039+8622+2147+3636+459+653+4560+770+4752+402+297+502+464+1127+1384+88+276+1188+1632</f>
        <v>308716</v>
      </c>
      <c r="AP201" s="344">
        <f>9554+7103+4053+2490+4055+3124+3295+2389+2957+1767+459+626+92+107+609+124+1188+40+48+86+74+161+193+16+46+297+204</f>
        <v>45157</v>
      </c>
      <c r="AQ201" s="329">
        <f t="shared" si="46"/>
        <v>6.836503753570875</v>
      </c>
      <c r="AR201" s="297">
        <v>40970</v>
      </c>
      <c r="AS201" s="293"/>
    </row>
    <row r="202" spans="1:45" s="233" customFormat="1" ht="11.25" customHeight="1" hidden="1">
      <c r="A202" s="295"/>
      <c r="B202" s="236"/>
      <c r="C202" s="236" t="s">
        <v>223</v>
      </c>
      <c r="D202" s="236" t="s">
        <v>193</v>
      </c>
      <c r="E202" s="236"/>
      <c r="F202" s="293"/>
      <c r="G202" s="236" t="s">
        <v>250</v>
      </c>
      <c r="H202" s="236" t="s">
        <v>55</v>
      </c>
      <c r="I202" s="236"/>
      <c r="J202" s="366" t="s">
        <v>313</v>
      </c>
      <c r="K202" s="339" t="s">
        <v>118</v>
      </c>
      <c r="L202" s="319" t="s">
        <v>88</v>
      </c>
      <c r="M202" s="339" t="s">
        <v>317</v>
      </c>
      <c r="N202" s="370">
        <v>40172</v>
      </c>
      <c r="O202" s="288" t="s">
        <v>68</v>
      </c>
      <c r="P202" s="312">
        <v>60</v>
      </c>
      <c r="Q202" s="312">
        <v>1</v>
      </c>
      <c r="R202" s="312">
        <v>42</v>
      </c>
      <c r="S202" s="325">
        <v>0</v>
      </c>
      <c r="T202" s="355">
        <v>0</v>
      </c>
      <c r="U202" s="325">
        <v>0</v>
      </c>
      <c r="V202" s="355">
        <v>0</v>
      </c>
      <c r="W202" s="325">
        <v>0</v>
      </c>
      <c r="X202" s="355">
        <v>0</v>
      </c>
      <c r="Y202" s="334">
        <f t="shared" si="38"/>
        <v>0</v>
      </c>
      <c r="Z202" s="338">
        <f t="shared" si="39"/>
        <v>0</v>
      </c>
      <c r="AA202" s="323">
        <f aca="true" t="shared" si="48" ref="AA202:AA213">IF(Y202&lt;&gt;0,Z202/Q202,"")</f>
      </c>
      <c r="AB202" s="324">
        <f aca="true" t="shared" si="49" ref="AB202:AB213">IF(Y202&lt;&gt;0,Y202/Z202,"")</f>
      </c>
      <c r="AC202" s="330">
        <v>0</v>
      </c>
      <c r="AD202" s="326">
        <f t="shared" si="47"/>
      </c>
      <c r="AE202" s="327">
        <f t="shared" si="40"/>
        <v>1425.5</v>
      </c>
      <c r="AF202" s="323">
        <f t="shared" si="41"/>
        <v>285</v>
      </c>
      <c r="AG202" s="328">
        <v>1425.5</v>
      </c>
      <c r="AH202" s="344">
        <v>285</v>
      </c>
      <c r="AI202" s="326">
        <f t="shared" si="42"/>
        <v>0</v>
      </c>
      <c r="AJ202" s="326">
        <f t="shared" si="43"/>
        <v>1</v>
      </c>
      <c r="AK202" s="323">
        <f t="shared" si="44"/>
        <v>285</v>
      </c>
      <c r="AL202" s="324">
        <f t="shared" si="45"/>
        <v>5.0017543859649125</v>
      </c>
      <c r="AM202" s="328"/>
      <c r="AN202" s="326">
        <f t="shared" si="32"/>
      </c>
      <c r="AO202" s="328">
        <f>421775.5+397095.5+287050+215248.5+189819.5+180729.5+86816.5+23840+19148+14942.5+8798.5+9599+13618.5+4298+4028+3310+8547+6712.5+1803+1172+973+2291+380.5+3015+1103.5+65+2061.5+1262+1020+2232+2970+5074+2970+1188+250+200+70+4277+2138.5+1425.5+2376+1425.5</f>
        <v>1937120</v>
      </c>
      <c r="AP202" s="344">
        <f>43739+40732+31780+27356+25902+24895+12153+4496+3179+3069+1650+2236+3335+954+829+540+1945+1297+429+261+173+594+53+613+200+10+480+240+102+533+743+1267+742+297+28+20+7+1068+534+356+475+285</f>
        <v>239597</v>
      </c>
      <c r="AQ202" s="329">
        <f t="shared" si="46"/>
        <v>8.08490924343794</v>
      </c>
      <c r="AR202" s="297">
        <v>40970</v>
      </c>
      <c r="AS202" s="293"/>
    </row>
    <row r="203" spans="1:45" s="233" customFormat="1" ht="11.25" customHeight="1" hidden="1">
      <c r="A203" s="295"/>
      <c r="B203" s="293"/>
      <c r="C203" s="236" t="s">
        <v>223</v>
      </c>
      <c r="D203" s="236" t="s">
        <v>193</v>
      </c>
      <c r="E203" s="293"/>
      <c r="F203" s="236"/>
      <c r="G203" s="236" t="s">
        <v>250</v>
      </c>
      <c r="H203" s="236"/>
      <c r="I203" s="293"/>
      <c r="J203" s="364" t="s">
        <v>580</v>
      </c>
      <c r="K203" s="340"/>
      <c r="L203" s="312" t="s">
        <v>855</v>
      </c>
      <c r="M203" s="340" t="s">
        <v>579</v>
      </c>
      <c r="N203" s="369">
        <v>37895</v>
      </c>
      <c r="O203" s="288" t="s">
        <v>53</v>
      </c>
      <c r="P203" s="312">
        <v>50</v>
      </c>
      <c r="Q203" s="346">
        <v>1</v>
      </c>
      <c r="R203" s="346">
        <v>38</v>
      </c>
      <c r="S203" s="350">
        <v>201</v>
      </c>
      <c r="T203" s="351">
        <v>40</v>
      </c>
      <c r="U203" s="350">
        <v>500</v>
      </c>
      <c r="V203" s="351">
        <v>100</v>
      </c>
      <c r="W203" s="350">
        <v>500</v>
      </c>
      <c r="X203" s="351">
        <v>100</v>
      </c>
      <c r="Y203" s="334">
        <f t="shared" si="38"/>
        <v>1201</v>
      </c>
      <c r="Z203" s="338">
        <f t="shared" si="39"/>
        <v>240</v>
      </c>
      <c r="AA203" s="323">
        <f t="shared" si="48"/>
        <v>240</v>
      </c>
      <c r="AB203" s="324">
        <f t="shared" si="49"/>
        <v>5.004166666666666</v>
      </c>
      <c r="AC203" s="330">
        <v>0</v>
      </c>
      <c r="AD203" s="326">
        <f t="shared" si="47"/>
      </c>
      <c r="AE203" s="327">
        <f t="shared" si="40"/>
        <v>0</v>
      </c>
      <c r="AF203" s="323">
        <f t="shared" si="41"/>
        <v>0</v>
      </c>
      <c r="AG203" s="334">
        <v>1201</v>
      </c>
      <c r="AH203" s="338">
        <v>240</v>
      </c>
      <c r="AI203" s="326">
        <f t="shared" si="42"/>
        <v>1</v>
      </c>
      <c r="AJ203" s="326">
        <f t="shared" si="43"/>
        <v>0</v>
      </c>
      <c r="AK203" s="323">
        <f t="shared" si="44"/>
        <v>240</v>
      </c>
      <c r="AL203" s="324">
        <f t="shared" si="45"/>
        <v>5.004166666666666</v>
      </c>
      <c r="AM203" s="334"/>
      <c r="AN203" s="326">
        <f t="shared" si="32"/>
      </c>
      <c r="AO203" s="334">
        <v>662891.75</v>
      </c>
      <c r="AP203" s="338">
        <v>157386</v>
      </c>
      <c r="AQ203" s="329">
        <f t="shared" si="46"/>
        <v>4.211885110492674</v>
      </c>
      <c r="AR203" s="297">
        <v>40970</v>
      </c>
      <c r="AS203" s="293"/>
    </row>
    <row r="204" spans="1:45" s="233" customFormat="1" ht="11.25" customHeight="1" hidden="1">
      <c r="A204" s="295"/>
      <c r="B204" s="236"/>
      <c r="C204" s="236" t="s">
        <v>223</v>
      </c>
      <c r="D204" s="293"/>
      <c r="E204" s="293"/>
      <c r="F204" s="236"/>
      <c r="G204" s="293"/>
      <c r="H204" s="236"/>
      <c r="I204" s="236"/>
      <c r="J204" s="360" t="s">
        <v>588</v>
      </c>
      <c r="K204" s="312"/>
      <c r="L204" s="288" t="s">
        <v>853</v>
      </c>
      <c r="M204" s="288" t="s">
        <v>589</v>
      </c>
      <c r="N204" s="370">
        <v>40312</v>
      </c>
      <c r="O204" s="288" t="s">
        <v>52</v>
      </c>
      <c r="P204" s="331">
        <v>64</v>
      </c>
      <c r="Q204" s="312">
        <v>1</v>
      </c>
      <c r="R204" s="312">
        <v>23</v>
      </c>
      <c r="S204" s="334">
        <v>0</v>
      </c>
      <c r="T204" s="338">
        <v>0</v>
      </c>
      <c r="U204" s="334">
        <v>0</v>
      </c>
      <c r="V204" s="338">
        <v>0</v>
      </c>
      <c r="W204" s="334">
        <v>0</v>
      </c>
      <c r="X204" s="338">
        <v>0</v>
      </c>
      <c r="Y204" s="334">
        <f t="shared" si="38"/>
        <v>0</v>
      </c>
      <c r="Z204" s="338">
        <f t="shared" si="39"/>
        <v>0</v>
      </c>
      <c r="AA204" s="323">
        <f t="shared" si="48"/>
      </c>
      <c r="AB204" s="324">
        <f t="shared" si="49"/>
      </c>
      <c r="AC204" s="334">
        <v>0</v>
      </c>
      <c r="AD204" s="326">
        <f t="shared" si="47"/>
      </c>
      <c r="AE204" s="327">
        <f t="shared" si="40"/>
        <v>1188</v>
      </c>
      <c r="AF204" s="323">
        <f t="shared" si="41"/>
        <v>238</v>
      </c>
      <c r="AG204" s="334">
        <v>1188</v>
      </c>
      <c r="AH204" s="338">
        <v>238</v>
      </c>
      <c r="AI204" s="326">
        <f t="shared" si="42"/>
        <v>0</v>
      </c>
      <c r="AJ204" s="326">
        <f t="shared" si="43"/>
        <v>1</v>
      </c>
      <c r="AK204" s="323">
        <f t="shared" si="44"/>
        <v>238</v>
      </c>
      <c r="AL204" s="324">
        <f t="shared" si="45"/>
        <v>4.991596638655462</v>
      </c>
      <c r="AM204" s="328"/>
      <c r="AN204" s="326">
        <f t="shared" si="32"/>
      </c>
      <c r="AO204" s="334">
        <f>384993+315+150+24+2376+1188</f>
        <v>389046</v>
      </c>
      <c r="AP204" s="338">
        <f>43717+38+25+4+475+238</f>
        <v>44497</v>
      </c>
      <c r="AQ204" s="329">
        <f t="shared" si="46"/>
        <v>8.74319617052835</v>
      </c>
      <c r="AR204" s="297">
        <v>40970</v>
      </c>
      <c r="AS204" s="293"/>
    </row>
    <row r="205" spans="1:45" s="233" customFormat="1" ht="11.25" customHeight="1" hidden="1">
      <c r="A205" s="295"/>
      <c r="B205" s="236"/>
      <c r="C205" s="236" t="s">
        <v>223</v>
      </c>
      <c r="D205" s="236"/>
      <c r="E205" s="236"/>
      <c r="F205" s="236"/>
      <c r="G205" s="236"/>
      <c r="H205" s="236"/>
      <c r="I205" s="236"/>
      <c r="J205" s="361" t="s">
        <v>221</v>
      </c>
      <c r="K205" s="288"/>
      <c r="L205" s="288" t="s">
        <v>120</v>
      </c>
      <c r="M205" s="288" t="s">
        <v>210</v>
      </c>
      <c r="N205" s="370">
        <v>40739</v>
      </c>
      <c r="O205" s="288" t="s">
        <v>289</v>
      </c>
      <c r="P205" s="312">
        <v>3</v>
      </c>
      <c r="Q205" s="312">
        <v>2</v>
      </c>
      <c r="R205" s="312">
        <v>17</v>
      </c>
      <c r="S205" s="334">
        <v>0</v>
      </c>
      <c r="T205" s="338">
        <v>0</v>
      </c>
      <c r="U205" s="334">
        <v>0</v>
      </c>
      <c r="V205" s="338">
        <v>0</v>
      </c>
      <c r="W205" s="334">
        <v>0</v>
      </c>
      <c r="X205" s="338">
        <v>0</v>
      </c>
      <c r="Y205" s="334">
        <f t="shared" si="38"/>
        <v>0</v>
      </c>
      <c r="Z205" s="338">
        <f t="shared" si="39"/>
        <v>0</v>
      </c>
      <c r="AA205" s="323">
        <f t="shared" si="48"/>
      </c>
      <c r="AB205" s="324">
        <f t="shared" si="49"/>
      </c>
      <c r="AC205" s="330">
        <v>0</v>
      </c>
      <c r="AD205" s="326">
        <f t="shared" si="47"/>
      </c>
      <c r="AE205" s="327">
        <f t="shared" si="40"/>
        <v>1188</v>
      </c>
      <c r="AF205" s="323">
        <f t="shared" si="41"/>
        <v>238</v>
      </c>
      <c r="AG205" s="334">
        <v>1188</v>
      </c>
      <c r="AH205" s="338">
        <v>238</v>
      </c>
      <c r="AI205" s="326">
        <f t="shared" si="42"/>
        <v>0</v>
      </c>
      <c r="AJ205" s="326">
        <f t="shared" si="43"/>
        <v>1</v>
      </c>
      <c r="AK205" s="323">
        <f t="shared" si="44"/>
        <v>119</v>
      </c>
      <c r="AL205" s="324">
        <f t="shared" si="45"/>
        <v>4.991596638655462</v>
      </c>
      <c r="AM205" s="334"/>
      <c r="AN205" s="326">
        <f t="shared" si="32"/>
      </c>
      <c r="AO205" s="334">
        <v>44944.5</v>
      </c>
      <c r="AP205" s="338">
        <v>5725</v>
      </c>
      <c r="AQ205" s="329">
        <f t="shared" si="46"/>
        <v>7.850567685589519</v>
      </c>
      <c r="AR205" s="297">
        <v>40970</v>
      </c>
      <c r="AS205" s="293"/>
    </row>
    <row r="206" spans="1:45" s="233" customFormat="1" ht="11.25" customHeight="1" hidden="1">
      <c r="A206" s="295"/>
      <c r="B206" s="236"/>
      <c r="C206" s="236"/>
      <c r="D206" s="236" t="s">
        <v>193</v>
      </c>
      <c r="E206" s="236">
        <v>3</v>
      </c>
      <c r="F206" s="236">
        <v>2</v>
      </c>
      <c r="G206" s="236" t="s">
        <v>250</v>
      </c>
      <c r="H206" s="236"/>
      <c r="I206" s="293"/>
      <c r="J206" s="361" t="s">
        <v>525</v>
      </c>
      <c r="K206" s="319" t="s">
        <v>118</v>
      </c>
      <c r="L206" s="312" t="s">
        <v>88</v>
      </c>
      <c r="M206" s="340" t="s">
        <v>524</v>
      </c>
      <c r="N206" s="370">
        <v>41253</v>
      </c>
      <c r="O206" s="288" t="s">
        <v>68</v>
      </c>
      <c r="P206" s="312">
        <v>60</v>
      </c>
      <c r="Q206" s="312">
        <v>14</v>
      </c>
      <c r="R206" s="312">
        <v>3</v>
      </c>
      <c r="S206" s="325">
        <v>1437</v>
      </c>
      <c r="T206" s="355">
        <v>90</v>
      </c>
      <c r="U206" s="325">
        <v>5412</v>
      </c>
      <c r="V206" s="355">
        <v>356</v>
      </c>
      <c r="W206" s="325">
        <v>5996.5</v>
      </c>
      <c r="X206" s="355">
        <v>418</v>
      </c>
      <c r="Y206" s="334">
        <f t="shared" si="38"/>
        <v>12845.5</v>
      </c>
      <c r="Z206" s="338">
        <f t="shared" si="39"/>
        <v>864</v>
      </c>
      <c r="AA206" s="323">
        <f t="shared" si="48"/>
        <v>61.714285714285715</v>
      </c>
      <c r="AB206" s="324">
        <f t="shared" si="49"/>
        <v>14.867476851851851</v>
      </c>
      <c r="AC206" s="330">
        <v>0</v>
      </c>
      <c r="AD206" s="326">
        <f t="shared" si="47"/>
      </c>
      <c r="AE206" s="327">
        <f t="shared" si="40"/>
        <v>5370.5</v>
      </c>
      <c r="AF206" s="323">
        <f t="shared" si="41"/>
        <v>444</v>
      </c>
      <c r="AG206" s="342">
        <v>18216</v>
      </c>
      <c r="AH206" s="343">
        <v>1308</v>
      </c>
      <c r="AI206" s="326">
        <f t="shared" si="42"/>
        <v>0.6605504587155964</v>
      </c>
      <c r="AJ206" s="326">
        <f t="shared" si="43"/>
        <v>0.3394495412844037</v>
      </c>
      <c r="AK206" s="323">
        <f t="shared" si="44"/>
        <v>93.42857142857143</v>
      </c>
      <c r="AL206" s="324">
        <f t="shared" si="45"/>
        <v>13.926605504587156</v>
      </c>
      <c r="AM206" s="334"/>
      <c r="AN206" s="326">
        <f t="shared" si="32"/>
      </c>
      <c r="AO206" s="342">
        <f>453045.5+152052.5+18216</f>
        <v>623314</v>
      </c>
      <c r="AP206" s="343">
        <f>36464+11789+1308</f>
        <v>49561</v>
      </c>
      <c r="AQ206" s="329">
        <f t="shared" si="46"/>
        <v>12.576703456346724</v>
      </c>
      <c r="AR206" s="297">
        <v>40963</v>
      </c>
      <c r="AS206" s="293"/>
    </row>
    <row r="207" spans="1:45" s="233" customFormat="1" ht="11.25" customHeight="1" hidden="1">
      <c r="A207" s="295"/>
      <c r="B207" s="293"/>
      <c r="C207" s="236"/>
      <c r="D207" s="236"/>
      <c r="E207" s="236"/>
      <c r="F207" s="236"/>
      <c r="G207" s="236"/>
      <c r="H207" s="236"/>
      <c r="I207" s="236"/>
      <c r="J207" s="366" t="s">
        <v>496</v>
      </c>
      <c r="K207" s="312" t="s">
        <v>501</v>
      </c>
      <c r="L207" s="353" t="s">
        <v>92</v>
      </c>
      <c r="M207" s="339" t="s">
        <v>502</v>
      </c>
      <c r="N207" s="370">
        <v>40942</v>
      </c>
      <c r="O207" s="288" t="s">
        <v>10</v>
      </c>
      <c r="P207" s="331">
        <v>143</v>
      </c>
      <c r="Q207" s="331">
        <v>1</v>
      </c>
      <c r="R207" s="331">
        <v>1</v>
      </c>
      <c r="S207" s="342">
        <v>0</v>
      </c>
      <c r="T207" s="343">
        <v>0</v>
      </c>
      <c r="U207" s="342">
        <v>0</v>
      </c>
      <c r="V207" s="343">
        <v>0</v>
      </c>
      <c r="W207" s="342">
        <v>0</v>
      </c>
      <c r="X207" s="343">
        <v>0</v>
      </c>
      <c r="Y207" s="334">
        <f t="shared" si="38"/>
        <v>0</v>
      </c>
      <c r="Z207" s="338">
        <f t="shared" si="39"/>
        <v>0</v>
      </c>
      <c r="AA207" s="323">
        <f t="shared" si="48"/>
      </c>
      <c r="AB207" s="324">
        <f t="shared" si="49"/>
      </c>
      <c r="AC207" s="330">
        <v>0</v>
      </c>
      <c r="AD207" s="326">
        <f t="shared" si="47"/>
      </c>
      <c r="AE207" s="327">
        <f t="shared" si="40"/>
        <v>8702</v>
      </c>
      <c r="AF207" s="323">
        <f t="shared" si="41"/>
        <v>529</v>
      </c>
      <c r="AG207" s="342">
        <v>8702</v>
      </c>
      <c r="AH207" s="343">
        <v>529</v>
      </c>
      <c r="AI207" s="326">
        <f t="shared" si="42"/>
        <v>0</v>
      </c>
      <c r="AJ207" s="326">
        <f t="shared" si="43"/>
        <v>1</v>
      </c>
      <c r="AK207" s="323">
        <f t="shared" si="44"/>
        <v>529</v>
      </c>
      <c r="AL207" s="324">
        <f t="shared" si="45"/>
        <v>16.449905482041586</v>
      </c>
      <c r="AM207" s="334"/>
      <c r="AN207" s="326">
        <f t="shared" si="32"/>
      </c>
      <c r="AO207" s="342">
        <v>2451771</v>
      </c>
      <c r="AP207" s="343">
        <v>215130</v>
      </c>
      <c r="AQ207" s="329">
        <f t="shared" si="46"/>
        <v>11.396695021614837</v>
      </c>
      <c r="AR207" s="297">
        <v>40963</v>
      </c>
      <c r="AS207" s="293"/>
    </row>
    <row r="208" spans="1:45" s="233" customFormat="1" ht="11.25" customHeight="1" hidden="1">
      <c r="A208" s="295"/>
      <c r="B208" s="236"/>
      <c r="C208" s="236" t="s">
        <v>223</v>
      </c>
      <c r="D208" s="236"/>
      <c r="E208" s="236"/>
      <c r="F208" s="236"/>
      <c r="G208" s="236"/>
      <c r="H208" s="236"/>
      <c r="I208" s="236" t="s">
        <v>54</v>
      </c>
      <c r="J208" s="366" t="s">
        <v>474</v>
      </c>
      <c r="K208" s="339" t="s">
        <v>475</v>
      </c>
      <c r="L208" s="339"/>
      <c r="M208" s="339" t="s">
        <v>474</v>
      </c>
      <c r="N208" s="370">
        <v>40648</v>
      </c>
      <c r="O208" s="288" t="s">
        <v>68</v>
      </c>
      <c r="P208" s="312">
        <v>28</v>
      </c>
      <c r="Q208" s="312">
        <v>1</v>
      </c>
      <c r="R208" s="312">
        <v>26</v>
      </c>
      <c r="S208" s="325">
        <v>0</v>
      </c>
      <c r="T208" s="355">
        <v>0</v>
      </c>
      <c r="U208" s="325">
        <v>0</v>
      </c>
      <c r="V208" s="355">
        <v>0</v>
      </c>
      <c r="W208" s="325">
        <v>0</v>
      </c>
      <c r="X208" s="355">
        <v>0</v>
      </c>
      <c r="Y208" s="334">
        <f t="shared" si="38"/>
        <v>0</v>
      </c>
      <c r="Z208" s="338">
        <f t="shared" si="39"/>
        <v>0</v>
      </c>
      <c r="AA208" s="323">
        <f t="shared" si="48"/>
      </c>
      <c r="AB208" s="324">
        <f t="shared" si="49"/>
      </c>
      <c r="AC208" s="334">
        <v>0</v>
      </c>
      <c r="AD208" s="326">
        <f t="shared" si="47"/>
      </c>
      <c r="AE208" s="327">
        <f t="shared" si="40"/>
        <v>3801.5</v>
      </c>
      <c r="AF208" s="323">
        <f t="shared" si="41"/>
        <v>760</v>
      </c>
      <c r="AG208" s="342">
        <v>3801.5</v>
      </c>
      <c r="AH208" s="343">
        <v>760</v>
      </c>
      <c r="AI208" s="326">
        <f t="shared" si="42"/>
        <v>0</v>
      </c>
      <c r="AJ208" s="326">
        <f t="shared" si="43"/>
        <v>1</v>
      </c>
      <c r="AK208" s="323">
        <f t="shared" si="44"/>
        <v>760</v>
      </c>
      <c r="AL208" s="324">
        <f t="shared" si="45"/>
        <v>5.001973684210526</v>
      </c>
      <c r="AM208" s="328"/>
      <c r="AN208" s="326">
        <f aca="true" t="shared" si="50" ref="AN208:AN271">IF(AM208&lt;&gt;0,-(AM208-AG208)/AM208,"")</f>
      </c>
      <c r="AO208" s="342">
        <f>67573+47761.5+14206.5+4949+3617+1080.5+492+714+1413.5+3743.5+735+1502.5+825+1147+1818+154+295+2263+179+160+3326.5+950.5+1782+1425.5+594+40+3801.5</f>
        <v>166549</v>
      </c>
      <c r="AP208" s="343">
        <f>6695+4901+2068+559+504+215+178+122+205+836+119+235+131+174+400+22+45+527+35+28+831+237+446+356+149+8+760</f>
        <v>20786</v>
      </c>
      <c r="AQ208" s="329">
        <f t="shared" si="46"/>
        <v>8.012556528432599</v>
      </c>
      <c r="AR208" s="297">
        <v>40963</v>
      </c>
      <c r="AS208" s="293"/>
    </row>
    <row r="209" spans="1:45" s="233" customFormat="1" ht="11.25" customHeight="1" hidden="1">
      <c r="A209" s="295"/>
      <c r="B209" s="236"/>
      <c r="C209" s="236" t="s">
        <v>223</v>
      </c>
      <c r="D209" s="236"/>
      <c r="E209" s="236"/>
      <c r="F209" s="236"/>
      <c r="G209" s="236"/>
      <c r="H209" s="236"/>
      <c r="I209" s="236"/>
      <c r="J209" s="360" t="s">
        <v>145</v>
      </c>
      <c r="K209" s="288"/>
      <c r="L209" s="288" t="s">
        <v>79</v>
      </c>
      <c r="M209" s="288" t="s">
        <v>122</v>
      </c>
      <c r="N209" s="370">
        <v>40893</v>
      </c>
      <c r="O209" s="288" t="s">
        <v>289</v>
      </c>
      <c r="P209" s="312">
        <v>2</v>
      </c>
      <c r="Q209" s="312">
        <v>1</v>
      </c>
      <c r="R209" s="312">
        <v>7</v>
      </c>
      <c r="S209" s="334">
        <v>250</v>
      </c>
      <c r="T209" s="338">
        <v>50</v>
      </c>
      <c r="U209" s="334">
        <v>500</v>
      </c>
      <c r="V209" s="338">
        <v>100</v>
      </c>
      <c r="W209" s="334">
        <v>500</v>
      </c>
      <c r="X209" s="338">
        <v>100</v>
      </c>
      <c r="Y209" s="334">
        <f t="shared" si="38"/>
        <v>1250</v>
      </c>
      <c r="Z209" s="338">
        <f t="shared" si="39"/>
        <v>250</v>
      </c>
      <c r="AA209" s="323">
        <f t="shared" si="48"/>
        <v>250</v>
      </c>
      <c r="AB209" s="324">
        <f t="shared" si="49"/>
        <v>5</v>
      </c>
      <c r="AC209" s="334">
        <v>0</v>
      </c>
      <c r="AD209" s="326">
        <f t="shared" si="47"/>
      </c>
      <c r="AE209" s="327">
        <f t="shared" si="40"/>
        <v>770</v>
      </c>
      <c r="AF209" s="323">
        <f t="shared" si="41"/>
        <v>154</v>
      </c>
      <c r="AG209" s="342">
        <v>2020</v>
      </c>
      <c r="AH209" s="343">
        <v>404</v>
      </c>
      <c r="AI209" s="326">
        <f t="shared" si="42"/>
        <v>0.6188118811881188</v>
      </c>
      <c r="AJ209" s="326">
        <f t="shared" si="43"/>
        <v>0.3811881188118812</v>
      </c>
      <c r="AK209" s="323">
        <f t="shared" si="44"/>
        <v>404</v>
      </c>
      <c r="AL209" s="324">
        <f t="shared" si="45"/>
        <v>5</v>
      </c>
      <c r="AM209" s="334"/>
      <c r="AN209" s="326">
        <f t="shared" si="50"/>
      </c>
      <c r="AO209" s="342">
        <v>14984</v>
      </c>
      <c r="AP209" s="343">
        <v>1714</v>
      </c>
      <c r="AQ209" s="329">
        <f t="shared" si="46"/>
        <v>8.742123687281213</v>
      </c>
      <c r="AR209" s="297">
        <v>40963</v>
      </c>
      <c r="AS209" s="293"/>
    </row>
    <row r="210" spans="1:45" s="233" customFormat="1" ht="11.25" customHeight="1" hidden="1">
      <c r="A210" s="295"/>
      <c r="B210" s="236"/>
      <c r="C210" s="236" t="s">
        <v>223</v>
      </c>
      <c r="D210" s="236" t="s">
        <v>193</v>
      </c>
      <c r="E210" s="236"/>
      <c r="F210" s="236"/>
      <c r="G210" s="236"/>
      <c r="H210" s="236"/>
      <c r="I210" s="236"/>
      <c r="J210" s="366" t="s">
        <v>559</v>
      </c>
      <c r="K210" s="312" t="s">
        <v>878</v>
      </c>
      <c r="L210" s="319" t="s">
        <v>235</v>
      </c>
      <c r="M210" s="339" t="s">
        <v>556</v>
      </c>
      <c r="N210" s="370">
        <v>40193</v>
      </c>
      <c r="O210" s="288" t="s">
        <v>68</v>
      </c>
      <c r="P210" s="312">
        <v>55</v>
      </c>
      <c r="Q210" s="312">
        <v>1</v>
      </c>
      <c r="R210" s="312">
        <v>32</v>
      </c>
      <c r="S210" s="325">
        <v>0</v>
      </c>
      <c r="T210" s="355">
        <v>0</v>
      </c>
      <c r="U210" s="325">
        <v>0</v>
      </c>
      <c r="V210" s="355">
        <v>0</v>
      </c>
      <c r="W210" s="325">
        <v>0</v>
      </c>
      <c r="X210" s="355">
        <v>0</v>
      </c>
      <c r="Y210" s="334">
        <f t="shared" si="38"/>
        <v>0</v>
      </c>
      <c r="Z210" s="338">
        <f t="shared" si="39"/>
        <v>0</v>
      </c>
      <c r="AA210" s="323">
        <f t="shared" si="48"/>
      </c>
      <c r="AB210" s="324">
        <f t="shared" si="49"/>
      </c>
      <c r="AC210" s="334">
        <v>0</v>
      </c>
      <c r="AD210" s="326">
        <f t="shared" si="47"/>
      </c>
      <c r="AE210" s="327">
        <f t="shared" si="40"/>
        <v>1782</v>
      </c>
      <c r="AF210" s="323">
        <f t="shared" si="41"/>
        <v>356</v>
      </c>
      <c r="AG210" s="342">
        <v>1782</v>
      </c>
      <c r="AH210" s="343">
        <v>356</v>
      </c>
      <c r="AI210" s="326">
        <f t="shared" si="42"/>
        <v>0</v>
      </c>
      <c r="AJ210" s="326">
        <f t="shared" si="43"/>
        <v>1</v>
      </c>
      <c r="AK210" s="323">
        <f t="shared" si="44"/>
        <v>356</v>
      </c>
      <c r="AL210" s="324">
        <f t="shared" si="45"/>
        <v>5.00561797752809</v>
      </c>
      <c r="AM210" s="328"/>
      <c r="AN210" s="326">
        <f t="shared" si="50"/>
      </c>
      <c r="AO210" s="342">
        <f>197266+158498+94472.5+25746.5+5341+4975+4175+3550+3868+6158+8020+1277+951+3397+4599+198+566+1146+2247.5+174+31.5+2775.5+1188+735+2376+307+324+2613.5+1782+1782+1782+1782+1782</f>
        <v>545886</v>
      </c>
      <c r="AP210" s="343">
        <f>19567+17056+12441+3194+866+909+697+693+818+1478+1988+298+238+832+1154+55+212+207+411+57+12+610+297+71+594+46+71+653+445+445+445+356+356</f>
        <v>67572</v>
      </c>
      <c r="AQ210" s="329">
        <f t="shared" si="46"/>
        <v>8.07858284496537</v>
      </c>
      <c r="AR210" s="297">
        <v>40963</v>
      </c>
      <c r="AS210" s="293"/>
    </row>
    <row r="211" spans="1:45" s="233" customFormat="1" ht="11.25" customHeight="1" hidden="1">
      <c r="A211" s="295"/>
      <c r="B211" s="236"/>
      <c r="C211" s="236" t="s">
        <v>223</v>
      </c>
      <c r="D211" s="236"/>
      <c r="E211" s="236">
        <v>3</v>
      </c>
      <c r="F211" s="236"/>
      <c r="G211" s="236"/>
      <c r="H211" s="236"/>
      <c r="I211" s="236"/>
      <c r="J211" s="363" t="s">
        <v>136</v>
      </c>
      <c r="K211" s="288"/>
      <c r="L211" s="288" t="s">
        <v>94</v>
      </c>
      <c r="M211" s="288" t="s">
        <v>142</v>
      </c>
      <c r="N211" s="370">
        <v>40900</v>
      </c>
      <c r="O211" s="288" t="s">
        <v>52</v>
      </c>
      <c r="P211" s="331">
        <v>69</v>
      </c>
      <c r="Q211" s="312">
        <v>1</v>
      </c>
      <c r="R211" s="312">
        <v>5</v>
      </c>
      <c r="S211" s="334">
        <v>185</v>
      </c>
      <c r="T211" s="338">
        <v>18</v>
      </c>
      <c r="U211" s="334">
        <v>776</v>
      </c>
      <c r="V211" s="338">
        <v>77</v>
      </c>
      <c r="W211" s="334">
        <v>364</v>
      </c>
      <c r="X211" s="338">
        <v>36</v>
      </c>
      <c r="Y211" s="334">
        <f t="shared" si="38"/>
        <v>1325</v>
      </c>
      <c r="Z211" s="338">
        <f t="shared" si="39"/>
        <v>131</v>
      </c>
      <c r="AA211" s="323">
        <f t="shared" si="48"/>
        <v>131</v>
      </c>
      <c r="AB211" s="324">
        <f t="shared" si="49"/>
        <v>10.114503816793894</v>
      </c>
      <c r="AC211" s="334">
        <v>0</v>
      </c>
      <c r="AD211" s="326">
        <f t="shared" si="47"/>
      </c>
      <c r="AE211" s="327">
        <f t="shared" si="40"/>
        <v>155</v>
      </c>
      <c r="AF211" s="323">
        <f t="shared" si="41"/>
        <v>20</v>
      </c>
      <c r="AG211" s="342">
        <v>1480</v>
      </c>
      <c r="AH211" s="343">
        <v>151</v>
      </c>
      <c r="AI211" s="326">
        <f t="shared" si="42"/>
        <v>0.8675496688741722</v>
      </c>
      <c r="AJ211" s="326">
        <f t="shared" si="43"/>
        <v>0.13245033112582782</v>
      </c>
      <c r="AK211" s="323">
        <f t="shared" si="44"/>
        <v>151</v>
      </c>
      <c r="AL211" s="324">
        <f t="shared" si="45"/>
        <v>9.801324503311259</v>
      </c>
      <c r="AM211" s="334"/>
      <c r="AN211" s="326">
        <f t="shared" si="50"/>
      </c>
      <c r="AO211" s="342">
        <f>247246+100865+4174+1569+1480</f>
        <v>355334</v>
      </c>
      <c r="AP211" s="343">
        <f>24388+10455+350+207+151</f>
        <v>35551</v>
      </c>
      <c r="AQ211" s="329">
        <f t="shared" si="46"/>
        <v>9.99504936569998</v>
      </c>
      <c r="AR211" s="297">
        <v>40963</v>
      </c>
      <c r="AS211" s="293"/>
    </row>
    <row r="212" spans="1:45" s="233" customFormat="1" ht="11.25" customHeight="1" hidden="1">
      <c r="A212" s="295"/>
      <c r="B212" s="236"/>
      <c r="C212" s="236" t="s">
        <v>223</v>
      </c>
      <c r="D212" s="236"/>
      <c r="E212" s="236"/>
      <c r="F212" s="236">
        <v>2</v>
      </c>
      <c r="G212" s="236"/>
      <c r="H212" s="236"/>
      <c r="I212" s="236"/>
      <c r="J212" s="362" t="s">
        <v>472</v>
      </c>
      <c r="K212" s="312" t="s">
        <v>900</v>
      </c>
      <c r="L212" s="341" t="s">
        <v>91</v>
      </c>
      <c r="M212" s="341" t="s">
        <v>473</v>
      </c>
      <c r="N212" s="370">
        <v>40788</v>
      </c>
      <c r="O212" s="288" t="s">
        <v>12</v>
      </c>
      <c r="P212" s="312">
        <v>89</v>
      </c>
      <c r="Q212" s="312">
        <v>1</v>
      </c>
      <c r="R212" s="312">
        <v>19</v>
      </c>
      <c r="S212" s="350">
        <v>0</v>
      </c>
      <c r="T212" s="351">
        <v>0</v>
      </c>
      <c r="U212" s="350">
        <v>0</v>
      </c>
      <c r="V212" s="351">
        <v>0</v>
      </c>
      <c r="W212" s="350">
        <v>0</v>
      </c>
      <c r="X212" s="351">
        <v>0</v>
      </c>
      <c r="Y212" s="334">
        <f t="shared" si="38"/>
        <v>0</v>
      </c>
      <c r="Z212" s="338">
        <f t="shared" si="39"/>
        <v>0</v>
      </c>
      <c r="AA212" s="323">
        <f t="shared" si="48"/>
      </c>
      <c r="AB212" s="324">
        <f t="shared" si="49"/>
      </c>
      <c r="AC212" s="334">
        <v>0</v>
      </c>
      <c r="AD212" s="326">
        <f t="shared" si="47"/>
      </c>
      <c r="AE212" s="327">
        <f t="shared" si="40"/>
        <v>1197</v>
      </c>
      <c r="AF212" s="323">
        <f t="shared" si="41"/>
        <v>189</v>
      </c>
      <c r="AG212" s="342">
        <v>1197</v>
      </c>
      <c r="AH212" s="343">
        <v>189</v>
      </c>
      <c r="AI212" s="326">
        <f t="shared" si="42"/>
        <v>0</v>
      </c>
      <c r="AJ212" s="326">
        <f t="shared" si="43"/>
        <v>1</v>
      </c>
      <c r="AK212" s="323">
        <f t="shared" si="44"/>
        <v>189</v>
      </c>
      <c r="AL212" s="324">
        <f t="shared" si="45"/>
        <v>6.333333333333333</v>
      </c>
      <c r="AM212" s="334"/>
      <c r="AN212" s="326">
        <f t="shared" si="50"/>
      </c>
      <c r="AO212" s="342">
        <v>2030716</v>
      </c>
      <c r="AP212" s="343">
        <v>204032</v>
      </c>
      <c r="AQ212" s="329">
        <f t="shared" si="46"/>
        <v>9.952928952321205</v>
      </c>
      <c r="AR212" s="297">
        <v>40963</v>
      </c>
      <c r="AS212" s="293"/>
    </row>
    <row r="213" spans="1:45" s="233" customFormat="1" ht="11.25" customHeight="1" hidden="1">
      <c r="A213" s="295"/>
      <c r="B213" s="236"/>
      <c r="C213" s="236" t="s">
        <v>223</v>
      </c>
      <c r="D213" s="293"/>
      <c r="E213" s="293"/>
      <c r="F213" s="236"/>
      <c r="G213" s="293"/>
      <c r="H213" s="293"/>
      <c r="I213" s="236"/>
      <c r="J213" s="366" t="s">
        <v>567</v>
      </c>
      <c r="K213" s="339" t="s">
        <v>879</v>
      </c>
      <c r="L213" s="319" t="s">
        <v>85</v>
      </c>
      <c r="M213" s="339" t="s">
        <v>568</v>
      </c>
      <c r="N213" s="370">
        <v>40599</v>
      </c>
      <c r="O213" s="288" t="s">
        <v>68</v>
      </c>
      <c r="P213" s="312">
        <v>60</v>
      </c>
      <c r="Q213" s="312">
        <v>1</v>
      </c>
      <c r="R213" s="312">
        <v>17</v>
      </c>
      <c r="S213" s="325">
        <v>0</v>
      </c>
      <c r="T213" s="355">
        <v>0</v>
      </c>
      <c r="U213" s="325">
        <v>0</v>
      </c>
      <c r="V213" s="355">
        <v>0</v>
      </c>
      <c r="W213" s="325">
        <v>0</v>
      </c>
      <c r="X213" s="355">
        <v>0</v>
      </c>
      <c r="Y213" s="334">
        <f t="shared" si="38"/>
        <v>0</v>
      </c>
      <c r="Z213" s="338">
        <f t="shared" si="39"/>
        <v>0</v>
      </c>
      <c r="AA213" s="323">
        <f t="shared" si="48"/>
      </c>
      <c r="AB213" s="324">
        <f t="shared" si="49"/>
      </c>
      <c r="AC213" s="334">
        <v>0</v>
      </c>
      <c r="AD213" s="326">
        <f t="shared" si="47"/>
      </c>
      <c r="AE213" s="327">
        <f t="shared" si="40"/>
        <v>1188</v>
      </c>
      <c r="AF213" s="323">
        <f t="shared" si="41"/>
        <v>238</v>
      </c>
      <c r="AG213" s="342">
        <v>1188</v>
      </c>
      <c r="AH213" s="343">
        <v>238</v>
      </c>
      <c r="AI213" s="326">
        <f t="shared" si="42"/>
        <v>0</v>
      </c>
      <c r="AJ213" s="326">
        <f t="shared" si="43"/>
        <v>1</v>
      </c>
      <c r="AK213" s="323">
        <f t="shared" si="44"/>
        <v>238</v>
      </c>
      <c r="AL213" s="324">
        <f t="shared" si="45"/>
        <v>4.991596638655462</v>
      </c>
      <c r="AM213" s="328"/>
      <c r="AN213" s="326">
        <f t="shared" si="50"/>
      </c>
      <c r="AO213" s="342">
        <f>324952+205669.75+36076.25+7149.5+4976+6474+8888+8102.5+7995.5+1904.5+2442.5+3379+326+230+1971.5+455+1188</f>
        <v>622180</v>
      </c>
      <c r="AP213" s="343">
        <f>28582+18445+3670+1269+845+865+1858+1230+1292+340+347+689+52+38+447+79+238</f>
        <v>60286</v>
      </c>
      <c r="AQ213" s="329">
        <f t="shared" si="46"/>
        <v>10.320472414822678</v>
      </c>
      <c r="AR213" s="297">
        <v>40963</v>
      </c>
      <c r="AS213" s="293"/>
    </row>
    <row r="214" spans="1:45" s="233" customFormat="1" ht="11.25" customHeight="1" hidden="1">
      <c r="A214" s="295"/>
      <c r="B214" s="236"/>
      <c r="C214" s="236" t="s">
        <v>223</v>
      </c>
      <c r="D214" s="236"/>
      <c r="E214" s="236"/>
      <c r="F214" s="236">
        <v>2</v>
      </c>
      <c r="G214" s="236"/>
      <c r="H214" s="236"/>
      <c r="I214" s="236" t="s">
        <v>54</v>
      </c>
      <c r="J214" s="366" t="s">
        <v>570</v>
      </c>
      <c r="K214" s="339" t="s">
        <v>574</v>
      </c>
      <c r="L214" s="339"/>
      <c r="M214" s="339" t="s">
        <v>570</v>
      </c>
      <c r="N214" s="370">
        <v>40669</v>
      </c>
      <c r="O214" s="288" t="s">
        <v>68</v>
      </c>
      <c r="P214" s="312">
        <v>31</v>
      </c>
      <c r="Q214" s="312">
        <v>1</v>
      </c>
      <c r="R214" s="312">
        <v>18</v>
      </c>
      <c r="S214" s="325">
        <v>0</v>
      </c>
      <c r="T214" s="355">
        <v>0</v>
      </c>
      <c r="U214" s="325">
        <v>0</v>
      </c>
      <c r="V214" s="355">
        <v>0</v>
      </c>
      <c r="W214" s="325">
        <v>0</v>
      </c>
      <c r="X214" s="355">
        <v>0</v>
      </c>
      <c r="Y214" s="334">
        <f t="shared" si="38"/>
        <v>0</v>
      </c>
      <c r="Z214" s="338">
        <f t="shared" si="39"/>
        <v>0</v>
      </c>
      <c r="AA214" s="323"/>
      <c r="AB214" s="324"/>
      <c r="AC214" s="330">
        <v>0</v>
      </c>
      <c r="AD214" s="326">
        <f t="shared" si="47"/>
      </c>
      <c r="AE214" s="327">
        <f t="shared" si="40"/>
        <v>950.5</v>
      </c>
      <c r="AF214" s="323">
        <f t="shared" si="41"/>
        <v>190</v>
      </c>
      <c r="AG214" s="342">
        <v>950.5</v>
      </c>
      <c r="AH214" s="343">
        <v>190</v>
      </c>
      <c r="AI214" s="326">
        <f t="shared" si="42"/>
        <v>0</v>
      </c>
      <c r="AJ214" s="326">
        <f t="shared" si="43"/>
        <v>1</v>
      </c>
      <c r="AK214" s="323">
        <f t="shared" si="44"/>
        <v>190</v>
      </c>
      <c r="AL214" s="324">
        <f t="shared" si="45"/>
        <v>5.002631578947368</v>
      </c>
      <c r="AM214" s="328"/>
      <c r="AN214" s="326">
        <f t="shared" si="50"/>
      </c>
      <c r="AO214" s="342">
        <f>175019+105176.5+33821+39610.5+24959.5+21794.5+6227+4449+362+706+2230+1369.5+1342.5+950.5+240+2366+3801.5+950.5</f>
        <v>425375.5</v>
      </c>
      <c r="AP214" s="343">
        <f>19673+11998+4200+5352+3807+3790+1054+773+55+128+469+229+219+157+30+429+950+190</f>
        <v>53503</v>
      </c>
      <c r="AQ214" s="329">
        <f t="shared" si="46"/>
        <v>7.950498102910117</v>
      </c>
      <c r="AR214" s="297">
        <v>40963</v>
      </c>
      <c r="AS214" s="293"/>
    </row>
    <row r="215" spans="1:45" s="233" customFormat="1" ht="11.25" customHeight="1" hidden="1">
      <c r="A215" s="295"/>
      <c r="B215" s="236"/>
      <c r="C215" s="236" t="s">
        <v>223</v>
      </c>
      <c r="D215" s="236"/>
      <c r="E215" s="236"/>
      <c r="F215" s="236"/>
      <c r="G215" s="236"/>
      <c r="H215" s="236"/>
      <c r="I215" s="236"/>
      <c r="J215" s="366" t="s">
        <v>569</v>
      </c>
      <c r="K215" s="339" t="s">
        <v>880</v>
      </c>
      <c r="L215" s="339" t="s">
        <v>88</v>
      </c>
      <c r="M215" s="339" t="s">
        <v>573</v>
      </c>
      <c r="N215" s="370">
        <v>40718</v>
      </c>
      <c r="O215" s="288" t="s">
        <v>68</v>
      </c>
      <c r="P215" s="312">
        <v>25</v>
      </c>
      <c r="Q215" s="312">
        <v>1</v>
      </c>
      <c r="R215" s="312">
        <v>16</v>
      </c>
      <c r="S215" s="325">
        <v>0</v>
      </c>
      <c r="T215" s="355">
        <v>0</v>
      </c>
      <c r="U215" s="325">
        <v>0</v>
      </c>
      <c r="V215" s="355">
        <v>0</v>
      </c>
      <c r="W215" s="325">
        <v>0</v>
      </c>
      <c r="X215" s="355">
        <v>0</v>
      </c>
      <c r="Y215" s="334">
        <f t="shared" si="38"/>
        <v>0</v>
      </c>
      <c r="Z215" s="338">
        <f t="shared" si="39"/>
        <v>0</v>
      </c>
      <c r="AA215" s="323"/>
      <c r="AB215" s="324"/>
      <c r="AC215" s="330">
        <v>0</v>
      </c>
      <c r="AD215" s="326">
        <f t="shared" si="47"/>
      </c>
      <c r="AE215" s="327">
        <f t="shared" si="40"/>
        <v>950.5</v>
      </c>
      <c r="AF215" s="323">
        <f t="shared" si="41"/>
        <v>190</v>
      </c>
      <c r="AG215" s="342">
        <v>950.5</v>
      </c>
      <c r="AH215" s="343">
        <v>190</v>
      </c>
      <c r="AI215" s="326">
        <f t="shared" si="42"/>
        <v>0</v>
      </c>
      <c r="AJ215" s="326">
        <f t="shared" si="43"/>
        <v>1</v>
      </c>
      <c r="AK215" s="323">
        <f t="shared" si="44"/>
        <v>190</v>
      </c>
      <c r="AL215" s="324">
        <f t="shared" si="45"/>
        <v>5.002631578947368</v>
      </c>
      <c r="AM215" s="328"/>
      <c r="AN215" s="326">
        <f t="shared" si="50"/>
      </c>
      <c r="AO215" s="342">
        <f>57373+29138.5+18608.5+18274+18081+33158.5+15047+12993+4041+3825+2818+2748+473+119+6415.5+950.5</f>
        <v>224063.5</v>
      </c>
      <c r="AP215" s="343">
        <f>5353+2775+2460+2094+2184+3706+2068+1709+576+481+366+567+74+16+1605+190</f>
        <v>26224</v>
      </c>
      <c r="AQ215" s="329">
        <f t="shared" si="46"/>
        <v>8.544215222696767</v>
      </c>
      <c r="AR215" s="297">
        <v>40963</v>
      </c>
      <c r="AS215" s="293"/>
    </row>
    <row r="216" spans="1:45" s="233" customFormat="1" ht="11.25" customHeight="1" hidden="1">
      <c r="A216" s="295"/>
      <c r="B216" s="293"/>
      <c r="C216" s="236" t="s">
        <v>223</v>
      </c>
      <c r="D216" s="236"/>
      <c r="E216" s="236"/>
      <c r="F216" s="236"/>
      <c r="G216" s="236"/>
      <c r="H216" s="236"/>
      <c r="I216" s="236"/>
      <c r="J216" s="363" t="s">
        <v>560</v>
      </c>
      <c r="K216" s="312"/>
      <c r="L216" s="331" t="s">
        <v>128</v>
      </c>
      <c r="M216" s="319" t="s">
        <v>561</v>
      </c>
      <c r="N216" s="370">
        <v>41175</v>
      </c>
      <c r="O216" s="288" t="s">
        <v>53</v>
      </c>
      <c r="P216" s="346">
        <v>51</v>
      </c>
      <c r="Q216" s="346">
        <v>1</v>
      </c>
      <c r="R216" s="346">
        <v>11</v>
      </c>
      <c r="S216" s="347">
        <v>74</v>
      </c>
      <c r="T216" s="348">
        <v>6</v>
      </c>
      <c r="U216" s="347">
        <v>108</v>
      </c>
      <c r="V216" s="348">
        <v>10</v>
      </c>
      <c r="W216" s="347">
        <v>112</v>
      </c>
      <c r="X216" s="348">
        <v>11</v>
      </c>
      <c r="Y216" s="334">
        <f t="shared" si="38"/>
        <v>294</v>
      </c>
      <c r="Z216" s="338">
        <f t="shared" si="39"/>
        <v>27</v>
      </c>
      <c r="AA216" s="323">
        <f aca="true" t="shared" si="51" ref="AA216:AA223">IF(Y216&lt;&gt;0,Z216/Q216,"")</f>
        <v>27</v>
      </c>
      <c r="AB216" s="324">
        <f aca="true" t="shared" si="52" ref="AB216:AB223">IF(Y216&lt;&gt;0,Y216/Z216,"")</f>
        <v>10.88888888888889</v>
      </c>
      <c r="AC216" s="330">
        <v>0</v>
      </c>
      <c r="AD216" s="326">
        <f t="shared" si="47"/>
      </c>
      <c r="AE216" s="327">
        <f t="shared" si="40"/>
        <v>514</v>
      </c>
      <c r="AF216" s="323">
        <f t="shared" si="41"/>
        <v>54</v>
      </c>
      <c r="AG216" s="342">
        <v>808</v>
      </c>
      <c r="AH216" s="343">
        <v>81</v>
      </c>
      <c r="AI216" s="326">
        <f t="shared" si="42"/>
        <v>0.3333333333333333</v>
      </c>
      <c r="AJ216" s="326">
        <f t="shared" si="43"/>
        <v>0.6666666666666666</v>
      </c>
      <c r="AK216" s="323">
        <f t="shared" si="44"/>
        <v>81</v>
      </c>
      <c r="AL216" s="324">
        <f t="shared" si="45"/>
        <v>9.975308641975309</v>
      </c>
      <c r="AM216" s="330"/>
      <c r="AN216" s="326">
        <f t="shared" si="50"/>
      </c>
      <c r="AO216" s="342">
        <f>365324+274223.5+203452+116521.5+40713.5+8734.5+7823+1091+1063.5+451+808</f>
        <v>1020205.5</v>
      </c>
      <c r="AP216" s="343">
        <f>32747+24923+18547+11662+5049+1079+999+148+136+54+81</f>
        <v>95425</v>
      </c>
      <c r="AQ216" s="329">
        <f t="shared" si="46"/>
        <v>10.69117631647891</v>
      </c>
      <c r="AR216" s="297">
        <v>40963</v>
      </c>
      <c r="AS216" s="293"/>
    </row>
    <row r="217" spans="1:45" s="233" customFormat="1" ht="11.25" customHeight="1" hidden="1">
      <c r="A217" s="295"/>
      <c r="B217" s="236"/>
      <c r="C217" s="236" t="s">
        <v>223</v>
      </c>
      <c r="D217" s="236"/>
      <c r="E217" s="236"/>
      <c r="F217" s="236"/>
      <c r="G217" s="236"/>
      <c r="H217" s="294"/>
      <c r="I217" s="293"/>
      <c r="J217" s="360" t="s">
        <v>111</v>
      </c>
      <c r="K217" s="312" t="s">
        <v>916</v>
      </c>
      <c r="L217" s="288" t="s">
        <v>92</v>
      </c>
      <c r="M217" s="288" t="s">
        <v>112</v>
      </c>
      <c r="N217" s="377">
        <v>40886</v>
      </c>
      <c r="O217" s="288" t="s">
        <v>10</v>
      </c>
      <c r="P217" s="312">
        <v>25</v>
      </c>
      <c r="Q217" s="331">
        <v>1</v>
      </c>
      <c r="R217" s="331">
        <v>11</v>
      </c>
      <c r="S217" s="342">
        <v>63</v>
      </c>
      <c r="T217" s="343">
        <v>9</v>
      </c>
      <c r="U217" s="342">
        <v>224</v>
      </c>
      <c r="V217" s="343">
        <v>32</v>
      </c>
      <c r="W217" s="342">
        <v>105</v>
      </c>
      <c r="X217" s="343">
        <v>15</v>
      </c>
      <c r="Y217" s="334">
        <f t="shared" si="38"/>
        <v>392</v>
      </c>
      <c r="Z217" s="338">
        <f t="shared" si="39"/>
        <v>56</v>
      </c>
      <c r="AA217" s="323">
        <f t="shared" si="51"/>
        <v>56</v>
      </c>
      <c r="AB217" s="324">
        <f t="shared" si="52"/>
        <v>7</v>
      </c>
      <c r="AC217" s="334">
        <v>0</v>
      </c>
      <c r="AD217" s="326">
        <f t="shared" si="47"/>
      </c>
      <c r="AE217" s="327">
        <f t="shared" si="40"/>
        <v>308</v>
      </c>
      <c r="AF217" s="323">
        <f t="shared" si="41"/>
        <v>44</v>
      </c>
      <c r="AG217" s="342">
        <v>700</v>
      </c>
      <c r="AH217" s="343">
        <v>100</v>
      </c>
      <c r="AI217" s="326">
        <f t="shared" si="42"/>
        <v>0.56</v>
      </c>
      <c r="AJ217" s="326">
        <f t="shared" si="43"/>
        <v>0.44</v>
      </c>
      <c r="AK217" s="323">
        <f t="shared" si="44"/>
        <v>100</v>
      </c>
      <c r="AL217" s="324">
        <f t="shared" si="45"/>
        <v>7</v>
      </c>
      <c r="AM217" s="328"/>
      <c r="AN217" s="326">
        <f t="shared" si="50"/>
      </c>
      <c r="AO217" s="342">
        <v>428435</v>
      </c>
      <c r="AP217" s="343">
        <v>35104</v>
      </c>
      <c r="AQ217" s="329">
        <f t="shared" si="46"/>
        <v>12.204734503190519</v>
      </c>
      <c r="AR217" s="297">
        <v>40963</v>
      </c>
      <c r="AS217" s="293"/>
    </row>
    <row r="218" spans="1:45" s="233" customFormat="1" ht="11.25" customHeight="1" hidden="1">
      <c r="A218" s="295"/>
      <c r="B218" s="293"/>
      <c r="C218" s="236" t="s">
        <v>223</v>
      </c>
      <c r="D218" s="293"/>
      <c r="E218" s="293"/>
      <c r="F218" s="236"/>
      <c r="G218" s="236" t="s">
        <v>250</v>
      </c>
      <c r="H218" s="236"/>
      <c r="I218" s="236"/>
      <c r="J218" s="366" t="s">
        <v>86</v>
      </c>
      <c r="K218" s="312" t="s">
        <v>881</v>
      </c>
      <c r="L218" s="340" t="s">
        <v>85</v>
      </c>
      <c r="M218" s="340" t="s">
        <v>84</v>
      </c>
      <c r="N218" s="370">
        <v>40865</v>
      </c>
      <c r="O218" s="288" t="s">
        <v>68</v>
      </c>
      <c r="P218" s="340">
        <v>269</v>
      </c>
      <c r="Q218" s="312">
        <v>3</v>
      </c>
      <c r="R218" s="312">
        <v>12</v>
      </c>
      <c r="S218" s="325">
        <v>0</v>
      </c>
      <c r="T218" s="355">
        <v>0</v>
      </c>
      <c r="U218" s="325">
        <v>0</v>
      </c>
      <c r="V218" s="355">
        <v>0</v>
      </c>
      <c r="W218" s="325">
        <v>0</v>
      </c>
      <c r="X218" s="355">
        <v>0</v>
      </c>
      <c r="Y218" s="334">
        <f t="shared" si="38"/>
        <v>0</v>
      </c>
      <c r="Z218" s="338">
        <f t="shared" si="39"/>
        <v>0</v>
      </c>
      <c r="AA218" s="323">
        <f t="shared" si="51"/>
      </c>
      <c r="AB218" s="324">
        <f t="shared" si="52"/>
      </c>
      <c r="AC218" s="330">
        <v>0</v>
      </c>
      <c r="AD218" s="326">
        <f t="shared" si="47"/>
      </c>
      <c r="AE218" s="327">
        <f t="shared" si="40"/>
        <v>306</v>
      </c>
      <c r="AF218" s="323">
        <f t="shared" si="41"/>
        <v>34</v>
      </c>
      <c r="AG218" s="342">
        <v>306</v>
      </c>
      <c r="AH218" s="343">
        <v>34</v>
      </c>
      <c r="AI218" s="326">
        <f t="shared" si="42"/>
        <v>0</v>
      </c>
      <c r="AJ218" s="326">
        <f t="shared" si="43"/>
        <v>1</v>
      </c>
      <c r="AK218" s="323">
        <f t="shared" si="44"/>
        <v>11.333333333333334</v>
      </c>
      <c r="AL218" s="324">
        <f t="shared" si="45"/>
        <v>9</v>
      </c>
      <c r="AM218" s="328"/>
      <c r="AN218" s="326">
        <f t="shared" si="50"/>
      </c>
      <c r="AO218" s="342">
        <f>5909490.25+3097966.75+1490952+971866.5+533653.5+131687+50452.5+9558+4400+2382+513+2984+2736+306</f>
        <v>12208947.5</v>
      </c>
      <c r="AP218" s="343">
        <f>649738+347416+170125+112162+66621+19435+10184+1583+654+354+78+504+583+34</f>
        <v>1379471</v>
      </c>
      <c r="AQ218" s="329">
        <f t="shared" si="46"/>
        <v>8.850456080628009</v>
      </c>
      <c r="AR218" s="297">
        <v>40963</v>
      </c>
      <c r="AS218" s="293"/>
    </row>
    <row r="219" spans="1:45" s="233" customFormat="1" ht="11.25" customHeight="1" hidden="1">
      <c r="A219" s="295"/>
      <c r="B219" s="236"/>
      <c r="C219" s="236"/>
      <c r="D219" s="236"/>
      <c r="E219" s="236"/>
      <c r="F219" s="236"/>
      <c r="G219" s="236"/>
      <c r="H219" s="236"/>
      <c r="I219" s="236"/>
      <c r="J219" s="360" t="s">
        <v>147</v>
      </c>
      <c r="K219" s="288"/>
      <c r="L219" s="288" t="s">
        <v>79</v>
      </c>
      <c r="M219" s="288" t="s">
        <v>150</v>
      </c>
      <c r="N219" s="369">
        <v>40907</v>
      </c>
      <c r="O219" s="288" t="s">
        <v>289</v>
      </c>
      <c r="P219" s="312">
        <v>1</v>
      </c>
      <c r="Q219" s="312">
        <v>1</v>
      </c>
      <c r="R219" s="312">
        <v>4</v>
      </c>
      <c r="S219" s="334">
        <v>204</v>
      </c>
      <c r="T219" s="338">
        <v>19</v>
      </c>
      <c r="U219" s="334">
        <v>390</v>
      </c>
      <c r="V219" s="338">
        <v>37</v>
      </c>
      <c r="W219" s="334">
        <v>562</v>
      </c>
      <c r="X219" s="338">
        <v>53</v>
      </c>
      <c r="Y219" s="334">
        <f t="shared" si="38"/>
        <v>1156</v>
      </c>
      <c r="Z219" s="338">
        <f t="shared" si="39"/>
        <v>109</v>
      </c>
      <c r="AA219" s="323">
        <f t="shared" si="51"/>
        <v>109</v>
      </c>
      <c r="AB219" s="324">
        <f t="shared" si="52"/>
        <v>10.605504587155963</v>
      </c>
      <c r="AC219" s="330">
        <v>0</v>
      </c>
      <c r="AD219" s="326">
        <f t="shared" si="47"/>
      </c>
      <c r="AE219" s="327">
        <f t="shared" si="40"/>
        <v>703</v>
      </c>
      <c r="AF219" s="323">
        <f t="shared" si="41"/>
        <v>73</v>
      </c>
      <c r="AG219" s="334">
        <v>1859</v>
      </c>
      <c r="AH219" s="338">
        <v>182</v>
      </c>
      <c r="AI219" s="326">
        <f t="shared" si="42"/>
        <v>0.5989010989010989</v>
      </c>
      <c r="AJ219" s="326">
        <f t="shared" si="43"/>
        <v>0.4010989010989011</v>
      </c>
      <c r="AK219" s="323">
        <f t="shared" si="44"/>
        <v>182</v>
      </c>
      <c r="AL219" s="324">
        <f t="shared" si="45"/>
        <v>10.214285714285714</v>
      </c>
      <c r="AM219" s="334"/>
      <c r="AN219" s="326">
        <f t="shared" si="50"/>
      </c>
      <c r="AO219" s="334">
        <v>6925</v>
      </c>
      <c r="AP219" s="338">
        <v>705</v>
      </c>
      <c r="AQ219" s="329">
        <f t="shared" si="46"/>
        <v>9.822695035460994</v>
      </c>
      <c r="AR219" s="297">
        <v>40956</v>
      </c>
      <c r="AS219" s="293"/>
    </row>
    <row r="220" spans="1:45" s="233" customFormat="1" ht="11.25" customHeight="1" hidden="1">
      <c r="A220" s="295"/>
      <c r="B220" s="236"/>
      <c r="C220" s="236" t="s">
        <v>223</v>
      </c>
      <c r="D220" s="236" t="s">
        <v>193</v>
      </c>
      <c r="E220" s="236"/>
      <c r="F220" s="236">
        <v>2</v>
      </c>
      <c r="G220" s="236"/>
      <c r="H220" s="236"/>
      <c r="I220" s="236"/>
      <c r="J220" s="366" t="s">
        <v>552</v>
      </c>
      <c r="K220" s="312" t="s">
        <v>118</v>
      </c>
      <c r="L220" s="319" t="s">
        <v>88</v>
      </c>
      <c r="M220" s="339" t="s">
        <v>557</v>
      </c>
      <c r="N220" s="370">
        <v>40760</v>
      </c>
      <c r="O220" s="288" t="s">
        <v>68</v>
      </c>
      <c r="P220" s="312">
        <v>101</v>
      </c>
      <c r="Q220" s="312">
        <v>1</v>
      </c>
      <c r="R220" s="312">
        <v>18</v>
      </c>
      <c r="S220" s="325">
        <v>0</v>
      </c>
      <c r="T220" s="355">
        <v>0</v>
      </c>
      <c r="U220" s="325">
        <v>0</v>
      </c>
      <c r="V220" s="355">
        <v>0</v>
      </c>
      <c r="W220" s="325">
        <v>0</v>
      </c>
      <c r="X220" s="355">
        <v>0</v>
      </c>
      <c r="Y220" s="334">
        <f t="shared" si="38"/>
        <v>0</v>
      </c>
      <c r="Z220" s="338">
        <f t="shared" si="39"/>
        <v>0</v>
      </c>
      <c r="AA220" s="323">
        <f t="shared" si="51"/>
      </c>
      <c r="AB220" s="324">
        <f t="shared" si="52"/>
      </c>
      <c r="AC220" s="334">
        <v>0</v>
      </c>
      <c r="AD220" s="326">
        <f t="shared" si="47"/>
      </c>
      <c r="AE220" s="327">
        <f t="shared" si="40"/>
        <v>1782</v>
      </c>
      <c r="AF220" s="323">
        <f t="shared" si="41"/>
        <v>356</v>
      </c>
      <c r="AG220" s="328">
        <v>1782</v>
      </c>
      <c r="AH220" s="344">
        <v>356</v>
      </c>
      <c r="AI220" s="326">
        <f t="shared" si="42"/>
        <v>0</v>
      </c>
      <c r="AJ220" s="326">
        <f t="shared" si="43"/>
        <v>1</v>
      </c>
      <c r="AK220" s="323">
        <f t="shared" si="44"/>
        <v>356</v>
      </c>
      <c r="AL220" s="324">
        <f t="shared" si="45"/>
        <v>5.00561797752809</v>
      </c>
      <c r="AM220" s="328"/>
      <c r="AN220" s="326">
        <f t="shared" si="50"/>
      </c>
      <c r="AO220" s="328">
        <f>1123387+667871.5+450599+390225.5+158633+89754+30860+15969.5+11575.5+6763.5+3494.5+5145+1782+1782+950.5+4039+1425.5+1782</f>
        <v>2966039</v>
      </c>
      <c r="AP220" s="344">
        <f>108166+64485+43907+41233+19918+12468+4923+2605+2337+1591+622+1207+446+446+238+1009+356+356</f>
        <v>306313</v>
      </c>
      <c r="AQ220" s="329">
        <f t="shared" si="46"/>
        <v>9.683033367829639</v>
      </c>
      <c r="AR220" s="297">
        <v>40956</v>
      </c>
      <c r="AS220" s="293"/>
    </row>
    <row r="221" spans="1:45" s="233" customFormat="1" ht="11.25" customHeight="1" hidden="1">
      <c r="A221" s="295"/>
      <c r="B221" s="236"/>
      <c r="C221" s="236" t="s">
        <v>223</v>
      </c>
      <c r="D221" s="236" t="s">
        <v>193</v>
      </c>
      <c r="E221" s="236"/>
      <c r="F221" s="293"/>
      <c r="G221" s="236" t="s">
        <v>250</v>
      </c>
      <c r="H221" s="236"/>
      <c r="I221" s="236"/>
      <c r="J221" s="366" t="s">
        <v>470</v>
      </c>
      <c r="K221" s="339" t="s">
        <v>882</v>
      </c>
      <c r="L221" s="339" t="s">
        <v>88</v>
      </c>
      <c r="M221" s="339" t="s">
        <v>407</v>
      </c>
      <c r="N221" s="370">
        <v>40522</v>
      </c>
      <c r="O221" s="288" t="s">
        <v>68</v>
      </c>
      <c r="P221" s="312">
        <v>127</v>
      </c>
      <c r="Q221" s="312">
        <v>1</v>
      </c>
      <c r="R221" s="312">
        <v>24</v>
      </c>
      <c r="S221" s="325">
        <v>0</v>
      </c>
      <c r="T221" s="355">
        <v>0</v>
      </c>
      <c r="U221" s="325">
        <v>0</v>
      </c>
      <c r="V221" s="355">
        <v>0</v>
      </c>
      <c r="W221" s="325">
        <v>0</v>
      </c>
      <c r="X221" s="355">
        <v>0</v>
      </c>
      <c r="Y221" s="334">
        <f t="shared" si="38"/>
        <v>0</v>
      </c>
      <c r="Z221" s="338">
        <f t="shared" si="39"/>
        <v>0</v>
      </c>
      <c r="AA221" s="323">
        <f t="shared" si="51"/>
      </c>
      <c r="AB221" s="324">
        <f t="shared" si="52"/>
      </c>
      <c r="AC221" s="330">
        <v>0</v>
      </c>
      <c r="AD221" s="326">
        <f t="shared" si="47"/>
      </c>
      <c r="AE221" s="327">
        <f t="shared" si="40"/>
        <v>1782</v>
      </c>
      <c r="AF221" s="323">
        <f t="shared" si="41"/>
        <v>356</v>
      </c>
      <c r="AG221" s="328">
        <v>1782</v>
      </c>
      <c r="AH221" s="344">
        <v>356</v>
      </c>
      <c r="AI221" s="326">
        <f t="shared" si="42"/>
        <v>0</v>
      </c>
      <c r="AJ221" s="326">
        <f t="shared" si="43"/>
        <v>1</v>
      </c>
      <c r="AK221" s="323">
        <f t="shared" si="44"/>
        <v>356</v>
      </c>
      <c r="AL221" s="324">
        <f t="shared" si="45"/>
        <v>5.00561797752809</v>
      </c>
      <c r="AM221" s="328"/>
      <c r="AN221" s="326">
        <f t="shared" si="50"/>
      </c>
      <c r="AO221" s="328">
        <f>1048675+809166.5+457718.5+70165.5+7102+12164+8619.5+11777.5+6559.5+3338.5+10420.5+3303+3205+2076+1722.5+314+264+550+5455+5583.5+1818.5+950.5+1188+1782</f>
        <v>2473919</v>
      </c>
      <c r="AP221" s="344">
        <f>92481+73795+43350+8841+1153+2869+1615+2831+1620+630+2477+726+513+481+318+38+33+104+1359+1394+447+238+297+356</f>
        <v>237966</v>
      </c>
      <c r="AQ221" s="329">
        <f t="shared" si="46"/>
        <v>10.396102804602338</v>
      </c>
      <c r="AR221" s="297">
        <v>40956</v>
      </c>
      <c r="AS221" s="293"/>
    </row>
    <row r="222" spans="1:45" s="233" customFormat="1" ht="11.25" customHeight="1" hidden="1">
      <c r="A222" s="295"/>
      <c r="B222" s="236"/>
      <c r="C222" s="236" t="s">
        <v>223</v>
      </c>
      <c r="D222" s="236" t="s">
        <v>193</v>
      </c>
      <c r="E222" s="236"/>
      <c r="F222" s="236">
        <v>2</v>
      </c>
      <c r="G222" s="236"/>
      <c r="H222" s="236"/>
      <c r="I222" s="236"/>
      <c r="J222" s="366" t="s">
        <v>553</v>
      </c>
      <c r="K222" s="312" t="s">
        <v>118</v>
      </c>
      <c r="L222" s="319" t="s">
        <v>88</v>
      </c>
      <c r="M222" s="339" t="s">
        <v>558</v>
      </c>
      <c r="N222" s="370">
        <v>40228</v>
      </c>
      <c r="O222" s="288" t="s">
        <v>68</v>
      </c>
      <c r="P222" s="312">
        <v>88</v>
      </c>
      <c r="Q222" s="312">
        <v>1</v>
      </c>
      <c r="R222" s="312">
        <v>26</v>
      </c>
      <c r="S222" s="325">
        <v>0</v>
      </c>
      <c r="T222" s="355">
        <v>0</v>
      </c>
      <c r="U222" s="325">
        <v>0</v>
      </c>
      <c r="V222" s="355">
        <v>0</v>
      </c>
      <c r="W222" s="325">
        <v>0</v>
      </c>
      <c r="X222" s="355">
        <v>0</v>
      </c>
      <c r="Y222" s="334">
        <f t="shared" si="38"/>
        <v>0</v>
      </c>
      <c r="Z222" s="338">
        <f t="shared" si="39"/>
        <v>0</v>
      </c>
      <c r="AA222" s="323">
        <f t="shared" si="51"/>
      </c>
      <c r="AB222" s="324">
        <f t="shared" si="52"/>
      </c>
      <c r="AC222" s="334">
        <v>0</v>
      </c>
      <c r="AD222" s="326">
        <f t="shared" si="47"/>
      </c>
      <c r="AE222" s="327">
        <f t="shared" si="40"/>
        <v>1782</v>
      </c>
      <c r="AF222" s="323">
        <f t="shared" si="41"/>
        <v>356</v>
      </c>
      <c r="AG222" s="328">
        <v>1782</v>
      </c>
      <c r="AH222" s="344">
        <v>356</v>
      </c>
      <c r="AI222" s="326">
        <f t="shared" si="42"/>
        <v>0</v>
      </c>
      <c r="AJ222" s="326">
        <f t="shared" si="43"/>
        <v>1</v>
      </c>
      <c r="AK222" s="323">
        <f t="shared" si="44"/>
        <v>356</v>
      </c>
      <c r="AL222" s="324">
        <f t="shared" si="45"/>
        <v>5.00561797752809</v>
      </c>
      <c r="AM222" s="328"/>
      <c r="AN222" s="326">
        <f t="shared" si="50"/>
      </c>
      <c r="AO222" s="328">
        <f>848677.55+469+99+661+35+1782+1782+1782</f>
        <v>855287.55</v>
      </c>
      <c r="AP222" s="344">
        <f>99747+71+15+97+3+445+445+356</f>
        <v>101179</v>
      </c>
      <c r="AQ222" s="329">
        <f t="shared" si="46"/>
        <v>8.453212128999102</v>
      </c>
      <c r="AR222" s="297">
        <v>40956</v>
      </c>
      <c r="AS222" s="293"/>
    </row>
    <row r="223" spans="1:45" s="233" customFormat="1" ht="11.25" customHeight="1" hidden="1">
      <c r="A223" s="295"/>
      <c r="B223" s="236"/>
      <c r="C223" s="236" t="s">
        <v>223</v>
      </c>
      <c r="D223" s="236"/>
      <c r="E223" s="236"/>
      <c r="F223" s="236"/>
      <c r="G223" s="236"/>
      <c r="H223" s="236"/>
      <c r="I223" s="236"/>
      <c r="J223" s="366" t="s">
        <v>554</v>
      </c>
      <c r="K223" s="312" t="s">
        <v>883</v>
      </c>
      <c r="L223" s="319" t="s">
        <v>88</v>
      </c>
      <c r="M223" s="339" t="s">
        <v>555</v>
      </c>
      <c r="N223" s="370">
        <v>39969</v>
      </c>
      <c r="O223" s="288" t="s">
        <v>68</v>
      </c>
      <c r="P223" s="312">
        <v>20</v>
      </c>
      <c r="Q223" s="312">
        <v>1</v>
      </c>
      <c r="R223" s="312">
        <v>21</v>
      </c>
      <c r="S223" s="325">
        <v>0</v>
      </c>
      <c r="T223" s="355">
        <v>0</v>
      </c>
      <c r="U223" s="325">
        <v>0</v>
      </c>
      <c r="V223" s="355">
        <v>0</v>
      </c>
      <c r="W223" s="325">
        <v>0</v>
      </c>
      <c r="X223" s="355">
        <v>0</v>
      </c>
      <c r="Y223" s="334">
        <f t="shared" si="38"/>
        <v>0</v>
      </c>
      <c r="Z223" s="338">
        <f t="shared" si="39"/>
        <v>0</v>
      </c>
      <c r="AA223" s="323">
        <f t="shared" si="51"/>
      </c>
      <c r="AB223" s="324">
        <f t="shared" si="52"/>
      </c>
      <c r="AC223" s="330">
        <v>0</v>
      </c>
      <c r="AD223" s="326">
        <f t="shared" si="47"/>
      </c>
      <c r="AE223" s="327">
        <f t="shared" si="40"/>
        <v>1780</v>
      </c>
      <c r="AF223" s="323">
        <f t="shared" si="41"/>
        <v>356</v>
      </c>
      <c r="AG223" s="328">
        <v>1780</v>
      </c>
      <c r="AH223" s="344">
        <v>356</v>
      </c>
      <c r="AI223" s="326">
        <f t="shared" si="42"/>
        <v>0</v>
      </c>
      <c r="AJ223" s="326">
        <f t="shared" si="43"/>
        <v>1</v>
      </c>
      <c r="AK223" s="323">
        <f t="shared" si="44"/>
        <v>356</v>
      </c>
      <c r="AL223" s="324">
        <f t="shared" si="45"/>
        <v>5</v>
      </c>
      <c r="AM223" s="328"/>
      <c r="AN223" s="326">
        <f t="shared" si="50"/>
      </c>
      <c r="AO223" s="328">
        <f>63821.75+29583.75+16102.25+8771.25+5888+8492.5+1761+3162+5226+2267+1186.5+1122.5+1305+832+660+301+151+1780+1780+1308+1780</f>
        <v>157281.5</v>
      </c>
      <c r="AP223" s="344">
        <f>6069+3045+2422+1546+1020+1313+402+594+954+378+185+151+256+78+122+64+34+445+445+327+356</f>
        <v>20206</v>
      </c>
      <c r="AQ223" s="329">
        <f t="shared" si="46"/>
        <v>7.783900821538157</v>
      </c>
      <c r="AR223" s="297">
        <v>40956</v>
      </c>
      <c r="AS223" s="293"/>
    </row>
    <row r="224" spans="1:45" s="233" customFormat="1" ht="11.25" customHeight="1" hidden="1">
      <c r="A224" s="295"/>
      <c r="B224" s="236"/>
      <c r="C224" s="236" t="s">
        <v>223</v>
      </c>
      <c r="D224" s="236"/>
      <c r="E224" s="236"/>
      <c r="F224" s="236"/>
      <c r="G224" s="236"/>
      <c r="H224" s="236"/>
      <c r="I224" s="236" t="s">
        <v>54</v>
      </c>
      <c r="J224" s="363" t="s">
        <v>546</v>
      </c>
      <c r="K224" s="288"/>
      <c r="L224" s="288"/>
      <c r="M224" s="288" t="s">
        <v>546</v>
      </c>
      <c r="N224" s="370">
        <v>40165</v>
      </c>
      <c r="O224" s="288" t="s">
        <v>52</v>
      </c>
      <c r="P224" s="331">
        <v>38</v>
      </c>
      <c r="Q224" s="312">
        <v>1</v>
      </c>
      <c r="R224" s="312">
        <v>37</v>
      </c>
      <c r="S224" s="334">
        <v>0</v>
      </c>
      <c r="T224" s="338">
        <v>0</v>
      </c>
      <c r="U224" s="334">
        <v>0</v>
      </c>
      <c r="V224" s="338">
        <v>0</v>
      </c>
      <c r="W224" s="334">
        <v>0</v>
      </c>
      <c r="X224" s="338"/>
      <c r="Y224" s="334">
        <f t="shared" si="38"/>
        <v>0</v>
      </c>
      <c r="Z224" s="338">
        <f t="shared" si="39"/>
        <v>0</v>
      </c>
      <c r="AA224" s="323"/>
      <c r="AB224" s="324"/>
      <c r="AC224" s="330">
        <v>0</v>
      </c>
      <c r="AD224" s="326">
        <f t="shared" si="47"/>
      </c>
      <c r="AE224" s="327">
        <f t="shared" si="40"/>
        <v>1188</v>
      </c>
      <c r="AF224" s="323">
        <f t="shared" si="41"/>
        <v>238</v>
      </c>
      <c r="AG224" s="334">
        <v>1188</v>
      </c>
      <c r="AH224" s="338">
        <v>238</v>
      </c>
      <c r="AI224" s="326">
        <f t="shared" si="42"/>
        <v>0</v>
      </c>
      <c r="AJ224" s="326">
        <f t="shared" si="43"/>
        <v>1</v>
      </c>
      <c r="AK224" s="323">
        <f t="shared" si="44"/>
        <v>238</v>
      </c>
      <c r="AL224" s="324">
        <f t="shared" si="45"/>
        <v>4.991596638655462</v>
      </c>
      <c r="AM224" s="334"/>
      <c r="AN224" s="326">
        <f t="shared" si="50"/>
      </c>
      <c r="AO224" s="334">
        <f>1139387+1188</f>
        <v>1140575</v>
      </c>
      <c r="AP224" s="338">
        <f>139628+238</f>
        <v>139866</v>
      </c>
      <c r="AQ224" s="329">
        <f t="shared" si="46"/>
        <v>8.15476956515522</v>
      </c>
      <c r="AR224" s="297">
        <v>40956</v>
      </c>
      <c r="AS224" s="293"/>
    </row>
    <row r="225" spans="1:45" s="233" customFormat="1" ht="11.25" customHeight="1" hidden="1">
      <c r="A225" s="295"/>
      <c r="B225" s="236"/>
      <c r="C225" s="236" t="s">
        <v>223</v>
      </c>
      <c r="D225" s="236"/>
      <c r="E225" s="236"/>
      <c r="F225" s="236"/>
      <c r="G225" s="236"/>
      <c r="H225" s="236"/>
      <c r="I225" s="236"/>
      <c r="J225" s="366" t="s">
        <v>527</v>
      </c>
      <c r="K225" s="339" t="s">
        <v>884</v>
      </c>
      <c r="L225" s="319"/>
      <c r="M225" s="339" t="s">
        <v>533</v>
      </c>
      <c r="N225" s="370">
        <v>40662</v>
      </c>
      <c r="O225" s="288" t="s">
        <v>68</v>
      </c>
      <c r="P225" s="312">
        <v>19</v>
      </c>
      <c r="Q225" s="312">
        <v>1</v>
      </c>
      <c r="R225" s="312">
        <v>25</v>
      </c>
      <c r="S225" s="325">
        <v>0</v>
      </c>
      <c r="T225" s="355">
        <v>0</v>
      </c>
      <c r="U225" s="325">
        <v>0</v>
      </c>
      <c r="V225" s="355">
        <v>0</v>
      </c>
      <c r="W225" s="325">
        <v>0</v>
      </c>
      <c r="X225" s="355">
        <v>0</v>
      </c>
      <c r="Y225" s="334">
        <f t="shared" si="38"/>
        <v>0</v>
      </c>
      <c r="Z225" s="338">
        <f t="shared" si="39"/>
        <v>0</v>
      </c>
      <c r="AA225" s="323"/>
      <c r="AB225" s="324"/>
      <c r="AC225" s="330">
        <v>0</v>
      </c>
      <c r="AD225" s="326">
        <f t="shared" si="47"/>
      </c>
      <c r="AE225" s="327">
        <f t="shared" si="40"/>
        <v>560</v>
      </c>
      <c r="AF225" s="323">
        <f t="shared" si="41"/>
        <v>248</v>
      </c>
      <c r="AG225" s="328">
        <v>560</v>
      </c>
      <c r="AH225" s="344">
        <v>248</v>
      </c>
      <c r="AI225" s="326">
        <f t="shared" si="42"/>
        <v>0</v>
      </c>
      <c r="AJ225" s="326">
        <f t="shared" si="43"/>
        <v>1</v>
      </c>
      <c r="AK225" s="323">
        <f t="shared" si="44"/>
        <v>248</v>
      </c>
      <c r="AL225" s="324">
        <f t="shared" si="45"/>
        <v>2.2580645161290325</v>
      </c>
      <c r="AM225" s="328"/>
      <c r="AN225" s="326">
        <f t="shared" si="50"/>
      </c>
      <c r="AO225" s="328">
        <f>101742.25+50164.5+51750+9401+13450.5+18562.5+28682+16047.5+15912+8384+5213+12043+3980+9461+6303.5+6271+2673+6139.5+1849.5+1109+1307+722+1188+3801.5+560</f>
        <v>376717.25</v>
      </c>
      <c r="AP225" s="344">
        <f>8064+3844+5093+985+1765+2797+3793+2133+2232+1161+795+1735+578+1201+748+718+399+835+292+171+327+184+297+760+248</f>
        <v>41155</v>
      </c>
      <c r="AQ225" s="329">
        <f t="shared" si="46"/>
        <v>9.15362045923946</v>
      </c>
      <c r="AR225" s="297">
        <v>40956</v>
      </c>
      <c r="AS225" s="293"/>
    </row>
    <row r="226" spans="1:45" s="233" customFormat="1" ht="11.25" customHeight="1" hidden="1">
      <c r="A226" s="295"/>
      <c r="B226" s="236"/>
      <c r="C226" s="236"/>
      <c r="D226" s="236"/>
      <c r="E226" s="236"/>
      <c r="F226" s="236"/>
      <c r="G226" s="236"/>
      <c r="H226" s="236"/>
      <c r="I226" s="236"/>
      <c r="J226" s="363" t="s">
        <v>184</v>
      </c>
      <c r="K226" s="340" t="s">
        <v>186</v>
      </c>
      <c r="L226" s="288" t="s">
        <v>92</v>
      </c>
      <c r="M226" s="340" t="s">
        <v>185</v>
      </c>
      <c r="N226" s="370">
        <v>40907</v>
      </c>
      <c r="O226" s="288" t="s">
        <v>10</v>
      </c>
      <c r="P226" s="331">
        <v>64</v>
      </c>
      <c r="Q226" s="331">
        <v>3</v>
      </c>
      <c r="R226" s="331">
        <v>7</v>
      </c>
      <c r="S226" s="342">
        <v>260</v>
      </c>
      <c r="T226" s="343">
        <v>33</v>
      </c>
      <c r="U226" s="342">
        <v>674</v>
      </c>
      <c r="V226" s="343">
        <v>86</v>
      </c>
      <c r="W226" s="342">
        <v>619</v>
      </c>
      <c r="X226" s="343">
        <v>77</v>
      </c>
      <c r="Y226" s="334">
        <f t="shared" si="38"/>
        <v>1553</v>
      </c>
      <c r="Z226" s="338">
        <f t="shared" si="39"/>
        <v>196</v>
      </c>
      <c r="AA226" s="323">
        <f>IF(Y226&lt;&gt;0,Z226/Q226,"")</f>
        <v>65.33333333333333</v>
      </c>
      <c r="AB226" s="324">
        <f>IF(Y226&lt;&gt;0,Y226/Z226,"")</f>
        <v>7.923469387755102</v>
      </c>
      <c r="AC226" s="330">
        <v>0</v>
      </c>
      <c r="AD226" s="326">
        <f t="shared" si="47"/>
      </c>
      <c r="AE226" s="327">
        <f t="shared" si="40"/>
        <v>2025</v>
      </c>
      <c r="AF226" s="323">
        <f t="shared" si="41"/>
        <v>269</v>
      </c>
      <c r="AG226" s="342">
        <v>3578</v>
      </c>
      <c r="AH226" s="343">
        <v>465</v>
      </c>
      <c r="AI226" s="326">
        <f t="shared" si="42"/>
        <v>0.421505376344086</v>
      </c>
      <c r="AJ226" s="326">
        <f t="shared" si="43"/>
        <v>0.578494623655914</v>
      </c>
      <c r="AK226" s="323">
        <f t="shared" si="44"/>
        <v>155</v>
      </c>
      <c r="AL226" s="324">
        <f t="shared" si="45"/>
        <v>7.694623655913978</v>
      </c>
      <c r="AM226" s="328"/>
      <c r="AN226" s="326">
        <f t="shared" si="50"/>
      </c>
      <c r="AO226" s="342">
        <v>681274</v>
      </c>
      <c r="AP226" s="343">
        <v>60533</v>
      </c>
      <c r="AQ226" s="329">
        <f t="shared" si="46"/>
        <v>11.254588406323823</v>
      </c>
      <c r="AR226" s="297">
        <v>40949</v>
      </c>
      <c r="AS226" s="293"/>
    </row>
    <row r="227" spans="1:45" s="233" customFormat="1" ht="11.25" customHeight="1" hidden="1">
      <c r="A227" s="295"/>
      <c r="B227" s="236"/>
      <c r="C227" s="236" t="s">
        <v>223</v>
      </c>
      <c r="D227" s="236" t="s">
        <v>193</v>
      </c>
      <c r="E227" s="236">
        <v>3</v>
      </c>
      <c r="F227" s="236"/>
      <c r="G227" s="236" t="s">
        <v>250</v>
      </c>
      <c r="H227" s="236"/>
      <c r="I227" s="236"/>
      <c r="J227" s="366" t="s">
        <v>505</v>
      </c>
      <c r="K227" s="339" t="s">
        <v>118</v>
      </c>
      <c r="L227" s="339" t="s">
        <v>88</v>
      </c>
      <c r="M227" s="339" t="s">
        <v>506</v>
      </c>
      <c r="N227" s="370">
        <v>39955</v>
      </c>
      <c r="O227" s="288" t="s">
        <v>68</v>
      </c>
      <c r="P227" s="312">
        <v>88</v>
      </c>
      <c r="Q227" s="312">
        <v>1</v>
      </c>
      <c r="R227" s="312">
        <v>29</v>
      </c>
      <c r="S227" s="325">
        <v>0</v>
      </c>
      <c r="T227" s="355">
        <v>0</v>
      </c>
      <c r="U227" s="325">
        <v>0</v>
      </c>
      <c r="V227" s="355">
        <v>0</v>
      </c>
      <c r="W227" s="325">
        <v>0</v>
      </c>
      <c r="X227" s="355">
        <v>0</v>
      </c>
      <c r="Y227" s="334">
        <f t="shared" si="38"/>
        <v>0</v>
      </c>
      <c r="Z227" s="338">
        <f t="shared" si="39"/>
        <v>0</v>
      </c>
      <c r="AA227" s="323"/>
      <c r="AB227" s="324"/>
      <c r="AC227" s="330">
        <v>0</v>
      </c>
      <c r="AD227" s="326">
        <f t="shared" si="47"/>
      </c>
      <c r="AE227" s="327">
        <f t="shared" si="40"/>
        <v>3565</v>
      </c>
      <c r="AF227" s="323">
        <f t="shared" si="41"/>
        <v>713</v>
      </c>
      <c r="AG227" s="328">
        <v>3565</v>
      </c>
      <c r="AH227" s="344">
        <v>713</v>
      </c>
      <c r="AI227" s="326">
        <f t="shared" si="42"/>
        <v>0</v>
      </c>
      <c r="AJ227" s="326">
        <f t="shared" si="43"/>
        <v>1</v>
      </c>
      <c r="AK227" s="323">
        <f t="shared" si="44"/>
        <v>713</v>
      </c>
      <c r="AL227" s="324">
        <f t="shared" si="45"/>
        <v>5</v>
      </c>
      <c r="AM227" s="328"/>
      <c r="AN227" s="326">
        <f t="shared" si="50"/>
      </c>
      <c r="AO227" s="328">
        <f>253985.25+197941+176827+129137.25+73306.5+36496.5+20735+12653+3137+3974+3108+6704.75+3312+1885+643+108556.75+31027+8660.5+1196.5+2137+5262+2140+4040+1780+1188+1780+43620+1424+1780+3565</f>
        <v>1142002</v>
      </c>
      <c r="AP227" s="344">
        <f>26929+21325+23241+17550+10624+6388+4049+2644+577+882+663+1354+764+460+116+14641+4967+986+117+181+1185+535+1010+445+297+445+10905+356+356+713</f>
        <v>154705</v>
      </c>
      <c r="AQ227" s="329">
        <f t="shared" si="46"/>
        <v>7.381804078730487</v>
      </c>
      <c r="AR227" s="297">
        <v>40949</v>
      </c>
      <c r="AS227" s="293"/>
    </row>
    <row r="228" spans="1:45" s="233" customFormat="1" ht="11.25" customHeight="1" hidden="1">
      <c r="A228" s="295"/>
      <c r="B228" s="236"/>
      <c r="C228" s="236" t="s">
        <v>223</v>
      </c>
      <c r="D228" s="236"/>
      <c r="E228" s="236"/>
      <c r="F228" s="236"/>
      <c r="G228" s="236"/>
      <c r="H228" s="236"/>
      <c r="I228" s="236" t="s">
        <v>54</v>
      </c>
      <c r="J228" s="363" t="s">
        <v>77</v>
      </c>
      <c r="K228" s="288"/>
      <c r="L228" s="288"/>
      <c r="M228" s="288" t="s">
        <v>158</v>
      </c>
      <c r="N228" s="370">
        <v>40865</v>
      </c>
      <c r="O228" s="288" t="s">
        <v>52</v>
      </c>
      <c r="P228" s="331">
        <v>64</v>
      </c>
      <c r="Q228" s="331">
        <v>2</v>
      </c>
      <c r="R228" s="331">
        <v>10</v>
      </c>
      <c r="S228" s="342">
        <v>60</v>
      </c>
      <c r="T228" s="343">
        <v>8</v>
      </c>
      <c r="U228" s="342">
        <v>118</v>
      </c>
      <c r="V228" s="343">
        <v>16</v>
      </c>
      <c r="W228" s="342">
        <v>117</v>
      </c>
      <c r="X228" s="343">
        <v>16</v>
      </c>
      <c r="Y228" s="334">
        <f t="shared" si="38"/>
        <v>295</v>
      </c>
      <c r="Z228" s="338">
        <f t="shared" si="39"/>
        <v>40</v>
      </c>
      <c r="AA228" s="323">
        <f aca="true" t="shared" si="53" ref="AA228:AA233">IF(Y228&lt;&gt;0,Z228/Q228,"")</f>
        <v>20</v>
      </c>
      <c r="AB228" s="324">
        <f aca="true" t="shared" si="54" ref="AB228:AB233">IF(Y228&lt;&gt;0,Y228/Z228,"")</f>
        <v>7.375</v>
      </c>
      <c r="AC228" s="330">
        <v>0</v>
      </c>
      <c r="AD228" s="326">
        <f t="shared" si="47"/>
      </c>
      <c r="AE228" s="327">
        <f t="shared" si="40"/>
        <v>3269</v>
      </c>
      <c r="AF228" s="323">
        <f t="shared" si="41"/>
        <v>672</v>
      </c>
      <c r="AG228" s="334">
        <v>3564</v>
      </c>
      <c r="AH228" s="338">
        <v>712</v>
      </c>
      <c r="AI228" s="326">
        <f t="shared" si="42"/>
        <v>0.056179775280898875</v>
      </c>
      <c r="AJ228" s="326">
        <f t="shared" si="43"/>
        <v>0.9438202247191011</v>
      </c>
      <c r="AK228" s="323">
        <f t="shared" si="44"/>
        <v>356</v>
      </c>
      <c r="AL228" s="324">
        <f t="shared" si="45"/>
        <v>5.00561797752809</v>
      </c>
      <c r="AM228" s="334"/>
      <c r="AN228" s="326">
        <f t="shared" si="50"/>
      </c>
      <c r="AO228" s="334">
        <f>256046+137037.5+20115+5099+3542+3484.5+1302+1985+195+659+3564</f>
        <v>433029</v>
      </c>
      <c r="AP228" s="338">
        <f>25390+13650+2140+705+587+707+246+352+31+92+712</f>
        <v>44612</v>
      </c>
      <c r="AQ228" s="329">
        <f t="shared" si="46"/>
        <v>9.706558773424192</v>
      </c>
      <c r="AR228" s="297">
        <v>40949</v>
      </c>
      <c r="AS228" s="293"/>
    </row>
    <row r="229" spans="1:45" s="233" customFormat="1" ht="11.25" customHeight="1" hidden="1">
      <c r="A229" s="295"/>
      <c r="B229" s="236"/>
      <c r="C229" s="236"/>
      <c r="D229" s="236"/>
      <c r="E229" s="236"/>
      <c r="F229" s="236"/>
      <c r="G229" s="236"/>
      <c r="H229" s="236"/>
      <c r="I229" s="236"/>
      <c r="J229" s="362" t="s">
        <v>173</v>
      </c>
      <c r="K229" s="312" t="s">
        <v>183</v>
      </c>
      <c r="L229" s="341" t="s">
        <v>117</v>
      </c>
      <c r="M229" s="341" t="s">
        <v>180</v>
      </c>
      <c r="N229" s="370">
        <v>40907</v>
      </c>
      <c r="O229" s="288" t="s">
        <v>12</v>
      </c>
      <c r="P229" s="312">
        <v>60</v>
      </c>
      <c r="Q229" s="312">
        <v>3</v>
      </c>
      <c r="R229" s="312">
        <v>7</v>
      </c>
      <c r="S229" s="347">
        <v>419</v>
      </c>
      <c r="T229" s="348">
        <v>92</v>
      </c>
      <c r="U229" s="347">
        <v>767</v>
      </c>
      <c r="V229" s="348">
        <v>124</v>
      </c>
      <c r="W229" s="347">
        <v>548</v>
      </c>
      <c r="X229" s="348">
        <v>79</v>
      </c>
      <c r="Y229" s="334">
        <f t="shared" si="38"/>
        <v>1734</v>
      </c>
      <c r="Z229" s="338">
        <f t="shared" si="39"/>
        <v>295</v>
      </c>
      <c r="AA229" s="323">
        <f t="shared" si="53"/>
        <v>98.33333333333333</v>
      </c>
      <c r="AB229" s="324">
        <f t="shared" si="54"/>
        <v>5.877966101694915</v>
      </c>
      <c r="AC229" s="330">
        <v>0</v>
      </c>
      <c r="AD229" s="326">
        <f t="shared" si="47"/>
      </c>
      <c r="AE229" s="327">
        <f t="shared" si="40"/>
        <v>1387</v>
      </c>
      <c r="AF229" s="323">
        <f t="shared" si="41"/>
        <v>287</v>
      </c>
      <c r="AG229" s="334">
        <v>3121</v>
      </c>
      <c r="AH229" s="338">
        <v>582</v>
      </c>
      <c r="AI229" s="326">
        <f t="shared" si="42"/>
        <v>0.506872852233677</v>
      </c>
      <c r="AJ229" s="326">
        <f t="shared" si="43"/>
        <v>0.49312714776632305</v>
      </c>
      <c r="AK229" s="323">
        <f t="shared" si="44"/>
        <v>194</v>
      </c>
      <c r="AL229" s="324">
        <f t="shared" si="45"/>
        <v>5.36254295532646</v>
      </c>
      <c r="AM229" s="334"/>
      <c r="AN229" s="326">
        <f t="shared" si="50"/>
      </c>
      <c r="AO229" s="334">
        <v>670831</v>
      </c>
      <c r="AP229" s="338">
        <v>67329</v>
      </c>
      <c r="AQ229" s="329">
        <f t="shared" si="46"/>
        <v>9.963477847584251</v>
      </c>
      <c r="AR229" s="297">
        <v>40949</v>
      </c>
      <c r="AS229" s="293"/>
    </row>
    <row r="230" spans="1:45" s="233" customFormat="1" ht="11.25" customHeight="1" hidden="1">
      <c r="A230" s="295"/>
      <c r="B230" s="236"/>
      <c r="C230" s="236" t="s">
        <v>223</v>
      </c>
      <c r="D230" s="236"/>
      <c r="E230" s="236"/>
      <c r="F230" s="236"/>
      <c r="G230" s="236"/>
      <c r="H230" s="236"/>
      <c r="I230" s="236"/>
      <c r="J230" s="362" t="s">
        <v>177</v>
      </c>
      <c r="K230" s="312" t="s">
        <v>901</v>
      </c>
      <c r="L230" s="341" t="s">
        <v>182</v>
      </c>
      <c r="M230" s="341" t="s">
        <v>181</v>
      </c>
      <c r="N230" s="370">
        <v>40872</v>
      </c>
      <c r="O230" s="288" t="s">
        <v>12</v>
      </c>
      <c r="P230" s="312">
        <v>55</v>
      </c>
      <c r="Q230" s="312">
        <v>2</v>
      </c>
      <c r="R230" s="312">
        <v>12</v>
      </c>
      <c r="S230" s="347">
        <v>184</v>
      </c>
      <c r="T230" s="348">
        <v>20</v>
      </c>
      <c r="U230" s="347">
        <v>744</v>
      </c>
      <c r="V230" s="348">
        <v>77</v>
      </c>
      <c r="W230" s="347">
        <v>921</v>
      </c>
      <c r="X230" s="348">
        <v>95</v>
      </c>
      <c r="Y230" s="334">
        <f t="shared" si="38"/>
        <v>1849</v>
      </c>
      <c r="Z230" s="338">
        <f t="shared" si="39"/>
        <v>192</v>
      </c>
      <c r="AA230" s="323">
        <f t="shared" si="53"/>
        <v>96</v>
      </c>
      <c r="AB230" s="324">
        <f t="shared" si="54"/>
        <v>9.630208333333334</v>
      </c>
      <c r="AC230" s="330">
        <v>0</v>
      </c>
      <c r="AD230" s="326">
        <f t="shared" si="47"/>
      </c>
      <c r="AE230" s="327">
        <f t="shared" si="40"/>
        <v>1206</v>
      </c>
      <c r="AF230" s="323">
        <f t="shared" si="41"/>
        <v>158</v>
      </c>
      <c r="AG230" s="334">
        <v>3055</v>
      </c>
      <c r="AH230" s="338">
        <v>350</v>
      </c>
      <c r="AI230" s="326">
        <f t="shared" si="42"/>
        <v>0.5485714285714286</v>
      </c>
      <c r="AJ230" s="326">
        <f t="shared" si="43"/>
        <v>0.4514285714285714</v>
      </c>
      <c r="AK230" s="323">
        <f t="shared" si="44"/>
        <v>175</v>
      </c>
      <c r="AL230" s="324">
        <f t="shared" si="45"/>
        <v>8.728571428571428</v>
      </c>
      <c r="AM230" s="334"/>
      <c r="AN230" s="326">
        <f t="shared" si="50"/>
      </c>
      <c r="AO230" s="334">
        <v>761032</v>
      </c>
      <c r="AP230" s="338">
        <v>63588</v>
      </c>
      <c r="AQ230" s="329">
        <f t="shared" si="46"/>
        <v>11.968170094986476</v>
      </c>
      <c r="AR230" s="297">
        <v>40949</v>
      </c>
      <c r="AS230" s="293"/>
    </row>
    <row r="231" spans="1:45" s="233" customFormat="1" ht="11.25" customHeight="1" hidden="1">
      <c r="A231" s="295"/>
      <c r="B231" s="236"/>
      <c r="C231" s="236" t="s">
        <v>223</v>
      </c>
      <c r="D231" s="236"/>
      <c r="E231" s="236"/>
      <c r="F231" s="236"/>
      <c r="G231" s="236"/>
      <c r="H231" s="236"/>
      <c r="I231" s="236"/>
      <c r="J231" s="362" t="s">
        <v>102</v>
      </c>
      <c r="K231" s="312" t="s">
        <v>902</v>
      </c>
      <c r="L231" s="341" t="s">
        <v>117</v>
      </c>
      <c r="M231" s="341" t="s">
        <v>103</v>
      </c>
      <c r="N231" s="370">
        <v>40879</v>
      </c>
      <c r="O231" s="288" t="s">
        <v>12</v>
      </c>
      <c r="P231" s="312">
        <v>38</v>
      </c>
      <c r="Q231" s="312">
        <v>1</v>
      </c>
      <c r="R231" s="312">
        <v>11</v>
      </c>
      <c r="S231" s="347">
        <v>67</v>
      </c>
      <c r="T231" s="348">
        <v>8</v>
      </c>
      <c r="U231" s="347">
        <v>717</v>
      </c>
      <c r="V231" s="348">
        <v>96</v>
      </c>
      <c r="W231" s="347">
        <v>642</v>
      </c>
      <c r="X231" s="348">
        <v>84</v>
      </c>
      <c r="Y231" s="334">
        <f t="shared" si="38"/>
        <v>1426</v>
      </c>
      <c r="Z231" s="338">
        <f t="shared" si="39"/>
        <v>188</v>
      </c>
      <c r="AA231" s="323">
        <f t="shared" si="53"/>
        <v>188</v>
      </c>
      <c r="AB231" s="324">
        <f t="shared" si="54"/>
        <v>7.585106382978723</v>
      </c>
      <c r="AC231" s="330">
        <v>0</v>
      </c>
      <c r="AD231" s="326">
        <f t="shared" si="47"/>
      </c>
      <c r="AE231" s="327">
        <f t="shared" si="40"/>
        <v>1083</v>
      </c>
      <c r="AF231" s="323">
        <f t="shared" si="41"/>
        <v>144</v>
      </c>
      <c r="AG231" s="334">
        <v>2509</v>
      </c>
      <c r="AH231" s="338">
        <v>332</v>
      </c>
      <c r="AI231" s="326">
        <f t="shared" si="42"/>
        <v>0.5662650602409639</v>
      </c>
      <c r="AJ231" s="326">
        <f t="shared" si="43"/>
        <v>0.43373493975903615</v>
      </c>
      <c r="AK231" s="323">
        <f t="shared" si="44"/>
        <v>332</v>
      </c>
      <c r="AL231" s="324">
        <f t="shared" si="45"/>
        <v>7.557228915662651</v>
      </c>
      <c r="AM231" s="334"/>
      <c r="AN231" s="326">
        <f t="shared" si="50"/>
      </c>
      <c r="AO231" s="334">
        <v>495830</v>
      </c>
      <c r="AP231" s="338">
        <v>47001</v>
      </c>
      <c r="AQ231" s="329">
        <f t="shared" si="46"/>
        <v>10.549350013829493</v>
      </c>
      <c r="AR231" s="297">
        <v>40949</v>
      </c>
      <c r="AS231" s="293"/>
    </row>
    <row r="232" spans="1:45" s="233" customFormat="1" ht="11.25" customHeight="1" hidden="1">
      <c r="A232" s="295"/>
      <c r="B232" s="293"/>
      <c r="C232" s="236" t="s">
        <v>223</v>
      </c>
      <c r="D232" s="236" t="s">
        <v>193</v>
      </c>
      <c r="E232" s="236">
        <v>3</v>
      </c>
      <c r="F232" s="236"/>
      <c r="G232" s="236"/>
      <c r="H232" s="236" t="s">
        <v>55</v>
      </c>
      <c r="I232" s="293"/>
      <c r="J232" s="364" t="s">
        <v>159</v>
      </c>
      <c r="K232" s="340"/>
      <c r="L232" s="340" t="s">
        <v>855</v>
      </c>
      <c r="M232" s="340" t="s">
        <v>162</v>
      </c>
      <c r="N232" s="370">
        <v>39710</v>
      </c>
      <c r="O232" s="288" t="s">
        <v>53</v>
      </c>
      <c r="P232" s="346">
        <v>66</v>
      </c>
      <c r="Q232" s="346">
        <v>1</v>
      </c>
      <c r="R232" s="346">
        <v>31</v>
      </c>
      <c r="S232" s="347">
        <v>752</v>
      </c>
      <c r="T232" s="348">
        <v>150</v>
      </c>
      <c r="U232" s="347">
        <v>750</v>
      </c>
      <c r="V232" s="348">
        <v>150</v>
      </c>
      <c r="W232" s="347">
        <v>900</v>
      </c>
      <c r="X232" s="348">
        <v>180</v>
      </c>
      <c r="Y232" s="334">
        <f t="shared" si="38"/>
        <v>2402</v>
      </c>
      <c r="Z232" s="338">
        <f t="shared" si="39"/>
        <v>480</v>
      </c>
      <c r="AA232" s="323">
        <f t="shared" si="53"/>
        <v>480</v>
      </c>
      <c r="AB232" s="324">
        <f t="shared" si="54"/>
        <v>5.004166666666666</v>
      </c>
      <c r="AC232" s="334">
        <v>0</v>
      </c>
      <c r="AD232" s="326">
        <f t="shared" si="47"/>
      </c>
      <c r="AE232" s="327">
        <f t="shared" si="40"/>
        <v>0</v>
      </c>
      <c r="AF232" s="323">
        <f t="shared" si="41"/>
        <v>0</v>
      </c>
      <c r="AG232" s="334">
        <v>2402</v>
      </c>
      <c r="AH232" s="338">
        <v>480</v>
      </c>
      <c r="AI232" s="326">
        <f t="shared" si="42"/>
        <v>1</v>
      </c>
      <c r="AJ232" s="326">
        <f t="shared" si="43"/>
        <v>0</v>
      </c>
      <c r="AK232" s="323">
        <f t="shared" si="44"/>
        <v>480</v>
      </c>
      <c r="AL232" s="324">
        <f t="shared" si="45"/>
        <v>5.004166666666666</v>
      </c>
      <c r="AM232" s="334"/>
      <c r="AN232" s="326">
        <f t="shared" si="50"/>
      </c>
      <c r="AO232" s="334">
        <f>152576+127511+68854.5+21974+10111.5+7103+7290+0.5+1014+3149+989+3524+0.5+3768+138+2528+257+351.5+573.5+184+3655+10+15+10+210+156+3603+3603+1922+1201+1201+2402</f>
        <v>429885</v>
      </c>
      <c r="AP232" s="338">
        <f>50018+825+47+65+137+67+1215+2+3+2+35+26+721+720+384+240+240+480</f>
        <v>55227</v>
      </c>
      <c r="AQ232" s="329">
        <f t="shared" si="46"/>
        <v>7.783964365256125</v>
      </c>
      <c r="AR232" s="297">
        <v>40949</v>
      </c>
      <c r="AS232" s="293"/>
    </row>
    <row r="233" spans="1:45" s="233" customFormat="1" ht="11.25" customHeight="1" hidden="1">
      <c r="A233" s="295"/>
      <c r="B233" s="236"/>
      <c r="C233" s="236" t="s">
        <v>223</v>
      </c>
      <c r="D233" s="293"/>
      <c r="E233" s="293"/>
      <c r="F233" s="236"/>
      <c r="G233" s="293"/>
      <c r="H233" s="236"/>
      <c r="I233" s="236"/>
      <c r="J233" s="364" t="s">
        <v>249</v>
      </c>
      <c r="K233" s="340" t="s">
        <v>917</v>
      </c>
      <c r="L233" s="288" t="s">
        <v>867</v>
      </c>
      <c r="M233" s="340" t="s">
        <v>253</v>
      </c>
      <c r="N233" s="370">
        <v>40830</v>
      </c>
      <c r="O233" s="288" t="s">
        <v>10</v>
      </c>
      <c r="P233" s="331">
        <v>62</v>
      </c>
      <c r="Q233" s="331">
        <v>1</v>
      </c>
      <c r="R233" s="331">
        <v>14</v>
      </c>
      <c r="S233" s="342">
        <v>140</v>
      </c>
      <c r="T233" s="343">
        <v>20</v>
      </c>
      <c r="U233" s="342">
        <v>126</v>
      </c>
      <c r="V233" s="343">
        <v>18</v>
      </c>
      <c r="W233" s="342">
        <v>147</v>
      </c>
      <c r="X233" s="343">
        <v>21</v>
      </c>
      <c r="Y233" s="334">
        <f t="shared" si="38"/>
        <v>413</v>
      </c>
      <c r="Z233" s="338">
        <f t="shared" si="39"/>
        <v>59</v>
      </c>
      <c r="AA233" s="323">
        <f t="shared" si="53"/>
        <v>59</v>
      </c>
      <c r="AB233" s="324">
        <f t="shared" si="54"/>
        <v>7</v>
      </c>
      <c r="AC233" s="334">
        <v>0</v>
      </c>
      <c r="AD233" s="326">
        <f aca="true" t="shared" si="55" ref="AD233:AD264">IF(AC233&lt;&gt;0,-(AC233-Y233)/AC233,"")</f>
      </c>
      <c r="AE233" s="327">
        <f t="shared" si="40"/>
        <v>752</v>
      </c>
      <c r="AF233" s="323">
        <f t="shared" si="41"/>
        <v>108</v>
      </c>
      <c r="AG233" s="342">
        <v>1165</v>
      </c>
      <c r="AH233" s="343">
        <v>167</v>
      </c>
      <c r="AI233" s="326">
        <f t="shared" si="42"/>
        <v>0.3532934131736527</v>
      </c>
      <c r="AJ233" s="326">
        <f t="shared" si="43"/>
        <v>0.6467065868263473</v>
      </c>
      <c r="AK233" s="323">
        <f t="shared" si="44"/>
        <v>167</v>
      </c>
      <c r="AL233" s="324">
        <f t="shared" si="45"/>
        <v>6.976047904191617</v>
      </c>
      <c r="AM233" s="328"/>
      <c r="AN233" s="326">
        <f t="shared" si="50"/>
      </c>
      <c r="AO233" s="342">
        <v>1597479</v>
      </c>
      <c r="AP233" s="343">
        <v>150144</v>
      </c>
      <c r="AQ233" s="329">
        <f t="shared" si="46"/>
        <v>10.639645939897699</v>
      </c>
      <c r="AR233" s="297">
        <v>40949</v>
      </c>
      <c r="AS233" s="293"/>
    </row>
    <row r="234" spans="1:45" s="233" customFormat="1" ht="11.25" customHeight="1" hidden="1">
      <c r="A234" s="295"/>
      <c r="B234" s="236"/>
      <c r="C234" s="236" t="s">
        <v>223</v>
      </c>
      <c r="D234" s="236"/>
      <c r="E234" s="236"/>
      <c r="F234" s="236"/>
      <c r="G234" s="236"/>
      <c r="H234" s="236"/>
      <c r="I234" s="236"/>
      <c r="J234" s="366" t="s">
        <v>233</v>
      </c>
      <c r="K234" s="312" t="s">
        <v>886</v>
      </c>
      <c r="L234" s="319" t="s">
        <v>79</v>
      </c>
      <c r="M234" s="339" t="s">
        <v>247</v>
      </c>
      <c r="N234" s="370">
        <v>40823</v>
      </c>
      <c r="O234" s="288" t="s">
        <v>68</v>
      </c>
      <c r="P234" s="312">
        <v>10</v>
      </c>
      <c r="Q234" s="312">
        <v>2</v>
      </c>
      <c r="R234" s="312">
        <v>13</v>
      </c>
      <c r="S234" s="325">
        <v>406</v>
      </c>
      <c r="T234" s="355">
        <v>62</v>
      </c>
      <c r="U234" s="325">
        <v>343</v>
      </c>
      <c r="V234" s="355">
        <v>47</v>
      </c>
      <c r="W234" s="325">
        <v>350</v>
      </c>
      <c r="X234" s="355">
        <v>49</v>
      </c>
      <c r="Y234" s="334">
        <f t="shared" si="38"/>
        <v>1099</v>
      </c>
      <c r="Z234" s="338">
        <f t="shared" si="39"/>
        <v>158</v>
      </c>
      <c r="AA234" s="323"/>
      <c r="AB234" s="324"/>
      <c r="AC234" s="334">
        <v>0</v>
      </c>
      <c r="AD234" s="326">
        <f t="shared" si="55"/>
      </c>
      <c r="AE234" s="327">
        <f t="shared" si="40"/>
        <v>-11.5</v>
      </c>
      <c r="AF234" s="323">
        <f t="shared" si="41"/>
        <v>-5</v>
      </c>
      <c r="AG234" s="328">
        <v>1087.5</v>
      </c>
      <c r="AH234" s="344">
        <v>153</v>
      </c>
      <c r="AI234" s="326">
        <f t="shared" si="42"/>
        <v>1.0326797385620916</v>
      </c>
      <c r="AJ234" s="326">
        <f t="shared" si="43"/>
        <v>-0.032679738562091505</v>
      </c>
      <c r="AK234" s="323">
        <f t="shared" si="44"/>
        <v>76.5</v>
      </c>
      <c r="AL234" s="324">
        <f t="shared" si="45"/>
        <v>7.107843137254902</v>
      </c>
      <c r="AM234" s="328"/>
      <c r="AN234" s="326">
        <f t="shared" si="50"/>
      </c>
      <c r="AO234" s="328">
        <f>31458.5+18316.5+9973.5+2181+7429+3551+2891+512+313+372+806+3784+1705+1087.5</f>
        <v>84380</v>
      </c>
      <c r="AP234" s="344">
        <f>2922+2132+1224+343+1097+635+770+85+39+50+137+612+248+153</f>
        <v>10447</v>
      </c>
      <c r="AQ234" s="329">
        <f t="shared" si="46"/>
        <v>8.076959892792189</v>
      </c>
      <c r="AR234" s="297">
        <v>40949</v>
      </c>
      <c r="AS234" s="293"/>
    </row>
    <row r="235" spans="1:45" s="233" customFormat="1" ht="11.25" customHeight="1" hidden="1">
      <c r="A235" s="295"/>
      <c r="B235" s="236"/>
      <c r="C235" s="236" t="s">
        <v>223</v>
      </c>
      <c r="D235" s="236"/>
      <c r="E235" s="236"/>
      <c r="F235" s="236"/>
      <c r="G235" s="236"/>
      <c r="H235" s="236"/>
      <c r="I235" s="236" t="s">
        <v>54</v>
      </c>
      <c r="J235" s="366" t="s">
        <v>349</v>
      </c>
      <c r="K235" s="339" t="s">
        <v>188</v>
      </c>
      <c r="L235" s="339"/>
      <c r="M235" s="339" t="s">
        <v>349</v>
      </c>
      <c r="N235" s="370">
        <v>40627</v>
      </c>
      <c r="O235" s="288" t="s">
        <v>68</v>
      </c>
      <c r="P235" s="312">
        <v>137</v>
      </c>
      <c r="Q235" s="312">
        <v>1</v>
      </c>
      <c r="R235" s="312">
        <v>25</v>
      </c>
      <c r="S235" s="325">
        <v>0</v>
      </c>
      <c r="T235" s="355">
        <v>0</v>
      </c>
      <c r="U235" s="325">
        <v>0</v>
      </c>
      <c r="V235" s="355">
        <v>0</v>
      </c>
      <c r="W235" s="325">
        <v>0</v>
      </c>
      <c r="X235" s="355">
        <v>0</v>
      </c>
      <c r="Y235" s="334">
        <f t="shared" si="38"/>
        <v>0</v>
      </c>
      <c r="Z235" s="338">
        <f t="shared" si="39"/>
        <v>0</v>
      </c>
      <c r="AA235" s="323"/>
      <c r="AB235" s="324"/>
      <c r="AC235" s="330">
        <v>0</v>
      </c>
      <c r="AD235" s="326">
        <f t="shared" si="55"/>
      </c>
      <c r="AE235" s="327">
        <f t="shared" si="40"/>
        <v>950</v>
      </c>
      <c r="AF235" s="323">
        <f t="shared" si="41"/>
        <v>190</v>
      </c>
      <c r="AG235" s="328">
        <v>950</v>
      </c>
      <c r="AH235" s="344">
        <v>190</v>
      </c>
      <c r="AI235" s="326">
        <f t="shared" si="42"/>
        <v>0</v>
      </c>
      <c r="AJ235" s="326">
        <f t="shared" si="43"/>
        <v>1</v>
      </c>
      <c r="AK235" s="323">
        <f t="shared" si="44"/>
        <v>190</v>
      </c>
      <c r="AL235" s="324">
        <f t="shared" si="45"/>
        <v>5</v>
      </c>
      <c r="AM235" s="328"/>
      <c r="AN235" s="326">
        <f t="shared" si="50"/>
      </c>
      <c r="AO235" s="328">
        <f>1066061.5+1061275+813239.75+606216+468367.5+266511+137274.5+89937.5+9478+4671.5+2215.5+593.5+2273.5+2234+1858+10514.5+2603+2122+2001+349+713+2613.5+475.5+3801.5+950</f>
        <v>4558349.75</v>
      </c>
      <c r="AP235" s="344">
        <f>110278+106719+82858+62672+50883+32012+17904+13463+1427+637+352+91+261+268+240+2410+402+325+272+26+178+653+109+950+190</f>
        <v>485580</v>
      </c>
      <c r="AQ235" s="329">
        <f t="shared" si="46"/>
        <v>9.387433069731044</v>
      </c>
      <c r="AR235" s="297">
        <v>40949</v>
      </c>
      <c r="AS235" s="293"/>
    </row>
    <row r="236" spans="1:45" s="233" customFormat="1" ht="11.25" customHeight="1" hidden="1">
      <c r="A236" s="295"/>
      <c r="B236" s="236"/>
      <c r="C236" s="236" t="s">
        <v>223</v>
      </c>
      <c r="D236" s="236"/>
      <c r="E236" s="236"/>
      <c r="F236" s="236"/>
      <c r="G236" s="236"/>
      <c r="H236" s="236"/>
      <c r="I236" s="236" t="s">
        <v>54</v>
      </c>
      <c r="J236" s="366" t="s">
        <v>532</v>
      </c>
      <c r="K236" s="339" t="s">
        <v>536</v>
      </c>
      <c r="L236" s="319"/>
      <c r="M236" s="339" t="s">
        <v>532</v>
      </c>
      <c r="N236" s="370">
        <v>40620</v>
      </c>
      <c r="O236" s="288" t="s">
        <v>68</v>
      </c>
      <c r="P236" s="312">
        <v>18</v>
      </c>
      <c r="Q236" s="312">
        <v>1</v>
      </c>
      <c r="R236" s="312">
        <v>13</v>
      </c>
      <c r="S236" s="325">
        <v>0</v>
      </c>
      <c r="T236" s="355">
        <v>0</v>
      </c>
      <c r="U236" s="325">
        <v>0</v>
      </c>
      <c r="V236" s="355">
        <v>0</v>
      </c>
      <c r="W236" s="325">
        <v>0</v>
      </c>
      <c r="X236" s="355">
        <v>0</v>
      </c>
      <c r="Y236" s="334">
        <f t="shared" si="38"/>
        <v>0</v>
      </c>
      <c r="Z236" s="338">
        <f t="shared" si="39"/>
        <v>0</v>
      </c>
      <c r="AA236" s="323"/>
      <c r="AB236" s="324"/>
      <c r="AC236" s="330">
        <v>0</v>
      </c>
      <c r="AD236" s="326">
        <f t="shared" si="55"/>
      </c>
      <c r="AE236" s="327">
        <f t="shared" si="40"/>
        <v>713</v>
      </c>
      <c r="AF236" s="323">
        <f t="shared" si="41"/>
        <v>143</v>
      </c>
      <c r="AG236" s="328">
        <v>713</v>
      </c>
      <c r="AH236" s="344">
        <v>143</v>
      </c>
      <c r="AI236" s="326">
        <f t="shared" si="42"/>
        <v>0</v>
      </c>
      <c r="AJ236" s="326">
        <f t="shared" si="43"/>
        <v>1</v>
      </c>
      <c r="AK236" s="323">
        <f t="shared" si="44"/>
        <v>143</v>
      </c>
      <c r="AL236" s="324">
        <f t="shared" si="45"/>
        <v>4.986013986013986</v>
      </c>
      <c r="AM236" s="328"/>
      <c r="AN236" s="326">
        <f t="shared" si="50"/>
      </c>
      <c r="AO236" s="328">
        <f>39453.5+44225+30459.5+23462+13989+8982.5+6844+2370+4120+2588+1886+275+713</f>
        <v>179367.5</v>
      </c>
      <c r="AP236" s="344">
        <f>5345+6302+4080+3427+1964+1106+1298+366+730+571+456+44+143</f>
        <v>25832</v>
      </c>
      <c r="AQ236" s="329">
        <f t="shared" si="46"/>
        <v>6.943616444719727</v>
      </c>
      <c r="AR236" s="297">
        <v>40949</v>
      </c>
      <c r="AS236" s="293"/>
    </row>
    <row r="237" spans="1:45" s="233" customFormat="1" ht="11.25" customHeight="1" hidden="1">
      <c r="A237" s="295"/>
      <c r="B237" s="236"/>
      <c r="C237" s="236" t="s">
        <v>223</v>
      </c>
      <c r="D237" s="236"/>
      <c r="E237" s="236"/>
      <c r="F237" s="236"/>
      <c r="G237" s="236"/>
      <c r="H237" s="236"/>
      <c r="I237" s="236"/>
      <c r="J237" s="364" t="s">
        <v>138</v>
      </c>
      <c r="K237" s="312" t="s">
        <v>857</v>
      </c>
      <c r="L237" s="340" t="s">
        <v>169</v>
      </c>
      <c r="M237" s="340" t="s">
        <v>139</v>
      </c>
      <c r="N237" s="369">
        <v>40830</v>
      </c>
      <c r="O237" s="288" t="s">
        <v>8</v>
      </c>
      <c r="P237" s="340">
        <v>60</v>
      </c>
      <c r="Q237" s="340">
        <v>1</v>
      </c>
      <c r="R237" s="340">
        <v>13</v>
      </c>
      <c r="S237" s="332">
        <v>107</v>
      </c>
      <c r="T237" s="333">
        <v>17</v>
      </c>
      <c r="U237" s="332">
        <v>80</v>
      </c>
      <c r="V237" s="333">
        <v>13</v>
      </c>
      <c r="W237" s="332">
        <v>164</v>
      </c>
      <c r="X237" s="333">
        <v>25</v>
      </c>
      <c r="Y237" s="334">
        <f t="shared" si="38"/>
        <v>351</v>
      </c>
      <c r="Z237" s="338">
        <f t="shared" si="39"/>
        <v>55</v>
      </c>
      <c r="AA237" s="323">
        <f>IF(Y237&lt;&gt;0,Z237/Q237,"")</f>
        <v>55</v>
      </c>
      <c r="AB237" s="324">
        <f>IF(Y237&lt;&gt;0,Y237/Z237,"")</f>
        <v>6.381818181818182</v>
      </c>
      <c r="AC237" s="334">
        <v>0</v>
      </c>
      <c r="AD237" s="326">
        <f t="shared" si="55"/>
      </c>
      <c r="AE237" s="327">
        <f t="shared" si="40"/>
        <v>359</v>
      </c>
      <c r="AF237" s="323">
        <f t="shared" si="41"/>
        <v>59</v>
      </c>
      <c r="AG237" s="342">
        <v>710</v>
      </c>
      <c r="AH237" s="343">
        <v>114</v>
      </c>
      <c r="AI237" s="326">
        <f t="shared" si="42"/>
        <v>0.4824561403508772</v>
      </c>
      <c r="AJ237" s="326">
        <f t="shared" si="43"/>
        <v>0.5175438596491229</v>
      </c>
      <c r="AK237" s="323">
        <f t="shared" si="44"/>
        <v>114</v>
      </c>
      <c r="AL237" s="324">
        <f t="shared" si="45"/>
        <v>6.228070175438597</v>
      </c>
      <c r="AM237" s="328"/>
      <c r="AN237" s="326">
        <f t="shared" si="50"/>
      </c>
      <c r="AO237" s="342">
        <v>395335</v>
      </c>
      <c r="AP237" s="343">
        <v>41640</v>
      </c>
      <c r="AQ237" s="329">
        <f t="shared" si="46"/>
        <v>9.49411623439001</v>
      </c>
      <c r="AR237" s="297">
        <v>40949</v>
      </c>
      <c r="AS237" s="293"/>
    </row>
    <row r="238" spans="1:45" s="233" customFormat="1" ht="11.25" customHeight="1" hidden="1">
      <c r="A238" s="295"/>
      <c r="B238" s="236"/>
      <c r="C238" s="236" t="s">
        <v>223</v>
      </c>
      <c r="D238" s="236"/>
      <c r="E238" s="236"/>
      <c r="F238" s="236"/>
      <c r="G238" s="236"/>
      <c r="H238" s="236"/>
      <c r="I238" s="236"/>
      <c r="J238" s="366" t="s">
        <v>170</v>
      </c>
      <c r="K238" s="339" t="s">
        <v>887</v>
      </c>
      <c r="L238" s="319" t="s">
        <v>79</v>
      </c>
      <c r="M238" s="339" t="s">
        <v>172</v>
      </c>
      <c r="N238" s="370">
        <v>40816</v>
      </c>
      <c r="O238" s="288" t="s">
        <v>68</v>
      </c>
      <c r="P238" s="312">
        <v>25</v>
      </c>
      <c r="Q238" s="312">
        <v>13</v>
      </c>
      <c r="R238" s="312">
        <v>3</v>
      </c>
      <c r="S238" s="325">
        <v>450</v>
      </c>
      <c r="T238" s="355">
        <v>75</v>
      </c>
      <c r="U238" s="325">
        <v>582</v>
      </c>
      <c r="V238" s="355">
        <v>97</v>
      </c>
      <c r="W238" s="325">
        <v>618</v>
      </c>
      <c r="X238" s="355">
        <v>103</v>
      </c>
      <c r="Y238" s="334">
        <f t="shared" si="38"/>
        <v>1650</v>
      </c>
      <c r="Z238" s="338">
        <f t="shared" si="39"/>
        <v>275</v>
      </c>
      <c r="AA238" s="323"/>
      <c r="AB238" s="324"/>
      <c r="AC238" s="330">
        <v>0</v>
      </c>
      <c r="AD238" s="326">
        <f t="shared" si="55"/>
      </c>
      <c r="AE238" s="327">
        <f t="shared" si="40"/>
        <v>-1155</v>
      </c>
      <c r="AF238" s="323">
        <f t="shared" si="41"/>
        <v>-203</v>
      </c>
      <c r="AG238" s="328">
        <v>495</v>
      </c>
      <c r="AH238" s="344">
        <v>72</v>
      </c>
      <c r="AI238" s="326">
        <f t="shared" si="42"/>
        <v>3.8194444444444446</v>
      </c>
      <c r="AJ238" s="326">
        <f t="shared" si="43"/>
        <v>-2.8194444444444446</v>
      </c>
      <c r="AK238" s="323">
        <f t="shared" si="44"/>
        <v>5.538461538461538</v>
      </c>
      <c r="AL238" s="324">
        <f t="shared" si="45"/>
        <v>6.875</v>
      </c>
      <c r="AM238" s="328"/>
      <c r="AN238" s="326">
        <f t="shared" si="50"/>
      </c>
      <c r="AO238" s="328">
        <f>80510.5+53296+49611.5+29276.5+2781+46429+5648+1635+6908.5+15320.5+732+943+3320+5134+495</f>
        <v>302040.5</v>
      </c>
      <c r="AP238" s="344">
        <f>8978+6079+6067+4144+482+6937+761+224+842+1960+107+134+565+664+72</f>
        <v>38016</v>
      </c>
      <c r="AQ238" s="329">
        <f t="shared" si="46"/>
        <v>7.94508890993266</v>
      </c>
      <c r="AR238" s="297">
        <v>40949</v>
      </c>
      <c r="AS238" s="293"/>
    </row>
    <row r="239" spans="1:45" s="233" customFormat="1" ht="11.25" customHeight="1" hidden="1">
      <c r="A239" s="295"/>
      <c r="B239" s="236"/>
      <c r="C239" s="236" t="s">
        <v>223</v>
      </c>
      <c r="D239" s="236"/>
      <c r="E239" s="236"/>
      <c r="F239" s="236"/>
      <c r="G239" s="236"/>
      <c r="H239" s="236"/>
      <c r="I239" s="236"/>
      <c r="J239" s="366" t="s">
        <v>476</v>
      </c>
      <c r="K239" s="339" t="s">
        <v>888</v>
      </c>
      <c r="L239" s="319" t="s">
        <v>120</v>
      </c>
      <c r="M239" s="339" t="s">
        <v>477</v>
      </c>
      <c r="N239" s="370">
        <v>40683</v>
      </c>
      <c r="O239" s="288" t="s">
        <v>68</v>
      </c>
      <c r="P239" s="312">
        <v>6</v>
      </c>
      <c r="Q239" s="312">
        <v>1</v>
      </c>
      <c r="R239" s="312">
        <v>21</v>
      </c>
      <c r="S239" s="325">
        <v>0</v>
      </c>
      <c r="T239" s="355">
        <v>0</v>
      </c>
      <c r="U239" s="325">
        <v>0</v>
      </c>
      <c r="V239" s="355">
        <v>0</v>
      </c>
      <c r="W239" s="325">
        <v>0</v>
      </c>
      <c r="X239" s="355">
        <v>0</v>
      </c>
      <c r="Y239" s="334">
        <f t="shared" si="38"/>
        <v>0</v>
      </c>
      <c r="Z239" s="338">
        <f t="shared" si="39"/>
        <v>0</v>
      </c>
      <c r="AA239" s="323"/>
      <c r="AB239" s="324"/>
      <c r="AC239" s="330">
        <v>0</v>
      </c>
      <c r="AD239" s="326">
        <f t="shared" si="55"/>
      </c>
      <c r="AE239" s="327">
        <f t="shared" si="40"/>
        <v>3801.5</v>
      </c>
      <c r="AF239" s="323">
        <f t="shared" si="41"/>
        <v>760</v>
      </c>
      <c r="AG239" s="328">
        <v>3801.5</v>
      </c>
      <c r="AH239" s="344">
        <v>760</v>
      </c>
      <c r="AI239" s="326">
        <f t="shared" si="42"/>
        <v>0</v>
      </c>
      <c r="AJ239" s="326">
        <f t="shared" si="43"/>
        <v>1</v>
      </c>
      <c r="AK239" s="323">
        <f t="shared" si="44"/>
        <v>760</v>
      </c>
      <c r="AL239" s="324">
        <f t="shared" si="45"/>
        <v>5.001973684210526</v>
      </c>
      <c r="AM239" s="328"/>
      <c r="AN239" s="326">
        <f t="shared" si="50"/>
      </c>
      <c r="AO239" s="328">
        <f>16905.5+10044+3710+2342+9911.5+7248+6024+1678+1960+374+2139+2655.5+2562+447+1328+1270+869+1782+475+25+3801.5</f>
        <v>77551</v>
      </c>
      <c r="AP239" s="344">
        <f>1241+811+837+224+905+1125+738+283+277+57+267+346+338+61+166+189+146+446+119+5+760</f>
        <v>9341</v>
      </c>
      <c r="AQ239" s="329">
        <f t="shared" si="46"/>
        <v>8.302216036826891</v>
      </c>
      <c r="AR239" s="297">
        <v>40942</v>
      </c>
      <c r="AS239" s="293"/>
    </row>
    <row r="240" spans="1:45" s="233" customFormat="1" ht="11.25" customHeight="1" hidden="1">
      <c r="A240" s="295"/>
      <c r="B240" s="236"/>
      <c r="C240" s="236" t="s">
        <v>223</v>
      </c>
      <c r="D240" s="236"/>
      <c r="E240" s="236"/>
      <c r="F240" s="236"/>
      <c r="G240" s="236"/>
      <c r="H240" s="236"/>
      <c r="I240" s="236"/>
      <c r="J240" s="366" t="s">
        <v>889</v>
      </c>
      <c r="K240" s="339" t="s">
        <v>890</v>
      </c>
      <c r="L240" s="339" t="s">
        <v>120</v>
      </c>
      <c r="M240" s="339" t="s">
        <v>891</v>
      </c>
      <c r="N240" s="370">
        <v>40473</v>
      </c>
      <c r="O240" s="288" t="s">
        <v>68</v>
      </c>
      <c r="P240" s="312">
        <v>30</v>
      </c>
      <c r="Q240" s="312">
        <v>1</v>
      </c>
      <c r="R240" s="312">
        <v>19</v>
      </c>
      <c r="S240" s="325">
        <v>0</v>
      </c>
      <c r="T240" s="355">
        <v>0</v>
      </c>
      <c r="U240" s="325">
        <v>0</v>
      </c>
      <c r="V240" s="355">
        <v>0</v>
      </c>
      <c r="W240" s="325">
        <v>0</v>
      </c>
      <c r="X240" s="355">
        <v>0</v>
      </c>
      <c r="Y240" s="334">
        <f t="shared" si="38"/>
        <v>0</v>
      </c>
      <c r="Z240" s="338">
        <f t="shared" si="39"/>
        <v>0</v>
      </c>
      <c r="AA240" s="323"/>
      <c r="AB240" s="324"/>
      <c r="AC240" s="330">
        <v>0</v>
      </c>
      <c r="AD240" s="326">
        <f t="shared" si="55"/>
      </c>
      <c r="AE240" s="327">
        <f t="shared" si="40"/>
        <v>2138.5</v>
      </c>
      <c r="AF240" s="323">
        <f t="shared" si="41"/>
        <v>428</v>
      </c>
      <c r="AG240" s="328">
        <v>2138.5</v>
      </c>
      <c r="AH240" s="344">
        <v>428</v>
      </c>
      <c r="AI240" s="326">
        <f t="shared" si="42"/>
        <v>0</v>
      </c>
      <c r="AJ240" s="326">
        <f t="shared" si="43"/>
        <v>1</v>
      </c>
      <c r="AK240" s="323">
        <f t="shared" si="44"/>
        <v>428</v>
      </c>
      <c r="AL240" s="324">
        <f t="shared" si="45"/>
        <v>4.996495327102804</v>
      </c>
      <c r="AM240" s="328"/>
      <c r="AN240" s="326">
        <f t="shared" si="50"/>
      </c>
      <c r="AO240" s="328">
        <f>140269+106844+7979+4849+4700.5+7059+2232+1390+2769+13917+8357+891.5+4704+1307+1076+311+973+4948+2138.5</f>
        <v>316714.5</v>
      </c>
      <c r="AP240" s="344">
        <f>11518+8629+641+577+660+1341+325+348+324+2259+1374+332+506+327+114+46+109+785+428</f>
        <v>30643</v>
      </c>
      <c r="AQ240" s="329">
        <f t="shared" si="46"/>
        <v>10.335623143948046</v>
      </c>
      <c r="AR240" s="297">
        <v>40942</v>
      </c>
      <c r="AS240" s="293"/>
    </row>
    <row r="241" spans="1:46" s="233" customFormat="1" ht="11.25" customHeight="1" hidden="1">
      <c r="A241" s="295"/>
      <c r="B241" s="236"/>
      <c r="C241" s="236" t="s">
        <v>223</v>
      </c>
      <c r="D241" s="236"/>
      <c r="E241" s="236"/>
      <c r="F241" s="236"/>
      <c r="G241" s="236"/>
      <c r="H241" s="236" t="s">
        <v>55</v>
      </c>
      <c r="I241" s="236"/>
      <c r="J241" s="366" t="s">
        <v>311</v>
      </c>
      <c r="K241" s="339" t="s">
        <v>892</v>
      </c>
      <c r="L241" s="339" t="s">
        <v>85</v>
      </c>
      <c r="M241" s="339" t="s">
        <v>318</v>
      </c>
      <c r="N241" s="370">
        <v>40347</v>
      </c>
      <c r="O241" s="288" t="s">
        <v>68</v>
      </c>
      <c r="P241" s="312">
        <v>66</v>
      </c>
      <c r="Q241" s="312">
        <v>1</v>
      </c>
      <c r="R241" s="312">
        <v>37</v>
      </c>
      <c r="S241" s="325">
        <v>0</v>
      </c>
      <c r="T241" s="355">
        <v>0</v>
      </c>
      <c r="U241" s="325">
        <v>0</v>
      </c>
      <c r="V241" s="355">
        <v>0</v>
      </c>
      <c r="W241" s="325">
        <v>0</v>
      </c>
      <c r="X241" s="355">
        <v>0</v>
      </c>
      <c r="Y241" s="334">
        <f t="shared" si="38"/>
        <v>0</v>
      </c>
      <c r="Z241" s="338">
        <f t="shared" si="39"/>
        <v>0</v>
      </c>
      <c r="AA241" s="323">
        <f aca="true" t="shared" si="56" ref="AA241:AA281">IF(Y241&lt;&gt;0,Z241/Q241,"")</f>
      </c>
      <c r="AB241" s="324">
        <f aca="true" t="shared" si="57" ref="AB241:AB281">IF(Y241&lt;&gt;0,Y241/Z241,"")</f>
      </c>
      <c r="AC241" s="330">
        <v>0</v>
      </c>
      <c r="AD241" s="326">
        <f t="shared" si="55"/>
      </c>
      <c r="AE241" s="327">
        <f t="shared" si="40"/>
        <v>1782</v>
      </c>
      <c r="AF241" s="323">
        <f t="shared" si="41"/>
        <v>356</v>
      </c>
      <c r="AG241" s="328">
        <v>1782</v>
      </c>
      <c r="AH241" s="344">
        <v>356</v>
      </c>
      <c r="AI241" s="326">
        <f t="shared" si="42"/>
        <v>0</v>
      </c>
      <c r="AJ241" s="326">
        <f t="shared" si="43"/>
        <v>1</v>
      </c>
      <c r="AK241" s="323">
        <f t="shared" si="44"/>
        <v>356</v>
      </c>
      <c r="AL241" s="324">
        <f t="shared" si="45"/>
        <v>5.00561797752809</v>
      </c>
      <c r="AM241" s="328"/>
      <c r="AN241" s="326">
        <f t="shared" si="50"/>
      </c>
      <c r="AO241" s="328">
        <f>478213+7083+3309.5+6055+4900+8378+4378.5+2349+3103+2074+7679.5+6108+2991.5+2180+2234+642+2775.5+1757+1151+3382+60+1782+2851+1188+713+286+2138.5+2138.5+2138.5+1782</f>
        <v>565821</v>
      </c>
      <c r="AP241" s="344">
        <f>55327+1259+553+1133+756+1285+650+408+682+334+1688+1394+539+483+475+201+677+260+202+852+20+445+712+297+178+67+535+535+535+356</f>
        <v>72838</v>
      </c>
      <c r="AQ241" s="329">
        <f t="shared" si="46"/>
        <v>7.768211647766276</v>
      </c>
      <c r="AR241" s="297">
        <v>40942</v>
      </c>
      <c r="AS241" s="293"/>
      <c r="AT241" s="234"/>
    </row>
    <row r="242" spans="1:46" s="233" customFormat="1" ht="11.25" customHeight="1" hidden="1">
      <c r="A242" s="295"/>
      <c r="B242" s="236"/>
      <c r="C242" s="236" t="s">
        <v>223</v>
      </c>
      <c r="D242" s="236" t="s">
        <v>193</v>
      </c>
      <c r="E242" s="236"/>
      <c r="F242" s="236"/>
      <c r="G242" s="236"/>
      <c r="H242" s="236" t="s">
        <v>55</v>
      </c>
      <c r="I242" s="236"/>
      <c r="J242" s="362" t="s">
        <v>176</v>
      </c>
      <c r="K242" s="312" t="s">
        <v>903</v>
      </c>
      <c r="L242" s="341" t="s">
        <v>91</v>
      </c>
      <c r="M242" s="341" t="s">
        <v>176</v>
      </c>
      <c r="N242" s="369">
        <v>40648</v>
      </c>
      <c r="O242" s="288" t="s">
        <v>12</v>
      </c>
      <c r="P242" s="312">
        <v>76</v>
      </c>
      <c r="Q242" s="312">
        <v>1</v>
      </c>
      <c r="R242" s="312">
        <v>43</v>
      </c>
      <c r="S242" s="350">
        <v>0</v>
      </c>
      <c r="T242" s="351">
        <v>0</v>
      </c>
      <c r="U242" s="350">
        <v>0</v>
      </c>
      <c r="V242" s="351">
        <v>0</v>
      </c>
      <c r="W242" s="350">
        <v>0</v>
      </c>
      <c r="X242" s="351">
        <v>0</v>
      </c>
      <c r="Y242" s="334">
        <f t="shared" si="38"/>
        <v>0</v>
      </c>
      <c r="Z242" s="338">
        <f t="shared" si="39"/>
        <v>0</v>
      </c>
      <c r="AA242" s="323">
        <f t="shared" si="56"/>
      </c>
      <c r="AB242" s="324">
        <f t="shared" si="57"/>
      </c>
      <c r="AC242" s="330">
        <v>0</v>
      </c>
      <c r="AD242" s="326">
        <f t="shared" si="55"/>
      </c>
      <c r="AE242" s="327">
        <f t="shared" si="40"/>
        <v>1197</v>
      </c>
      <c r="AF242" s="323">
        <f t="shared" si="41"/>
        <v>189</v>
      </c>
      <c r="AG242" s="334">
        <v>1197</v>
      </c>
      <c r="AH242" s="338">
        <v>189</v>
      </c>
      <c r="AI242" s="326">
        <f t="shared" si="42"/>
        <v>0</v>
      </c>
      <c r="AJ242" s="326">
        <f t="shared" si="43"/>
        <v>1</v>
      </c>
      <c r="AK242" s="323">
        <f t="shared" si="44"/>
        <v>189</v>
      </c>
      <c r="AL242" s="324">
        <f t="shared" si="45"/>
        <v>6.333333333333333</v>
      </c>
      <c r="AM242" s="334"/>
      <c r="AN242" s="326">
        <f t="shared" si="50"/>
      </c>
      <c r="AO242" s="334">
        <v>572561</v>
      </c>
      <c r="AP242" s="338">
        <v>61637</v>
      </c>
      <c r="AQ242" s="329">
        <f t="shared" si="46"/>
        <v>9.28924185148531</v>
      </c>
      <c r="AR242" s="297">
        <v>40942</v>
      </c>
      <c r="AS242" s="293"/>
      <c r="AT242" s="234"/>
    </row>
    <row r="243" spans="1:46" s="233" customFormat="1" ht="11.25" customHeight="1" hidden="1">
      <c r="A243" s="295"/>
      <c r="B243" s="293"/>
      <c r="C243" s="236" t="s">
        <v>223</v>
      </c>
      <c r="D243" s="293"/>
      <c r="E243" s="293"/>
      <c r="F243" s="236"/>
      <c r="G243" s="236"/>
      <c r="H243" s="236"/>
      <c r="I243" s="236" t="s">
        <v>54</v>
      </c>
      <c r="J243" s="366" t="s">
        <v>487</v>
      </c>
      <c r="K243" s="312" t="s">
        <v>488</v>
      </c>
      <c r="L243" s="340"/>
      <c r="M243" s="340" t="s">
        <v>487</v>
      </c>
      <c r="N243" s="370">
        <v>40585</v>
      </c>
      <c r="O243" s="288" t="s">
        <v>68</v>
      </c>
      <c r="P243" s="340">
        <v>58</v>
      </c>
      <c r="Q243" s="312">
        <v>1</v>
      </c>
      <c r="R243" s="312">
        <v>37</v>
      </c>
      <c r="S243" s="325">
        <v>0</v>
      </c>
      <c r="T243" s="355">
        <v>0</v>
      </c>
      <c r="U243" s="325">
        <v>0</v>
      </c>
      <c r="V243" s="355">
        <v>0</v>
      </c>
      <c r="W243" s="325">
        <v>0</v>
      </c>
      <c r="X243" s="355">
        <v>0</v>
      </c>
      <c r="Y243" s="334">
        <f t="shared" si="38"/>
        <v>0</v>
      </c>
      <c r="Z243" s="338">
        <f t="shared" si="39"/>
        <v>0</v>
      </c>
      <c r="AA243" s="323">
        <f t="shared" si="56"/>
      </c>
      <c r="AB243" s="324">
        <f t="shared" si="57"/>
      </c>
      <c r="AC243" s="334">
        <v>0</v>
      </c>
      <c r="AD243" s="326">
        <f t="shared" si="55"/>
      </c>
      <c r="AE243" s="327">
        <f t="shared" si="40"/>
        <v>950.5</v>
      </c>
      <c r="AF243" s="323">
        <f t="shared" si="41"/>
        <v>190</v>
      </c>
      <c r="AG243" s="328">
        <v>950.5</v>
      </c>
      <c r="AH243" s="344">
        <v>190</v>
      </c>
      <c r="AI243" s="326">
        <f t="shared" si="42"/>
        <v>0</v>
      </c>
      <c r="AJ243" s="326">
        <f t="shared" si="43"/>
        <v>1</v>
      </c>
      <c r="AK243" s="323">
        <f t="shared" si="44"/>
        <v>190</v>
      </c>
      <c r="AL243" s="324">
        <f t="shared" si="45"/>
        <v>5.002631578947368</v>
      </c>
      <c r="AM243" s="328"/>
      <c r="AN243" s="326">
        <f t="shared" si="50"/>
      </c>
      <c r="AO243" s="328">
        <f>236018+209847.25+105622+138051.5+64189.5+34454+20202.5+27754+16946+8179.5+9672.5+8494+21812+25095+12109+8066+3824+4092+15394+226700+172575.5+127465+93972+96529+77366.5+63475.5+48505.5+31769.5+29482+10986+6164+59+1093.5+1386+279+950.5+950.5</f>
        <v>1959531.75</v>
      </c>
      <c r="AP243" s="344">
        <f>25731+24506+13184+19079+9581+4996+3067+4392+3122+1175+1530+1410+3175+3587+1436+923+420+447+1629+25969+20073+15455+11876+13635+10490+9269+7265+5116+4049+1598+1517+8+257+323+37+190+190</f>
        <v>250707</v>
      </c>
      <c r="AQ243" s="329">
        <f t="shared" si="46"/>
        <v>7.816023286146777</v>
      </c>
      <c r="AR243" s="297">
        <v>40942</v>
      </c>
      <c r="AS243" s="293"/>
      <c r="AT243" s="235"/>
    </row>
    <row r="244" spans="1:46" s="233" customFormat="1" ht="11.25" customHeight="1" hidden="1">
      <c r="A244" s="295"/>
      <c r="B244" s="236"/>
      <c r="C244" s="236" t="s">
        <v>223</v>
      </c>
      <c r="D244" s="236"/>
      <c r="E244" s="236"/>
      <c r="F244" s="236"/>
      <c r="G244" s="236"/>
      <c r="H244" s="236"/>
      <c r="I244" s="236" t="s">
        <v>54</v>
      </c>
      <c r="J244" s="360" t="s">
        <v>503</v>
      </c>
      <c r="K244" s="288"/>
      <c r="L244" s="288"/>
      <c r="M244" s="288" t="s">
        <v>503</v>
      </c>
      <c r="N244" s="369">
        <v>40900</v>
      </c>
      <c r="O244" s="288" t="s">
        <v>471</v>
      </c>
      <c r="P244" s="312">
        <v>1</v>
      </c>
      <c r="Q244" s="312">
        <v>1</v>
      </c>
      <c r="R244" s="312">
        <v>3</v>
      </c>
      <c r="S244" s="334">
        <v>33</v>
      </c>
      <c r="T244" s="338">
        <v>11</v>
      </c>
      <c r="U244" s="334">
        <v>300</v>
      </c>
      <c r="V244" s="338">
        <v>100</v>
      </c>
      <c r="W244" s="334">
        <v>300</v>
      </c>
      <c r="X244" s="338">
        <v>100</v>
      </c>
      <c r="Y244" s="334">
        <f t="shared" si="38"/>
        <v>633</v>
      </c>
      <c r="Z244" s="338">
        <f t="shared" si="39"/>
        <v>211</v>
      </c>
      <c r="AA244" s="323">
        <f t="shared" si="56"/>
        <v>211</v>
      </c>
      <c r="AB244" s="324">
        <f t="shared" si="57"/>
        <v>3</v>
      </c>
      <c r="AC244" s="334">
        <v>0</v>
      </c>
      <c r="AD244" s="326">
        <f t="shared" si="55"/>
      </c>
      <c r="AE244" s="327">
        <f t="shared" si="40"/>
        <v>0</v>
      </c>
      <c r="AF244" s="323">
        <f t="shared" si="41"/>
        <v>0</v>
      </c>
      <c r="AG244" s="334">
        <v>633</v>
      </c>
      <c r="AH244" s="338">
        <v>211</v>
      </c>
      <c r="AI244" s="326">
        <f t="shared" si="42"/>
        <v>1</v>
      </c>
      <c r="AJ244" s="326">
        <f t="shared" si="43"/>
        <v>0</v>
      </c>
      <c r="AK244" s="323">
        <f t="shared" si="44"/>
        <v>211</v>
      </c>
      <c r="AL244" s="324">
        <f t="shared" si="45"/>
        <v>3</v>
      </c>
      <c r="AM244" s="334"/>
      <c r="AN244" s="326">
        <f t="shared" si="50"/>
      </c>
      <c r="AO244" s="334">
        <v>4823</v>
      </c>
      <c r="AP244" s="338">
        <v>630</v>
      </c>
      <c r="AQ244" s="329">
        <f t="shared" si="46"/>
        <v>7.655555555555556</v>
      </c>
      <c r="AR244" s="297">
        <v>40942</v>
      </c>
      <c r="AS244" s="293"/>
      <c r="AT244" s="235"/>
    </row>
    <row r="245" spans="1:46" s="233" customFormat="1" ht="11.25" customHeight="1" hidden="1">
      <c r="A245" s="295"/>
      <c r="B245" s="293"/>
      <c r="C245" s="236" t="s">
        <v>223</v>
      </c>
      <c r="D245" s="293"/>
      <c r="E245" s="293"/>
      <c r="F245" s="236"/>
      <c r="G245" s="293"/>
      <c r="H245" s="294"/>
      <c r="I245" s="236"/>
      <c r="J245" s="361" t="s">
        <v>127</v>
      </c>
      <c r="K245" s="312"/>
      <c r="L245" s="312" t="s">
        <v>128</v>
      </c>
      <c r="M245" s="312" t="s">
        <v>129</v>
      </c>
      <c r="N245" s="370">
        <v>40893</v>
      </c>
      <c r="O245" s="288" t="s">
        <v>53</v>
      </c>
      <c r="P245" s="312">
        <v>28</v>
      </c>
      <c r="Q245" s="346">
        <v>1</v>
      </c>
      <c r="R245" s="346">
        <v>7</v>
      </c>
      <c r="S245" s="347">
        <v>0</v>
      </c>
      <c r="T245" s="348">
        <v>0</v>
      </c>
      <c r="U245" s="347">
        <v>0</v>
      </c>
      <c r="V245" s="348">
        <v>0</v>
      </c>
      <c r="W245" s="347">
        <v>0</v>
      </c>
      <c r="X245" s="348">
        <v>0</v>
      </c>
      <c r="Y245" s="334">
        <f t="shared" si="38"/>
        <v>0</v>
      </c>
      <c r="Z245" s="338">
        <f t="shared" si="39"/>
        <v>0</v>
      </c>
      <c r="AA245" s="323">
        <f t="shared" si="56"/>
      </c>
      <c r="AB245" s="324">
        <f t="shared" si="57"/>
      </c>
      <c r="AC245" s="334">
        <v>0</v>
      </c>
      <c r="AD245" s="326">
        <f t="shared" si="55"/>
      </c>
      <c r="AE245" s="327">
        <f t="shared" si="40"/>
        <v>314</v>
      </c>
      <c r="AF245" s="323">
        <f t="shared" si="41"/>
        <v>39</v>
      </c>
      <c r="AG245" s="334">
        <v>314</v>
      </c>
      <c r="AH245" s="338">
        <v>39</v>
      </c>
      <c r="AI245" s="326">
        <f t="shared" si="42"/>
        <v>0</v>
      </c>
      <c r="AJ245" s="326">
        <f t="shared" si="43"/>
        <v>1</v>
      </c>
      <c r="AK245" s="323">
        <f t="shared" si="44"/>
        <v>39</v>
      </c>
      <c r="AL245" s="324">
        <f t="shared" si="45"/>
        <v>8.051282051282051</v>
      </c>
      <c r="AM245" s="334"/>
      <c r="AN245" s="326">
        <f t="shared" si="50"/>
      </c>
      <c r="AO245" s="334">
        <f>152692.5+78009+19211+5878+4853.5+4764+314</f>
        <v>265722</v>
      </c>
      <c r="AP245" s="338">
        <f>12107+6230+2152+592+575+535+39</f>
        <v>22230</v>
      </c>
      <c r="AQ245" s="329">
        <f t="shared" si="46"/>
        <v>11.953306342780026</v>
      </c>
      <c r="AR245" s="297">
        <v>40942</v>
      </c>
      <c r="AS245" s="293"/>
      <c r="AT245" s="235"/>
    </row>
    <row r="246" spans="1:46" s="233" customFormat="1" ht="11.25" customHeight="1" hidden="1">
      <c r="A246" s="295"/>
      <c r="B246" s="236"/>
      <c r="C246" s="236" t="s">
        <v>223</v>
      </c>
      <c r="D246" s="236"/>
      <c r="E246" s="236"/>
      <c r="F246" s="236"/>
      <c r="G246" s="236" t="s">
        <v>250</v>
      </c>
      <c r="H246" s="236"/>
      <c r="I246" s="236"/>
      <c r="J246" s="362" t="s">
        <v>338</v>
      </c>
      <c r="K246" s="312" t="s">
        <v>83</v>
      </c>
      <c r="L246" s="341" t="s">
        <v>91</v>
      </c>
      <c r="M246" s="341" t="s">
        <v>343</v>
      </c>
      <c r="N246" s="370">
        <v>40844</v>
      </c>
      <c r="O246" s="288" t="s">
        <v>12</v>
      </c>
      <c r="P246" s="312">
        <v>41</v>
      </c>
      <c r="Q246" s="312">
        <v>1</v>
      </c>
      <c r="R246" s="312">
        <v>14</v>
      </c>
      <c r="S246" s="347">
        <v>0</v>
      </c>
      <c r="T246" s="348">
        <v>0</v>
      </c>
      <c r="U246" s="347">
        <v>54</v>
      </c>
      <c r="V246" s="348">
        <v>7</v>
      </c>
      <c r="W246" s="347">
        <v>50</v>
      </c>
      <c r="X246" s="348">
        <v>6</v>
      </c>
      <c r="Y246" s="334">
        <f t="shared" si="38"/>
        <v>104</v>
      </c>
      <c r="Z246" s="338">
        <f t="shared" si="39"/>
        <v>13</v>
      </c>
      <c r="AA246" s="323">
        <f t="shared" si="56"/>
        <v>13</v>
      </c>
      <c r="AB246" s="324">
        <f t="shared" si="57"/>
        <v>8</v>
      </c>
      <c r="AC246" s="334">
        <v>0</v>
      </c>
      <c r="AD246" s="326">
        <f t="shared" si="55"/>
      </c>
      <c r="AE246" s="327">
        <f t="shared" si="40"/>
        <v>32</v>
      </c>
      <c r="AF246" s="323">
        <f t="shared" si="41"/>
        <v>4</v>
      </c>
      <c r="AG246" s="334">
        <v>136</v>
      </c>
      <c r="AH246" s="338">
        <v>17</v>
      </c>
      <c r="AI246" s="326">
        <f t="shared" si="42"/>
        <v>0.7647058823529411</v>
      </c>
      <c r="AJ246" s="326">
        <f t="shared" si="43"/>
        <v>0.23529411764705882</v>
      </c>
      <c r="AK246" s="323">
        <f t="shared" si="44"/>
        <v>17</v>
      </c>
      <c r="AL246" s="324">
        <f t="shared" si="45"/>
        <v>8</v>
      </c>
      <c r="AM246" s="334"/>
      <c r="AN246" s="326">
        <f t="shared" si="50"/>
      </c>
      <c r="AO246" s="334">
        <v>515067</v>
      </c>
      <c r="AP246" s="338">
        <v>42355</v>
      </c>
      <c r="AQ246" s="329">
        <f t="shared" si="46"/>
        <v>12.160713020894818</v>
      </c>
      <c r="AR246" s="297">
        <v>40942</v>
      </c>
      <c r="AS246" s="293"/>
      <c r="AT246" s="234"/>
    </row>
    <row r="247" spans="1:46" s="233" customFormat="1" ht="11.25" customHeight="1" hidden="1">
      <c r="A247" s="295"/>
      <c r="B247" s="236"/>
      <c r="C247" s="236" t="s">
        <v>223</v>
      </c>
      <c r="D247" s="236" t="s">
        <v>193</v>
      </c>
      <c r="E247" s="236">
        <v>3</v>
      </c>
      <c r="F247" s="236"/>
      <c r="G247" s="236"/>
      <c r="H247" s="236" t="s">
        <v>55</v>
      </c>
      <c r="I247" s="236"/>
      <c r="J247" s="364" t="s">
        <v>480</v>
      </c>
      <c r="K247" s="312" t="s">
        <v>858</v>
      </c>
      <c r="L247" s="340" t="s">
        <v>859</v>
      </c>
      <c r="M247" s="340" t="s">
        <v>481</v>
      </c>
      <c r="N247" s="370">
        <v>40669</v>
      </c>
      <c r="O247" s="288" t="s">
        <v>8</v>
      </c>
      <c r="P247" s="354">
        <v>51</v>
      </c>
      <c r="Q247" s="340">
        <v>1</v>
      </c>
      <c r="R247" s="340">
        <v>25</v>
      </c>
      <c r="S247" s="332">
        <v>18</v>
      </c>
      <c r="T247" s="333">
        <v>2</v>
      </c>
      <c r="U247" s="332">
        <v>18</v>
      </c>
      <c r="V247" s="333">
        <v>2</v>
      </c>
      <c r="W247" s="332">
        <v>0</v>
      </c>
      <c r="X247" s="333">
        <v>0</v>
      </c>
      <c r="Y247" s="334">
        <f t="shared" si="38"/>
        <v>36</v>
      </c>
      <c r="Z247" s="338">
        <f t="shared" si="39"/>
        <v>4</v>
      </c>
      <c r="AA247" s="323">
        <f t="shared" si="56"/>
        <v>4</v>
      </c>
      <c r="AB247" s="324">
        <f t="shared" si="57"/>
        <v>9</v>
      </c>
      <c r="AC247" s="334">
        <v>0</v>
      </c>
      <c r="AD247" s="326">
        <f t="shared" si="55"/>
      </c>
      <c r="AE247" s="327">
        <f t="shared" si="40"/>
        <v>10</v>
      </c>
      <c r="AF247" s="323">
        <f t="shared" si="41"/>
        <v>2</v>
      </c>
      <c r="AG247" s="342">
        <v>46</v>
      </c>
      <c r="AH247" s="343">
        <v>6</v>
      </c>
      <c r="AI247" s="326">
        <f t="shared" si="42"/>
        <v>0.6666666666666666</v>
      </c>
      <c r="AJ247" s="326">
        <f t="shared" si="43"/>
        <v>0.3333333333333333</v>
      </c>
      <c r="AK247" s="323">
        <f t="shared" si="44"/>
        <v>6</v>
      </c>
      <c r="AL247" s="324">
        <f t="shared" si="45"/>
        <v>7.666666666666667</v>
      </c>
      <c r="AM247" s="328"/>
      <c r="AN247" s="326">
        <f t="shared" si="50"/>
      </c>
      <c r="AO247" s="342">
        <v>479104</v>
      </c>
      <c r="AP247" s="343">
        <v>49180</v>
      </c>
      <c r="AQ247" s="329">
        <f t="shared" si="46"/>
        <v>9.741846278975194</v>
      </c>
      <c r="AR247" s="297">
        <v>40942</v>
      </c>
      <c r="AS247" s="293"/>
      <c r="AT247" s="234"/>
    </row>
    <row r="248" spans="1:46" s="233" customFormat="1" ht="11.25" customHeight="1" hidden="1">
      <c r="A248" s="295"/>
      <c r="B248" s="236"/>
      <c r="C248" s="236" t="s">
        <v>223</v>
      </c>
      <c r="D248" s="236"/>
      <c r="E248" s="236"/>
      <c r="F248" s="236"/>
      <c r="G248" s="236"/>
      <c r="H248" s="236" t="s">
        <v>55</v>
      </c>
      <c r="I248" s="236"/>
      <c r="J248" s="362" t="s">
        <v>175</v>
      </c>
      <c r="K248" s="312" t="s">
        <v>904</v>
      </c>
      <c r="L248" s="341" t="s">
        <v>91</v>
      </c>
      <c r="M248" s="341" t="s">
        <v>175</v>
      </c>
      <c r="N248" s="370">
        <v>40606</v>
      </c>
      <c r="O248" s="288" t="s">
        <v>12</v>
      </c>
      <c r="P248" s="312">
        <v>104</v>
      </c>
      <c r="Q248" s="312">
        <v>1</v>
      </c>
      <c r="R248" s="312">
        <v>47</v>
      </c>
      <c r="S248" s="347">
        <v>0</v>
      </c>
      <c r="T248" s="348">
        <v>0</v>
      </c>
      <c r="U248" s="347">
        <v>0</v>
      </c>
      <c r="V248" s="348">
        <v>0</v>
      </c>
      <c r="W248" s="347">
        <v>1197</v>
      </c>
      <c r="X248" s="348">
        <v>189</v>
      </c>
      <c r="Y248" s="334">
        <f t="shared" si="38"/>
        <v>1197</v>
      </c>
      <c r="Z248" s="338">
        <f t="shared" si="39"/>
        <v>189</v>
      </c>
      <c r="AA248" s="323">
        <f t="shared" si="56"/>
        <v>189</v>
      </c>
      <c r="AB248" s="324">
        <f t="shared" si="57"/>
        <v>6.333333333333333</v>
      </c>
      <c r="AC248" s="330">
        <v>0</v>
      </c>
      <c r="AD248" s="326">
        <f t="shared" si="55"/>
      </c>
      <c r="AE248" s="327">
        <f t="shared" si="40"/>
        <v>0</v>
      </c>
      <c r="AF248" s="323">
        <f t="shared" si="41"/>
        <v>0</v>
      </c>
      <c r="AG248" s="334">
        <v>1197</v>
      </c>
      <c r="AH248" s="338">
        <v>189</v>
      </c>
      <c r="AI248" s="326">
        <f t="shared" si="42"/>
        <v>1</v>
      </c>
      <c r="AJ248" s="326">
        <f t="shared" si="43"/>
        <v>0</v>
      </c>
      <c r="AK248" s="323">
        <f t="shared" si="44"/>
        <v>189</v>
      </c>
      <c r="AL248" s="324">
        <f t="shared" si="45"/>
        <v>6.333333333333333</v>
      </c>
      <c r="AM248" s="334"/>
      <c r="AN248" s="326">
        <f t="shared" si="50"/>
      </c>
      <c r="AO248" s="334">
        <v>1288731</v>
      </c>
      <c r="AP248" s="338">
        <v>133813</v>
      </c>
      <c r="AQ248" s="329">
        <f t="shared" si="46"/>
        <v>9.630835569040377</v>
      </c>
      <c r="AR248" s="297">
        <v>40935</v>
      </c>
      <c r="AS248" s="293"/>
      <c r="AT248" s="234"/>
    </row>
    <row r="249" spans="1:46" s="233" customFormat="1" ht="11.25" customHeight="1" hidden="1">
      <c r="A249" s="295"/>
      <c r="B249" s="236"/>
      <c r="C249" s="236" t="s">
        <v>223</v>
      </c>
      <c r="D249" s="236"/>
      <c r="E249" s="236"/>
      <c r="F249" s="236"/>
      <c r="G249" s="236"/>
      <c r="H249" s="236"/>
      <c r="I249" s="236" t="s">
        <v>54</v>
      </c>
      <c r="J249" s="361" t="s">
        <v>207</v>
      </c>
      <c r="K249" s="288"/>
      <c r="L249" s="288"/>
      <c r="M249" s="288" t="s">
        <v>207</v>
      </c>
      <c r="N249" s="370">
        <v>40613</v>
      </c>
      <c r="O249" s="288" t="s">
        <v>289</v>
      </c>
      <c r="P249" s="312">
        <v>25</v>
      </c>
      <c r="Q249" s="312">
        <v>1</v>
      </c>
      <c r="R249" s="312">
        <v>19</v>
      </c>
      <c r="S249" s="334">
        <v>0</v>
      </c>
      <c r="T249" s="338">
        <v>0</v>
      </c>
      <c r="U249" s="334">
        <v>0</v>
      </c>
      <c r="V249" s="338">
        <v>0</v>
      </c>
      <c r="W249" s="334">
        <v>0</v>
      </c>
      <c r="X249" s="338">
        <v>0</v>
      </c>
      <c r="Y249" s="334">
        <f t="shared" si="38"/>
        <v>0</v>
      </c>
      <c r="Z249" s="338">
        <f t="shared" si="39"/>
        <v>0</v>
      </c>
      <c r="AA249" s="323">
        <f t="shared" si="56"/>
      </c>
      <c r="AB249" s="324">
        <f t="shared" si="57"/>
      </c>
      <c r="AC249" s="334">
        <v>0</v>
      </c>
      <c r="AD249" s="326">
        <f t="shared" si="55"/>
      </c>
      <c r="AE249" s="327">
        <f t="shared" si="40"/>
        <v>605</v>
      </c>
      <c r="AF249" s="323">
        <f t="shared" si="41"/>
        <v>121</v>
      </c>
      <c r="AG249" s="334">
        <v>605</v>
      </c>
      <c r="AH249" s="338">
        <v>121</v>
      </c>
      <c r="AI249" s="326">
        <f t="shared" si="42"/>
        <v>0</v>
      </c>
      <c r="AJ249" s="326">
        <f t="shared" si="43"/>
        <v>1</v>
      </c>
      <c r="AK249" s="323">
        <f t="shared" si="44"/>
        <v>121</v>
      </c>
      <c r="AL249" s="324">
        <f t="shared" si="45"/>
        <v>5</v>
      </c>
      <c r="AM249" s="334"/>
      <c r="AN249" s="326">
        <f t="shared" si="50"/>
      </c>
      <c r="AO249" s="334">
        <v>212148.5</v>
      </c>
      <c r="AP249" s="338">
        <v>28587</v>
      </c>
      <c r="AQ249" s="329">
        <f t="shared" si="46"/>
        <v>7.421152971630462</v>
      </c>
      <c r="AR249" s="297">
        <v>40935</v>
      </c>
      <c r="AS249" s="293"/>
      <c r="AT249" s="234"/>
    </row>
    <row r="250" spans="1:46" s="233" customFormat="1" ht="11.25" customHeight="1" hidden="1">
      <c r="A250" s="295"/>
      <c r="B250" s="236"/>
      <c r="C250" s="236" t="s">
        <v>223</v>
      </c>
      <c r="D250" s="236"/>
      <c r="E250" s="236"/>
      <c r="F250" s="236"/>
      <c r="G250" s="236" t="s">
        <v>250</v>
      </c>
      <c r="H250" s="236"/>
      <c r="I250" s="236"/>
      <c r="J250" s="362" t="s">
        <v>65</v>
      </c>
      <c r="K250" s="341" t="s">
        <v>89</v>
      </c>
      <c r="L250" s="353" t="s">
        <v>91</v>
      </c>
      <c r="M250" s="341" t="s">
        <v>65</v>
      </c>
      <c r="N250" s="369">
        <v>40837</v>
      </c>
      <c r="O250" s="288" t="s">
        <v>12</v>
      </c>
      <c r="P250" s="312">
        <v>112</v>
      </c>
      <c r="Q250" s="312">
        <v>1</v>
      </c>
      <c r="R250" s="312">
        <v>14</v>
      </c>
      <c r="S250" s="347">
        <v>523</v>
      </c>
      <c r="T250" s="348">
        <v>74</v>
      </c>
      <c r="U250" s="347">
        <v>625</v>
      </c>
      <c r="V250" s="348">
        <v>88</v>
      </c>
      <c r="W250" s="347">
        <v>728</v>
      </c>
      <c r="X250" s="348">
        <v>102</v>
      </c>
      <c r="Y250" s="334">
        <f t="shared" si="38"/>
        <v>1876</v>
      </c>
      <c r="Z250" s="338">
        <f t="shared" si="39"/>
        <v>264</v>
      </c>
      <c r="AA250" s="323">
        <f t="shared" si="56"/>
        <v>264</v>
      </c>
      <c r="AB250" s="324">
        <f t="shared" si="57"/>
        <v>7.106060606060606</v>
      </c>
      <c r="AC250" s="334">
        <v>0</v>
      </c>
      <c r="AD250" s="326">
        <f t="shared" si="55"/>
      </c>
      <c r="AE250" s="327">
        <f t="shared" si="40"/>
        <v>2065</v>
      </c>
      <c r="AF250" s="323">
        <f t="shared" si="41"/>
        <v>290</v>
      </c>
      <c r="AG250" s="334">
        <v>3941</v>
      </c>
      <c r="AH250" s="338">
        <v>554</v>
      </c>
      <c r="AI250" s="326">
        <f t="shared" si="42"/>
        <v>0.47653429602888087</v>
      </c>
      <c r="AJ250" s="326">
        <f t="shared" si="43"/>
        <v>0.5234657039711191</v>
      </c>
      <c r="AK250" s="323">
        <f t="shared" si="44"/>
        <v>554</v>
      </c>
      <c r="AL250" s="324">
        <f t="shared" si="45"/>
        <v>7.113718411552346</v>
      </c>
      <c r="AM250" s="334"/>
      <c r="AN250" s="326">
        <f t="shared" si="50"/>
      </c>
      <c r="AO250" s="334">
        <v>2341282</v>
      </c>
      <c r="AP250" s="338">
        <v>246371</v>
      </c>
      <c r="AQ250" s="329">
        <f t="shared" si="46"/>
        <v>9.503074631348657</v>
      </c>
      <c r="AR250" s="297">
        <v>40928</v>
      </c>
      <c r="AS250" s="293"/>
      <c r="AT250" s="234"/>
    </row>
    <row r="251" spans="1:46" s="233" customFormat="1" ht="11.25" customHeight="1" hidden="1">
      <c r="A251" s="295"/>
      <c r="B251" s="236"/>
      <c r="C251" s="236" t="s">
        <v>223</v>
      </c>
      <c r="D251" s="236"/>
      <c r="E251" s="236"/>
      <c r="F251" s="293"/>
      <c r="G251" s="236"/>
      <c r="H251" s="236"/>
      <c r="I251" s="236"/>
      <c r="J251" s="366" t="s">
        <v>389</v>
      </c>
      <c r="K251" s="339" t="s">
        <v>882</v>
      </c>
      <c r="L251" s="339" t="s">
        <v>88</v>
      </c>
      <c r="M251" s="339" t="s">
        <v>395</v>
      </c>
      <c r="N251" s="370">
        <v>40648</v>
      </c>
      <c r="O251" s="288" t="s">
        <v>68</v>
      </c>
      <c r="P251" s="312">
        <v>72</v>
      </c>
      <c r="Q251" s="312">
        <v>1</v>
      </c>
      <c r="R251" s="312">
        <v>26</v>
      </c>
      <c r="S251" s="325">
        <v>0</v>
      </c>
      <c r="T251" s="355">
        <v>0</v>
      </c>
      <c r="U251" s="325">
        <v>0</v>
      </c>
      <c r="V251" s="355">
        <v>0</v>
      </c>
      <c r="W251" s="325">
        <v>0</v>
      </c>
      <c r="X251" s="355">
        <v>0</v>
      </c>
      <c r="Y251" s="334">
        <f t="shared" si="38"/>
        <v>0</v>
      </c>
      <c r="Z251" s="338">
        <f t="shared" si="39"/>
        <v>0</v>
      </c>
      <c r="AA251" s="323">
        <f t="shared" si="56"/>
      </c>
      <c r="AB251" s="324">
        <f t="shared" si="57"/>
      </c>
      <c r="AC251" s="334">
        <v>0</v>
      </c>
      <c r="AD251" s="326">
        <f t="shared" si="55"/>
      </c>
      <c r="AE251" s="327">
        <f t="shared" si="40"/>
        <v>3801.5</v>
      </c>
      <c r="AF251" s="323">
        <f t="shared" si="41"/>
        <v>950</v>
      </c>
      <c r="AG251" s="328">
        <v>3801.5</v>
      </c>
      <c r="AH251" s="344">
        <v>950</v>
      </c>
      <c r="AI251" s="326">
        <f t="shared" si="42"/>
        <v>0</v>
      </c>
      <c r="AJ251" s="326">
        <f t="shared" si="43"/>
        <v>1</v>
      </c>
      <c r="AK251" s="323">
        <f t="shared" si="44"/>
        <v>950</v>
      </c>
      <c r="AL251" s="324">
        <f t="shared" si="45"/>
        <v>4.001578947368421</v>
      </c>
      <c r="AM251" s="328"/>
      <c r="AN251" s="326">
        <f t="shared" si="50"/>
      </c>
      <c r="AO251" s="328">
        <f>313705+218661+94172+73484.5+60319.5+15976+18868+7512+25645.5+15093+6591+2599+2683+1937.5+1629+2257+1715+1468+632+686+483+950+882+2440.5+336+3801.5</f>
        <v>874527</v>
      </c>
      <c r="AP251" s="344">
        <f>29673+21437+10530+10169+8845+2631+2981+1155+3600+2641+1030+393+512+262+251+329+256+223+101+108+77+153+142+619+90+950</f>
        <v>99158</v>
      </c>
      <c r="AQ251" s="329">
        <f t="shared" si="46"/>
        <v>8.819530446358337</v>
      </c>
      <c r="AR251" s="297">
        <v>40928</v>
      </c>
      <c r="AS251" s="293"/>
      <c r="AT251" s="234"/>
    </row>
    <row r="252" spans="1:46" s="233" customFormat="1" ht="11.25" customHeight="1" hidden="1">
      <c r="A252" s="295"/>
      <c r="B252" s="236"/>
      <c r="C252" s="236" t="s">
        <v>223</v>
      </c>
      <c r="D252" s="236"/>
      <c r="E252" s="236"/>
      <c r="F252" s="236"/>
      <c r="G252" s="236"/>
      <c r="H252" s="236" t="s">
        <v>55</v>
      </c>
      <c r="I252" s="236"/>
      <c r="J252" s="366" t="s">
        <v>322</v>
      </c>
      <c r="K252" s="339" t="s">
        <v>893</v>
      </c>
      <c r="L252" s="339" t="s">
        <v>120</v>
      </c>
      <c r="M252" s="339" t="s">
        <v>319</v>
      </c>
      <c r="N252" s="370">
        <v>40746</v>
      </c>
      <c r="O252" s="288" t="s">
        <v>68</v>
      </c>
      <c r="P252" s="312">
        <v>1</v>
      </c>
      <c r="Q252" s="312">
        <v>1</v>
      </c>
      <c r="R252" s="312">
        <v>8</v>
      </c>
      <c r="S252" s="325">
        <v>0</v>
      </c>
      <c r="T252" s="355">
        <v>0</v>
      </c>
      <c r="U252" s="325">
        <v>0</v>
      </c>
      <c r="V252" s="355">
        <v>0</v>
      </c>
      <c r="W252" s="325">
        <v>0</v>
      </c>
      <c r="X252" s="355">
        <v>0</v>
      </c>
      <c r="Y252" s="334">
        <f t="shared" si="38"/>
        <v>0</v>
      </c>
      <c r="Z252" s="338">
        <f t="shared" si="39"/>
        <v>0</v>
      </c>
      <c r="AA252" s="323">
        <f t="shared" si="56"/>
      </c>
      <c r="AB252" s="324">
        <f t="shared" si="57"/>
      </c>
      <c r="AC252" s="334">
        <v>0</v>
      </c>
      <c r="AD252" s="326">
        <f t="shared" si="55"/>
      </c>
      <c r="AE252" s="327">
        <f t="shared" si="40"/>
        <v>2138.5</v>
      </c>
      <c r="AF252" s="323">
        <f t="shared" si="41"/>
        <v>535</v>
      </c>
      <c r="AG252" s="328">
        <v>2138.5</v>
      </c>
      <c r="AH252" s="344">
        <v>535</v>
      </c>
      <c r="AI252" s="326">
        <f t="shared" si="42"/>
        <v>0</v>
      </c>
      <c r="AJ252" s="326">
        <f t="shared" si="43"/>
        <v>1</v>
      </c>
      <c r="AK252" s="323">
        <f t="shared" si="44"/>
        <v>535</v>
      </c>
      <c r="AL252" s="324">
        <f t="shared" si="45"/>
        <v>3.997196261682243</v>
      </c>
      <c r="AM252" s="328"/>
      <c r="AN252" s="326">
        <f t="shared" si="50"/>
      </c>
      <c r="AO252" s="328">
        <f>5298+3611+922.5+907+181+268.5+2138.5+2138.5+2138.5+2138.5</f>
        <v>19742</v>
      </c>
      <c r="AP252" s="344">
        <f>334+225+67+122+18+21+535+535+535+535</f>
        <v>2927</v>
      </c>
      <c r="AQ252" s="329">
        <f t="shared" si="46"/>
        <v>6.744789887256577</v>
      </c>
      <c r="AR252" s="297">
        <v>40928</v>
      </c>
      <c r="AS252" s="293"/>
      <c r="AT252" s="234"/>
    </row>
    <row r="253" spans="1:46" s="233" customFormat="1" ht="11.25" customHeight="1" hidden="1">
      <c r="A253" s="295"/>
      <c r="B253" s="236"/>
      <c r="C253" s="236" t="s">
        <v>223</v>
      </c>
      <c r="D253" s="236"/>
      <c r="E253" s="236"/>
      <c r="F253" s="236"/>
      <c r="G253" s="236"/>
      <c r="H253" s="236"/>
      <c r="I253" s="236"/>
      <c r="J253" s="367" t="s">
        <v>374</v>
      </c>
      <c r="K253" s="353" t="s">
        <v>89</v>
      </c>
      <c r="L253" s="353" t="s">
        <v>91</v>
      </c>
      <c r="M253" s="319" t="s">
        <v>378</v>
      </c>
      <c r="N253" s="370">
        <v>40723</v>
      </c>
      <c r="O253" s="288" t="s">
        <v>12</v>
      </c>
      <c r="P253" s="312">
        <v>323</v>
      </c>
      <c r="Q253" s="312">
        <v>1</v>
      </c>
      <c r="R253" s="312">
        <v>30</v>
      </c>
      <c r="S253" s="347">
        <v>171</v>
      </c>
      <c r="T253" s="348">
        <v>27</v>
      </c>
      <c r="U253" s="347">
        <v>171</v>
      </c>
      <c r="V253" s="348">
        <v>27</v>
      </c>
      <c r="W253" s="347">
        <v>171</v>
      </c>
      <c r="X253" s="348">
        <v>27</v>
      </c>
      <c r="Y253" s="334">
        <f t="shared" si="38"/>
        <v>513</v>
      </c>
      <c r="Z253" s="338">
        <f t="shared" si="39"/>
        <v>81</v>
      </c>
      <c r="AA253" s="323">
        <f t="shared" si="56"/>
        <v>81</v>
      </c>
      <c r="AB253" s="324">
        <f t="shared" si="57"/>
        <v>6.333333333333333</v>
      </c>
      <c r="AC253" s="330">
        <v>0</v>
      </c>
      <c r="AD253" s="326">
        <f t="shared" si="55"/>
      </c>
      <c r="AE253" s="327">
        <f t="shared" si="40"/>
        <v>684</v>
      </c>
      <c r="AF253" s="323">
        <f t="shared" si="41"/>
        <v>108</v>
      </c>
      <c r="AG253" s="334">
        <v>1197</v>
      </c>
      <c r="AH253" s="338">
        <v>189</v>
      </c>
      <c r="AI253" s="326">
        <f t="shared" si="42"/>
        <v>0.42857142857142855</v>
      </c>
      <c r="AJ253" s="326">
        <f t="shared" si="43"/>
        <v>0.5714285714285714</v>
      </c>
      <c r="AK253" s="323">
        <f t="shared" si="44"/>
        <v>189</v>
      </c>
      <c r="AL253" s="324">
        <f t="shared" si="45"/>
        <v>6.333333333333333</v>
      </c>
      <c r="AM253" s="334"/>
      <c r="AN253" s="326">
        <f t="shared" si="50"/>
      </c>
      <c r="AO253" s="334">
        <v>6859258</v>
      </c>
      <c r="AP253" s="338">
        <v>646540</v>
      </c>
      <c r="AQ253" s="329">
        <f t="shared" si="46"/>
        <v>10.609178086429301</v>
      </c>
      <c r="AR253" s="297">
        <v>40928</v>
      </c>
      <c r="AS253" s="293"/>
      <c r="AT253" s="234"/>
    </row>
    <row r="254" spans="1:46" s="233" customFormat="1" ht="11.25" customHeight="1" hidden="1">
      <c r="A254" s="295"/>
      <c r="B254" s="236"/>
      <c r="C254" s="236" t="s">
        <v>223</v>
      </c>
      <c r="D254" s="236" t="s">
        <v>193</v>
      </c>
      <c r="E254" s="236"/>
      <c r="F254" s="236"/>
      <c r="G254" s="236" t="s">
        <v>250</v>
      </c>
      <c r="H254" s="236" t="s">
        <v>55</v>
      </c>
      <c r="I254" s="236"/>
      <c r="J254" s="362" t="s">
        <v>97</v>
      </c>
      <c r="K254" s="312" t="s">
        <v>89</v>
      </c>
      <c r="L254" s="341" t="s">
        <v>91</v>
      </c>
      <c r="M254" s="341" t="s">
        <v>97</v>
      </c>
      <c r="N254" s="370">
        <v>40704</v>
      </c>
      <c r="O254" s="288" t="s">
        <v>12</v>
      </c>
      <c r="P254" s="312">
        <v>144</v>
      </c>
      <c r="Q254" s="312">
        <v>1</v>
      </c>
      <c r="R254" s="312">
        <v>33</v>
      </c>
      <c r="S254" s="347">
        <v>171</v>
      </c>
      <c r="T254" s="348">
        <v>27</v>
      </c>
      <c r="U254" s="347">
        <v>171</v>
      </c>
      <c r="V254" s="348">
        <v>27</v>
      </c>
      <c r="W254" s="347">
        <v>171</v>
      </c>
      <c r="X254" s="348">
        <v>27</v>
      </c>
      <c r="Y254" s="334">
        <f t="shared" si="38"/>
        <v>513</v>
      </c>
      <c r="Z254" s="338">
        <f t="shared" si="39"/>
        <v>81</v>
      </c>
      <c r="AA254" s="323">
        <f t="shared" si="56"/>
        <v>81</v>
      </c>
      <c r="AB254" s="324">
        <f t="shared" si="57"/>
        <v>6.333333333333333</v>
      </c>
      <c r="AC254" s="330">
        <v>0</v>
      </c>
      <c r="AD254" s="326">
        <f t="shared" si="55"/>
      </c>
      <c r="AE254" s="327">
        <f t="shared" si="40"/>
        <v>684</v>
      </c>
      <c r="AF254" s="323">
        <f t="shared" si="41"/>
        <v>108</v>
      </c>
      <c r="AG254" s="334">
        <v>1197</v>
      </c>
      <c r="AH254" s="338">
        <v>189</v>
      </c>
      <c r="AI254" s="326">
        <f t="shared" si="42"/>
        <v>0.42857142857142855</v>
      </c>
      <c r="AJ254" s="326">
        <f t="shared" si="43"/>
        <v>0.5714285714285714</v>
      </c>
      <c r="AK254" s="323">
        <f t="shared" si="44"/>
        <v>189</v>
      </c>
      <c r="AL254" s="324">
        <f t="shared" si="45"/>
        <v>6.333333333333333</v>
      </c>
      <c r="AM254" s="334"/>
      <c r="AN254" s="326">
        <f t="shared" si="50"/>
      </c>
      <c r="AO254" s="334">
        <v>3761997</v>
      </c>
      <c r="AP254" s="338">
        <v>344950</v>
      </c>
      <c r="AQ254" s="329">
        <f t="shared" si="46"/>
        <v>10.90591969850703</v>
      </c>
      <c r="AR254" s="297">
        <v>40928</v>
      </c>
      <c r="AS254" s="293"/>
      <c r="AT254" s="234"/>
    </row>
    <row r="255" spans="1:46" s="233" customFormat="1" ht="11.25" customHeight="1" hidden="1">
      <c r="A255" s="295"/>
      <c r="B255" s="236"/>
      <c r="C255" s="236" t="s">
        <v>223</v>
      </c>
      <c r="D255" s="236"/>
      <c r="E255" s="236"/>
      <c r="F255" s="236"/>
      <c r="G255" s="236"/>
      <c r="H255" s="236"/>
      <c r="I255" s="293"/>
      <c r="J255" s="361" t="s">
        <v>384</v>
      </c>
      <c r="K255" s="319" t="s">
        <v>386</v>
      </c>
      <c r="L255" s="312" t="s">
        <v>169</v>
      </c>
      <c r="M255" s="340" t="s">
        <v>385</v>
      </c>
      <c r="N255" s="370">
        <v>40844</v>
      </c>
      <c r="O255" s="288" t="s">
        <v>8</v>
      </c>
      <c r="P255" s="354">
        <v>29</v>
      </c>
      <c r="Q255" s="340">
        <v>1</v>
      </c>
      <c r="R255" s="340">
        <v>9</v>
      </c>
      <c r="S255" s="325">
        <v>0</v>
      </c>
      <c r="T255" s="355">
        <v>0</v>
      </c>
      <c r="U255" s="325">
        <v>0</v>
      </c>
      <c r="V255" s="355">
        <v>0</v>
      </c>
      <c r="W255" s="325">
        <v>0</v>
      </c>
      <c r="X255" s="355">
        <v>0</v>
      </c>
      <c r="Y255" s="334">
        <f t="shared" si="38"/>
        <v>0</v>
      </c>
      <c r="Z255" s="338">
        <f t="shared" si="39"/>
        <v>0</v>
      </c>
      <c r="AA255" s="323">
        <f t="shared" si="56"/>
      </c>
      <c r="AB255" s="324">
        <f t="shared" si="57"/>
      </c>
      <c r="AC255" s="334">
        <v>0</v>
      </c>
      <c r="AD255" s="326">
        <f t="shared" si="55"/>
      </c>
      <c r="AE255" s="327">
        <f t="shared" si="40"/>
        <v>680</v>
      </c>
      <c r="AF255" s="323">
        <f t="shared" si="41"/>
        <v>92</v>
      </c>
      <c r="AG255" s="342">
        <v>680</v>
      </c>
      <c r="AH255" s="343">
        <v>92</v>
      </c>
      <c r="AI255" s="326">
        <f t="shared" si="42"/>
        <v>0</v>
      </c>
      <c r="AJ255" s="326">
        <f t="shared" si="43"/>
        <v>1</v>
      </c>
      <c r="AK255" s="323">
        <f t="shared" si="44"/>
        <v>92</v>
      </c>
      <c r="AL255" s="324">
        <f t="shared" si="45"/>
        <v>7.391304347826087</v>
      </c>
      <c r="AM255" s="334"/>
      <c r="AN255" s="326">
        <f t="shared" si="50"/>
      </c>
      <c r="AO255" s="342">
        <v>343647</v>
      </c>
      <c r="AP255" s="343">
        <v>27776</v>
      </c>
      <c r="AQ255" s="329">
        <f t="shared" si="46"/>
        <v>12.372083813364055</v>
      </c>
      <c r="AR255" s="297">
        <v>40928</v>
      </c>
      <c r="AS255" s="293"/>
      <c r="AT255" s="234"/>
    </row>
    <row r="256" spans="1:46" s="233" customFormat="1" ht="11.25" customHeight="1" hidden="1">
      <c r="A256" s="295"/>
      <c r="B256" s="236"/>
      <c r="C256" s="236" t="s">
        <v>223</v>
      </c>
      <c r="D256" s="236"/>
      <c r="E256" s="236"/>
      <c r="F256" s="236"/>
      <c r="G256" s="236"/>
      <c r="H256" s="236"/>
      <c r="I256" s="293"/>
      <c r="J256" s="363" t="s">
        <v>155</v>
      </c>
      <c r="K256" s="312"/>
      <c r="L256" s="331" t="s">
        <v>94</v>
      </c>
      <c r="M256" s="319" t="s">
        <v>157</v>
      </c>
      <c r="N256" s="370">
        <v>40830</v>
      </c>
      <c r="O256" s="288" t="s">
        <v>52</v>
      </c>
      <c r="P256" s="331">
        <v>24</v>
      </c>
      <c r="Q256" s="331">
        <v>2</v>
      </c>
      <c r="R256" s="331">
        <v>9</v>
      </c>
      <c r="S256" s="342">
        <v>112</v>
      </c>
      <c r="T256" s="343">
        <v>14</v>
      </c>
      <c r="U256" s="342">
        <v>60</v>
      </c>
      <c r="V256" s="343">
        <v>6</v>
      </c>
      <c r="W256" s="342">
        <v>167</v>
      </c>
      <c r="X256" s="343">
        <v>23</v>
      </c>
      <c r="Y256" s="334">
        <f t="shared" si="38"/>
        <v>339</v>
      </c>
      <c r="Z256" s="338">
        <f t="shared" si="39"/>
        <v>43</v>
      </c>
      <c r="AA256" s="323">
        <f t="shared" si="56"/>
        <v>21.5</v>
      </c>
      <c r="AB256" s="324">
        <f t="shared" si="57"/>
        <v>7.883720930232558</v>
      </c>
      <c r="AC256" s="330">
        <v>0</v>
      </c>
      <c r="AD256" s="326">
        <f t="shared" si="55"/>
      </c>
      <c r="AE256" s="327">
        <f t="shared" si="40"/>
        <v>186</v>
      </c>
      <c r="AF256" s="323">
        <f t="shared" si="41"/>
        <v>26</v>
      </c>
      <c r="AG256" s="373">
        <v>525</v>
      </c>
      <c r="AH256" s="374">
        <v>69</v>
      </c>
      <c r="AI256" s="326">
        <f t="shared" si="42"/>
        <v>0.6231884057971014</v>
      </c>
      <c r="AJ256" s="326">
        <f t="shared" si="43"/>
        <v>0.37681159420289856</v>
      </c>
      <c r="AK256" s="323">
        <f t="shared" si="44"/>
        <v>34.5</v>
      </c>
      <c r="AL256" s="324">
        <f t="shared" si="45"/>
        <v>7.608695652173913</v>
      </c>
      <c r="AM256" s="330"/>
      <c r="AN256" s="326">
        <f t="shared" si="50"/>
      </c>
      <c r="AO256" s="373">
        <f>39089+12457+497+1407+378+156+1775+429+525</f>
        <v>56713</v>
      </c>
      <c r="AP256" s="338">
        <f>3631+1290+71+217+63+19+204+72+69</f>
        <v>5636</v>
      </c>
      <c r="AQ256" s="329">
        <f t="shared" si="46"/>
        <v>10.062633073101491</v>
      </c>
      <c r="AR256" s="297">
        <v>40928</v>
      </c>
      <c r="AS256" s="293"/>
      <c r="AT256" s="234"/>
    </row>
    <row r="257" spans="1:46" s="233" customFormat="1" ht="11.25" customHeight="1" hidden="1">
      <c r="A257" s="295"/>
      <c r="B257" s="236"/>
      <c r="C257" s="236"/>
      <c r="D257" s="236" t="s">
        <v>193</v>
      </c>
      <c r="E257" s="236">
        <v>3</v>
      </c>
      <c r="F257" s="236"/>
      <c r="G257" s="236"/>
      <c r="H257" s="236" t="s">
        <v>55</v>
      </c>
      <c r="I257" s="293"/>
      <c r="J257" s="361" t="s">
        <v>189</v>
      </c>
      <c r="K257" s="319" t="s">
        <v>167</v>
      </c>
      <c r="L257" s="312" t="s">
        <v>169</v>
      </c>
      <c r="M257" s="340" t="s">
        <v>165</v>
      </c>
      <c r="N257" s="370">
        <v>40907</v>
      </c>
      <c r="O257" s="288" t="s">
        <v>8</v>
      </c>
      <c r="P257" s="346">
        <v>73</v>
      </c>
      <c r="Q257" s="340">
        <v>32</v>
      </c>
      <c r="R257" s="340">
        <v>3</v>
      </c>
      <c r="S257" s="342">
        <v>0</v>
      </c>
      <c r="T257" s="343">
        <v>0</v>
      </c>
      <c r="U257" s="342">
        <v>0</v>
      </c>
      <c r="V257" s="343">
        <v>0</v>
      </c>
      <c r="W257" s="342">
        <v>0</v>
      </c>
      <c r="X257" s="343">
        <v>0</v>
      </c>
      <c r="Y257" s="334">
        <f t="shared" si="38"/>
        <v>0</v>
      </c>
      <c r="Z257" s="338">
        <f t="shared" si="39"/>
        <v>0</v>
      </c>
      <c r="AA257" s="323">
        <f t="shared" si="56"/>
      </c>
      <c r="AB257" s="324">
        <f t="shared" si="57"/>
      </c>
      <c r="AC257" s="330">
        <v>0</v>
      </c>
      <c r="AD257" s="326">
        <f t="shared" si="55"/>
      </c>
      <c r="AE257" s="327">
        <f t="shared" si="40"/>
        <v>324</v>
      </c>
      <c r="AF257" s="323">
        <f t="shared" si="41"/>
        <v>32</v>
      </c>
      <c r="AG257" s="342">
        <v>324</v>
      </c>
      <c r="AH257" s="343">
        <v>32</v>
      </c>
      <c r="AI257" s="326">
        <f t="shared" si="42"/>
        <v>0</v>
      </c>
      <c r="AJ257" s="326">
        <f t="shared" si="43"/>
        <v>1</v>
      </c>
      <c r="AK257" s="323">
        <f t="shared" si="44"/>
        <v>1</v>
      </c>
      <c r="AL257" s="324">
        <f t="shared" si="45"/>
        <v>10.125</v>
      </c>
      <c r="AM257" s="334"/>
      <c r="AN257" s="326">
        <f t="shared" si="50"/>
      </c>
      <c r="AO257" s="342">
        <v>141554</v>
      </c>
      <c r="AP257" s="343">
        <v>12703</v>
      </c>
      <c r="AQ257" s="329">
        <f t="shared" si="46"/>
        <v>11.143351964102967</v>
      </c>
      <c r="AR257" s="297">
        <v>40928</v>
      </c>
      <c r="AS257" s="293"/>
      <c r="AT257" s="234"/>
    </row>
    <row r="258" spans="1:46" s="233" customFormat="1" ht="11.25" customHeight="1" hidden="1">
      <c r="A258" s="295"/>
      <c r="B258" s="236"/>
      <c r="C258" s="236" t="s">
        <v>223</v>
      </c>
      <c r="D258" s="236" t="s">
        <v>193</v>
      </c>
      <c r="E258" s="236"/>
      <c r="F258" s="236"/>
      <c r="G258" s="236"/>
      <c r="H258" s="236" t="s">
        <v>55</v>
      </c>
      <c r="I258" s="236"/>
      <c r="J258" s="366" t="s">
        <v>351</v>
      </c>
      <c r="K258" s="339" t="s">
        <v>118</v>
      </c>
      <c r="L258" s="339" t="s">
        <v>88</v>
      </c>
      <c r="M258" s="339" t="s">
        <v>354</v>
      </c>
      <c r="N258" s="370">
        <v>40543</v>
      </c>
      <c r="O258" s="288" t="s">
        <v>68</v>
      </c>
      <c r="P258" s="312">
        <v>99</v>
      </c>
      <c r="Q258" s="312">
        <v>1</v>
      </c>
      <c r="R258" s="312">
        <v>26</v>
      </c>
      <c r="S258" s="325">
        <v>0</v>
      </c>
      <c r="T258" s="355">
        <v>0</v>
      </c>
      <c r="U258" s="325">
        <v>0</v>
      </c>
      <c r="V258" s="355">
        <v>0</v>
      </c>
      <c r="W258" s="325">
        <v>0</v>
      </c>
      <c r="X258" s="355">
        <v>0</v>
      </c>
      <c r="Y258" s="334">
        <f t="shared" si="38"/>
        <v>0</v>
      </c>
      <c r="Z258" s="338">
        <f t="shared" si="39"/>
        <v>0</v>
      </c>
      <c r="AA258" s="323">
        <f t="shared" si="56"/>
      </c>
      <c r="AB258" s="324">
        <f t="shared" si="57"/>
      </c>
      <c r="AC258" s="330">
        <v>0</v>
      </c>
      <c r="AD258" s="326">
        <f t="shared" si="55"/>
      </c>
      <c r="AE258" s="327">
        <f t="shared" si="40"/>
        <v>1782</v>
      </c>
      <c r="AF258" s="323">
        <f t="shared" si="41"/>
        <v>356</v>
      </c>
      <c r="AG258" s="328">
        <v>1782</v>
      </c>
      <c r="AH258" s="344">
        <v>356</v>
      </c>
      <c r="AI258" s="326">
        <f t="shared" si="42"/>
        <v>0</v>
      </c>
      <c r="AJ258" s="326">
        <f t="shared" si="43"/>
        <v>1</v>
      </c>
      <c r="AK258" s="323">
        <f t="shared" si="44"/>
        <v>356</v>
      </c>
      <c r="AL258" s="324">
        <f t="shared" si="45"/>
        <v>5.00561797752809</v>
      </c>
      <c r="AM258" s="328"/>
      <c r="AN258" s="326">
        <f t="shared" si="50"/>
      </c>
      <c r="AO258" s="328">
        <f>74157.5+721285.5+410076+112730.5+28262.5+6646+19483.5+940+1245+2674.5+7128+1782+331+245+6545.5+694+1782+1782+1782+1188+306+1188+3340+316+713+2376+1425.5+1782</f>
        <v>1412207</v>
      </c>
      <c r="AP258" s="344">
        <f>7361+62279+35611+10987+4077+689+3901+125+178+502+1781+445+78+59+1496+114+446+446+446+297+61+297+668+53+178+594+356+356</f>
        <v>133881</v>
      </c>
      <c r="AQ258" s="329">
        <f t="shared" si="46"/>
        <v>10.548225663088862</v>
      </c>
      <c r="AR258" s="297">
        <v>40921</v>
      </c>
      <c r="AS258" s="293"/>
      <c r="AT258" s="234"/>
    </row>
    <row r="259" spans="1:46" s="233" customFormat="1" ht="11.25" customHeight="1" hidden="1">
      <c r="A259" s="295"/>
      <c r="B259" s="236"/>
      <c r="C259" s="236" t="s">
        <v>223</v>
      </c>
      <c r="D259" s="236" t="s">
        <v>193</v>
      </c>
      <c r="E259" s="236">
        <v>3</v>
      </c>
      <c r="F259" s="236">
        <v>2</v>
      </c>
      <c r="G259" s="236"/>
      <c r="H259" s="236"/>
      <c r="I259" s="236"/>
      <c r="J259" s="362" t="s">
        <v>339</v>
      </c>
      <c r="K259" s="312" t="s">
        <v>89</v>
      </c>
      <c r="L259" s="341" t="s">
        <v>91</v>
      </c>
      <c r="M259" s="341" t="s">
        <v>342</v>
      </c>
      <c r="N259" s="370">
        <v>40802</v>
      </c>
      <c r="O259" s="288" t="s">
        <v>12</v>
      </c>
      <c r="P259" s="312">
        <v>139</v>
      </c>
      <c r="Q259" s="312">
        <v>1</v>
      </c>
      <c r="R259" s="312">
        <v>18</v>
      </c>
      <c r="S259" s="350">
        <v>171</v>
      </c>
      <c r="T259" s="351">
        <v>27</v>
      </c>
      <c r="U259" s="350">
        <v>171</v>
      </c>
      <c r="V259" s="351">
        <v>27</v>
      </c>
      <c r="W259" s="350">
        <v>171</v>
      </c>
      <c r="X259" s="351">
        <v>27</v>
      </c>
      <c r="Y259" s="334">
        <f t="shared" si="38"/>
        <v>513</v>
      </c>
      <c r="Z259" s="338">
        <f t="shared" si="39"/>
        <v>81</v>
      </c>
      <c r="AA259" s="323">
        <f t="shared" si="56"/>
        <v>81</v>
      </c>
      <c r="AB259" s="324">
        <f t="shared" si="57"/>
        <v>6.333333333333333</v>
      </c>
      <c r="AC259" s="334">
        <v>0</v>
      </c>
      <c r="AD259" s="326">
        <f t="shared" si="55"/>
      </c>
      <c r="AE259" s="327">
        <f t="shared" si="40"/>
        <v>684</v>
      </c>
      <c r="AF259" s="323">
        <f t="shared" si="41"/>
        <v>108</v>
      </c>
      <c r="AG259" s="334">
        <v>1197</v>
      </c>
      <c r="AH259" s="338">
        <v>189</v>
      </c>
      <c r="AI259" s="326">
        <f t="shared" si="42"/>
        <v>0.42857142857142855</v>
      </c>
      <c r="AJ259" s="326">
        <f t="shared" si="43"/>
        <v>0.5714285714285714</v>
      </c>
      <c r="AK259" s="323">
        <f t="shared" si="44"/>
        <v>189</v>
      </c>
      <c r="AL259" s="324">
        <f t="shared" si="45"/>
        <v>6.333333333333333</v>
      </c>
      <c r="AM259" s="334"/>
      <c r="AN259" s="326">
        <f t="shared" si="50"/>
      </c>
      <c r="AO259" s="334">
        <v>867262</v>
      </c>
      <c r="AP259" s="338">
        <v>93571</v>
      </c>
      <c r="AQ259" s="329">
        <f t="shared" si="46"/>
        <v>9.26849130606705</v>
      </c>
      <c r="AR259" s="297">
        <v>40921</v>
      </c>
      <c r="AS259" s="293"/>
      <c r="AT259" s="234"/>
    </row>
    <row r="260" spans="1:46" s="233" customFormat="1" ht="11.25" customHeight="1" hidden="1">
      <c r="A260" s="295"/>
      <c r="B260" s="236"/>
      <c r="C260" s="236" t="s">
        <v>223</v>
      </c>
      <c r="D260" s="236"/>
      <c r="E260" s="236"/>
      <c r="F260" s="236"/>
      <c r="G260" s="236"/>
      <c r="H260" s="236" t="s">
        <v>55</v>
      </c>
      <c r="I260" s="236"/>
      <c r="J260" s="362" t="s">
        <v>174</v>
      </c>
      <c r="K260" s="312" t="s">
        <v>905</v>
      </c>
      <c r="L260" s="341" t="s">
        <v>91</v>
      </c>
      <c r="M260" s="341" t="s">
        <v>178</v>
      </c>
      <c r="N260" s="370">
        <v>40823</v>
      </c>
      <c r="O260" s="288" t="s">
        <v>12</v>
      </c>
      <c r="P260" s="312">
        <v>105</v>
      </c>
      <c r="Q260" s="312">
        <v>1</v>
      </c>
      <c r="R260" s="312">
        <v>15</v>
      </c>
      <c r="S260" s="350">
        <v>133</v>
      </c>
      <c r="T260" s="351">
        <v>19</v>
      </c>
      <c r="U260" s="350">
        <v>238</v>
      </c>
      <c r="V260" s="351">
        <v>34</v>
      </c>
      <c r="W260" s="350">
        <v>70</v>
      </c>
      <c r="X260" s="351">
        <v>10</v>
      </c>
      <c r="Y260" s="334">
        <f t="shared" si="38"/>
        <v>441</v>
      </c>
      <c r="Z260" s="338">
        <f t="shared" si="39"/>
        <v>63</v>
      </c>
      <c r="AA260" s="323">
        <f t="shared" si="56"/>
        <v>63</v>
      </c>
      <c r="AB260" s="324">
        <f t="shared" si="57"/>
        <v>7</v>
      </c>
      <c r="AC260" s="330">
        <v>0</v>
      </c>
      <c r="AD260" s="326">
        <f t="shared" si="55"/>
      </c>
      <c r="AE260" s="327">
        <f t="shared" si="40"/>
        <v>198</v>
      </c>
      <c r="AF260" s="323">
        <f t="shared" si="41"/>
        <v>30</v>
      </c>
      <c r="AG260" s="334">
        <v>639</v>
      </c>
      <c r="AH260" s="338">
        <v>93</v>
      </c>
      <c r="AI260" s="326">
        <f t="shared" si="42"/>
        <v>0.6774193548387096</v>
      </c>
      <c r="AJ260" s="326">
        <f t="shared" si="43"/>
        <v>0.3225806451612903</v>
      </c>
      <c r="AK260" s="323">
        <f t="shared" si="44"/>
        <v>93</v>
      </c>
      <c r="AL260" s="324">
        <f t="shared" si="45"/>
        <v>6.870967741935484</v>
      </c>
      <c r="AM260" s="334"/>
      <c r="AN260" s="326">
        <f t="shared" si="50"/>
      </c>
      <c r="AO260" s="334">
        <v>1141755</v>
      </c>
      <c r="AP260" s="338">
        <v>122736</v>
      </c>
      <c r="AQ260" s="329">
        <f t="shared" si="46"/>
        <v>9.302527375831051</v>
      </c>
      <c r="AR260" s="297">
        <v>40921</v>
      </c>
      <c r="AS260" s="293"/>
      <c r="AT260" s="234"/>
    </row>
    <row r="261" spans="1:46" s="233" customFormat="1" ht="11.25" customHeight="1" hidden="1">
      <c r="A261" s="295"/>
      <c r="B261" s="236"/>
      <c r="C261" s="236" t="s">
        <v>223</v>
      </c>
      <c r="D261" s="236"/>
      <c r="E261" s="236"/>
      <c r="F261" s="236"/>
      <c r="G261" s="236"/>
      <c r="H261" s="236"/>
      <c r="I261" s="236"/>
      <c r="J261" s="366" t="s">
        <v>352</v>
      </c>
      <c r="K261" s="339" t="s">
        <v>894</v>
      </c>
      <c r="L261" s="339" t="s">
        <v>120</v>
      </c>
      <c r="M261" s="339" t="s">
        <v>353</v>
      </c>
      <c r="N261" s="370">
        <v>40746</v>
      </c>
      <c r="O261" s="288" t="s">
        <v>68</v>
      </c>
      <c r="P261" s="312">
        <v>5</v>
      </c>
      <c r="Q261" s="312">
        <v>1</v>
      </c>
      <c r="R261" s="312">
        <v>15</v>
      </c>
      <c r="S261" s="325">
        <v>0</v>
      </c>
      <c r="T261" s="355">
        <v>0</v>
      </c>
      <c r="U261" s="325">
        <v>0</v>
      </c>
      <c r="V261" s="355">
        <v>0</v>
      </c>
      <c r="W261" s="325">
        <v>0</v>
      </c>
      <c r="X261" s="355">
        <v>0</v>
      </c>
      <c r="Y261" s="334">
        <f t="shared" si="38"/>
        <v>0</v>
      </c>
      <c r="Z261" s="338">
        <f t="shared" si="39"/>
        <v>0</v>
      </c>
      <c r="AA261" s="323">
        <f t="shared" si="56"/>
      </c>
      <c r="AB261" s="324">
        <f t="shared" si="57"/>
      </c>
      <c r="AC261" s="334">
        <v>0</v>
      </c>
      <c r="AD261" s="326">
        <f t="shared" si="55"/>
      </c>
      <c r="AE261" s="327">
        <f t="shared" si="40"/>
        <v>264</v>
      </c>
      <c r="AF261" s="323">
        <f t="shared" si="41"/>
        <v>44</v>
      </c>
      <c r="AG261" s="328">
        <v>264</v>
      </c>
      <c r="AH261" s="344">
        <v>44</v>
      </c>
      <c r="AI261" s="326">
        <f t="shared" si="42"/>
        <v>0</v>
      </c>
      <c r="AJ261" s="326">
        <f t="shared" si="43"/>
        <v>1</v>
      </c>
      <c r="AK261" s="323">
        <f t="shared" si="44"/>
        <v>44</v>
      </c>
      <c r="AL261" s="324">
        <f t="shared" si="45"/>
        <v>6</v>
      </c>
      <c r="AM261" s="328"/>
      <c r="AN261" s="326">
        <f t="shared" si="50"/>
      </c>
      <c r="AO261" s="328">
        <f>15287.5+10909.5+3453.5+1267.5+1495+5972+1476+196+990+2893+1323+722+1782+684+264</f>
        <v>48715</v>
      </c>
      <c r="AP261" s="344">
        <f>1370+1093+336+155+192+663+166+28+134+385+183+184+446+80+44</f>
        <v>5459</v>
      </c>
      <c r="AQ261" s="329">
        <f t="shared" si="46"/>
        <v>8.923795566953654</v>
      </c>
      <c r="AR261" s="297">
        <v>40921</v>
      </c>
      <c r="AS261" s="293"/>
      <c r="AT261" s="234"/>
    </row>
    <row r="262" spans="1:46" s="233" customFormat="1" ht="11.25" customHeight="1" hidden="1">
      <c r="A262" s="295"/>
      <c r="B262" s="293"/>
      <c r="C262" s="236" t="s">
        <v>223</v>
      </c>
      <c r="D262" s="293"/>
      <c r="E262" s="236">
        <v>3</v>
      </c>
      <c r="F262" s="236"/>
      <c r="G262" s="236" t="s">
        <v>250</v>
      </c>
      <c r="H262" s="236"/>
      <c r="I262" s="236"/>
      <c r="J262" s="360" t="s">
        <v>57</v>
      </c>
      <c r="K262" s="312" t="s">
        <v>918</v>
      </c>
      <c r="L262" s="288" t="s">
        <v>92</v>
      </c>
      <c r="M262" s="288" t="s">
        <v>58</v>
      </c>
      <c r="N262" s="369">
        <v>40795</v>
      </c>
      <c r="O262" s="288" t="s">
        <v>10</v>
      </c>
      <c r="P262" s="340">
        <v>142</v>
      </c>
      <c r="Q262" s="331">
        <v>1</v>
      </c>
      <c r="R262" s="331">
        <v>19</v>
      </c>
      <c r="S262" s="342">
        <v>30</v>
      </c>
      <c r="T262" s="343">
        <v>5</v>
      </c>
      <c r="U262" s="342">
        <v>24</v>
      </c>
      <c r="V262" s="343">
        <v>4</v>
      </c>
      <c r="W262" s="342">
        <v>24</v>
      </c>
      <c r="X262" s="343">
        <v>4</v>
      </c>
      <c r="Y262" s="334">
        <f t="shared" si="38"/>
        <v>78</v>
      </c>
      <c r="Z262" s="338">
        <f t="shared" si="39"/>
        <v>13</v>
      </c>
      <c r="AA262" s="323">
        <f t="shared" si="56"/>
        <v>13</v>
      </c>
      <c r="AB262" s="324">
        <f t="shared" si="57"/>
        <v>6</v>
      </c>
      <c r="AC262" s="330">
        <v>0</v>
      </c>
      <c r="AD262" s="326">
        <f t="shared" si="55"/>
      </c>
      <c r="AE262" s="327">
        <f t="shared" si="40"/>
        <v>102</v>
      </c>
      <c r="AF262" s="323">
        <f t="shared" si="41"/>
        <v>17</v>
      </c>
      <c r="AG262" s="342">
        <v>180</v>
      </c>
      <c r="AH262" s="343">
        <v>30</v>
      </c>
      <c r="AI262" s="326">
        <f t="shared" si="42"/>
        <v>0.43333333333333335</v>
      </c>
      <c r="AJ262" s="326">
        <f t="shared" si="43"/>
        <v>0.5666666666666667</v>
      </c>
      <c r="AK262" s="323">
        <f t="shared" si="44"/>
        <v>30</v>
      </c>
      <c r="AL262" s="324">
        <f t="shared" si="45"/>
        <v>6</v>
      </c>
      <c r="AM262" s="328"/>
      <c r="AN262" s="326">
        <f t="shared" si="50"/>
      </c>
      <c r="AO262" s="342">
        <v>4017226</v>
      </c>
      <c r="AP262" s="343">
        <v>390877</v>
      </c>
      <c r="AQ262" s="329">
        <f t="shared" si="46"/>
        <v>10.277468359611847</v>
      </c>
      <c r="AR262" s="297">
        <v>40921</v>
      </c>
      <c r="AS262" s="293"/>
      <c r="AT262" s="235"/>
    </row>
    <row r="263" spans="1:46" s="233" customFormat="1" ht="11.25" customHeight="1" hidden="1">
      <c r="A263" s="295"/>
      <c r="B263" s="293"/>
      <c r="C263" s="236" t="s">
        <v>223</v>
      </c>
      <c r="D263" s="293"/>
      <c r="E263" s="293"/>
      <c r="F263" s="236"/>
      <c r="G263" s="293"/>
      <c r="H263" s="236"/>
      <c r="I263" s="236" t="s">
        <v>54</v>
      </c>
      <c r="J263" s="364" t="s">
        <v>292</v>
      </c>
      <c r="K263" s="340" t="s">
        <v>295</v>
      </c>
      <c r="L263" s="312"/>
      <c r="M263" s="340" t="s">
        <v>292</v>
      </c>
      <c r="N263" s="370">
        <v>40830</v>
      </c>
      <c r="O263" s="288" t="s">
        <v>53</v>
      </c>
      <c r="P263" s="346">
        <v>142</v>
      </c>
      <c r="Q263" s="346">
        <v>1</v>
      </c>
      <c r="R263" s="346">
        <v>12</v>
      </c>
      <c r="S263" s="350">
        <v>652</v>
      </c>
      <c r="T263" s="351">
        <v>130</v>
      </c>
      <c r="U263" s="350">
        <v>750</v>
      </c>
      <c r="V263" s="351">
        <v>150</v>
      </c>
      <c r="W263" s="350">
        <v>1000</v>
      </c>
      <c r="X263" s="351">
        <v>200</v>
      </c>
      <c r="Y263" s="334">
        <f t="shared" si="38"/>
        <v>2402</v>
      </c>
      <c r="Z263" s="338">
        <f t="shared" si="39"/>
        <v>480</v>
      </c>
      <c r="AA263" s="323">
        <f t="shared" si="56"/>
        <v>480</v>
      </c>
      <c r="AB263" s="324">
        <f t="shared" si="57"/>
        <v>5.004166666666666</v>
      </c>
      <c r="AC263" s="330">
        <v>0</v>
      </c>
      <c r="AD263" s="326">
        <f t="shared" si="55"/>
      </c>
      <c r="AE263" s="327">
        <f t="shared" si="40"/>
        <v>0</v>
      </c>
      <c r="AF263" s="323">
        <f t="shared" si="41"/>
        <v>0</v>
      </c>
      <c r="AG263" s="334">
        <v>2402</v>
      </c>
      <c r="AH263" s="338">
        <v>480</v>
      </c>
      <c r="AI263" s="326">
        <f t="shared" si="42"/>
        <v>1</v>
      </c>
      <c r="AJ263" s="326">
        <f t="shared" si="43"/>
        <v>0</v>
      </c>
      <c r="AK263" s="323">
        <f t="shared" si="44"/>
        <v>480</v>
      </c>
      <c r="AL263" s="324">
        <f t="shared" si="45"/>
        <v>5.004166666666666</v>
      </c>
      <c r="AM263" s="334"/>
      <c r="AN263" s="326">
        <f t="shared" si="50"/>
      </c>
      <c r="AO263" s="334">
        <f>248732+139942.5+41015.5+4968+2270+1973+10279+6007+1097+295+261+2402</f>
        <v>459242</v>
      </c>
      <c r="AP263" s="338">
        <f>33636+19210+5940+800+378+422+1552+983+159+45+36+480</f>
        <v>63641</v>
      </c>
      <c r="AQ263" s="329">
        <f t="shared" si="46"/>
        <v>7.216134253075848</v>
      </c>
      <c r="AR263" s="297">
        <v>40914</v>
      </c>
      <c r="AS263" s="293"/>
      <c r="AT263" s="235"/>
    </row>
    <row r="264" spans="1:46" s="233" customFormat="1" ht="11.25" customHeight="1" hidden="1">
      <c r="A264" s="295"/>
      <c r="B264" s="236"/>
      <c r="C264" s="236" t="s">
        <v>223</v>
      </c>
      <c r="D264" s="236" t="s">
        <v>193</v>
      </c>
      <c r="E264" s="236"/>
      <c r="F264" s="293"/>
      <c r="G264" s="236" t="s">
        <v>250</v>
      </c>
      <c r="H264" s="236" t="s">
        <v>55</v>
      </c>
      <c r="I264" s="236"/>
      <c r="J264" s="366" t="s">
        <v>314</v>
      </c>
      <c r="K264" s="339" t="s">
        <v>316</v>
      </c>
      <c r="L264" s="319" t="s">
        <v>88</v>
      </c>
      <c r="M264" s="339" t="s">
        <v>315</v>
      </c>
      <c r="N264" s="370">
        <v>39829</v>
      </c>
      <c r="O264" s="288" t="s">
        <v>68</v>
      </c>
      <c r="P264" s="312">
        <v>65</v>
      </c>
      <c r="Q264" s="312">
        <v>1</v>
      </c>
      <c r="R264" s="312">
        <v>44</v>
      </c>
      <c r="S264" s="325"/>
      <c r="T264" s="355"/>
      <c r="U264" s="325"/>
      <c r="V264" s="355"/>
      <c r="W264" s="325"/>
      <c r="X264" s="355"/>
      <c r="Y264" s="334">
        <f aca="true" t="shared" si="58" ref="Y264:Y281">SUM(S264+U264+W264)</f>
        <v>0</v>
      </c>
      <c r="Z264" s="338">
        <f aca="true" t="shared" si="59" ref="Z264:Z281">T264+V264+X264</f>
        <v>0</v>
      </c>
      <c r="AA264" s="323">
        <f t="shared" si="56"/>
      </c>
      <c r="AB264" s="324">
        <f t="shared" si="57"/>
      </c>
      <c r="AC264" s="330">
        <v>0</v>
      </c>
      <c r="AD264" s="326">
        <f t="shared" si="55"/>
      </c>
      <c r="AE264" s="327">
        <f aca="true" t="shared" si="60" ref="AE264:AE281">AG264-Y264</f>
        <v>1424</v>
      </c>
      <c r="AF264" s="323">
        <f aca="true" t="shared" si="61" ref="AF264:AF281">AH264-Z264</f>
        <v>356</v>
      </c>
      <c r="AG264" s="328">
        <v>1424</v>
      </c>
      <c r="AH264" s="344">
        <v>356</v>
      </c>
      <c r="AI264" s="326">
        <f aca="true" t="shared" si="62" ref="AI264:AI281">Z264*1/AH264</f>
        <v>0</v>
      </c>
      <c r="AJ264" s="326">
        <f aca="true" t="shared" si="63" ref="AJ264:AJ281">AF264*1/AH264</f>
        <v>1</v>
      </c>
      <c r="AK264" s="323">
        <f aca="true" t="shared" si="64" ref="AK264:AK281">AH264/Q264</f>
        <v>356</v>
      </c>
      <c r="AL264" s="324">
        <f aca="true" t="shared" si="65" ref="AL264:AL281">AG264/AH264</f>
        <v>4</v>
      </c>
      <c r="AM264" s="328"/>
      <c r="AN264" s="326">
        <f t="shared" si="50"/>
      </c>
      <c r="AO264" s="328">
        <f>237023+244842+160469+47021+21536+18820+18020.5+26440+10695+9162.5+9870+6322+1787+2032+757+348+420.5+158+4053+339.5+3161.5+1729.5+752+1417+1780+64+1208+952+552+139.5+544+40+8072+1780+1424+1780+440+1780+1188+2612+952+712+4276+1424</f>
        <v>858895.5</v>
      </c>
      <c r="AP264" s="344">
        <f>25678+28966+21290+6590+4890+3520+3479+4786+1907+1716+2388+1533+368+541+126+70+67+48+991+81+743+414+155+169+445+16+302+238+117+23+48+12+2018+445+356+445+55+445+297+653+238+178+1069+356</f>
        <v>118272</v>
      </c>
      <c r="AQ264" s="329">
        <f aca="true" t="shared" si="66" ref="AQ264:AQ281">AO264/AP264</f>
        <v>7.262035815746753</v>
      </c>
      <c r="AR264" s="297">
        <v>40914</v>
      </c>
      <c r="AS264" s="293"/>
      <c r="AT264" s="235"/>
    </row>
    <row r="265" spans="1:46" s="233" customFormat="1" ht="11.25" customHeight="1" hidden="1">
      <c r="A265" s="295"/>
      <c r="B265" s="236"/>
      <c r="C265" s="236" t="s">
        <v>223</v>
      </c>
      <c r="D265" s="236" t="s">
        <v>193</v>
      </c>
      <c r="E265" s="236"/>
      <c r="F265" s="236">
        <v>2</v>
      </c>
      <c r="G265" s="236"/>
      <c r="H265" s="236"/>
      <c r="I265" s="236"/>
      <c r="J265" s="362" t="s">
        <v>303</v>
      </c>
      <c r="K265" s="312" t="s">
        <v>89</v>
      </c>
      <c r="L265" s="341" t="s">
        <v>91</v>
      </c>
      <c r="M265" s="341" t="s">
        <v>303</v>
      </c>
      <c r="N265" s="370">
        <v>40648</v>
      </c>
      <c r="O265" s="288" t="s">
        <v>12</v>
      </c>
      <c r="P265" s="312">
        <v>151</v>
      </c>
      <c r="Q265" s="312">
        <v>1</v>
      </c>
      <c r="R265" s="312">
        <v>30</v>
      </c>
      <c r="S265" s="350">
        <v>75</v>
      </c>
      <c r="T265" s="351">
        <v>15</v>
      </c>
      <c r="U265" s="350">
        <v>60</v>
      </c>
      <c r="V265" s="351">
        <v>12</v>
      </c>
      <c r="W265" s="350">
        <v>25</v>
      </c>
      <c r="X265" s="351">
        <v>5</v>
      </c>
      <c r="Y265" s="334">
        <f t="shared" si="58"/>
        <v>160</v>
      </c>
      <c r="Z265" s="338">
        <f t="shared" si="59"/>
        <v>32</v>
      </c>
      <c r="AA265" s="323">
        <f t="shared" si="56"/>
        <v>32</v>
      </c>
      <c r="AB265" s="324">
        <f t="shared" si="57"/>
        <v>5</v>
      </c>
      <c r="AC265" s="330">
        <v>0</v>
      </c>
      <c r="AD265" s="326">
        <f aca="true" t="shared" si="67" ref="AD265:AD281">IF(AC265&lt;&gt;0,-(AC265-Y265)/AC265,"")</f>
      </c>
      <c r="AE265" s="327">
        <f t="shared" si="60"/>
        <v>455</v>
      </c>
      <c r="AF265" s="323">
        <f t="shared" si="61"/>
        <v>91</v>
      </c>
      <c r="AG265" s="334">
        <v>615</v>
      </c>
      <c r="AH265" s="338">
        <v>123</v>
      </c>
      <c r="AI265" s="326">
        <f t="shared" si="62"/>
        <v>0.2601626016260163</v>
      </c>
      <c r="AJ265" s="326">
        <f t="shared" si="63"/>
        <v>0.7398373983739838</v>
      </c>
      <c r="AK265" s="323">
        <f t="shared" si="64"/>
        <v>123</v>
      </c>
      <c r="AL265" s="324">
        <f t="shared" si="65"/>
        <v>5</v>
      </c>
      <c r="AM265" s="334"/>
      <c r="AN265" s="326">
        <f t="shared" si="50"/>
      </c>
      <c r="AO265" s="334">
        <v>1956708</v>
      </c>
      <c r="AP265" s="338">
        <v>218938</v>
      </c>
      <c r="AQ265" s="329">
        <f t="shared" si="66"/>
        <v>8.93726991202989</v>
      </c>
      <c r="AR265" s="297">
        <v>40914</v>
      </c>
      <c r="AS265" s="293"/>
      <c r="AT265" s="235"/>
    </row>
    <row r="266" spans="1:46" s="233" customFormat="1" ht="11.25" customHeight="1" hidden="1">
      <c r="A266" s="295"/>
      <c r="B266" s="293"/>
      <c r="C266" s="236" t="s">
        <v>223</v>
      </c>
      <c r="D266" s="293"/>
      <c r="E266" s="293"/>
      <c r="F266" s="236"/>
      <c r="G266" s="293"/>
      <c r="H266" s="236"/>
      <c r="I266" s="236" t="s">
        <v>54</v>
      </c>
      <c r="J266" s="364" t="s">
        <v>66</v>
      </c>
      <c r="K266" s="340" t="s">
        <v>81</v>
      </c>
      <c r="L266" s="340"/>
      <c r="M266" s="340" t="s">
        <v>66</v>
      </c>
      <c r="N266" s="370">
        <v>40844</v>
      </c>
      <c r="O266" s="288" t="s">
        <v>53</v>
      </c>
      <c r="P266" s="340">
        <v>245</v>
      </c>
      <c r="Q266" s="346">
        <v>1</v>
      </c>
      <c r="R266" s="346">
        <v>11</v>
      </c>
      <c r="S266" s="350">
        <v>14</v>
      </c>
      <c r="T266" s="351">
        <v>2</v>
      </c>
      <c r="U266" s="350">
        <v>195</v>
      </c>
      <c r="V266" s="351">
        <v>32</v>
      </c>
      <c r="W266" s="350">
        <v>142</v>
      </c>
      <c r="X266" s="351">
        <v>22</v>
      </c>
      <c r="Y266" s="334">
        <f t="shared" si="58"/>
        <v>351</v>
      </c>
      <c r="Z266" s="338">
        <f t="shared" si="59"/>
        <v>56</v>
      </c>
      <c r="AA266" s="323">
        <f t="shared" si="56"/>
        <v>56</v>
      </c>
      <c r="AB266" s="324">
        <f t="shared" si="57"/>
        <v>6.267857142857143</v>
      </c>
      <c r="AC266" s="330">
        <v>0</v>
      </c>
      <c r="AD266" s="326">
        <f t="shared" si="67"/>
      </c>
      <c r="AE266" s="327">
        <f t="shared" si="60"/>
        <v>222</v>
      </c>
      <c r="AF266" s="323">
        <f t="shared" si="61"/>
        <v>38</v>
      </c>
      <c r="AG266" s="334">
        <v>573</v>
      </c>
      <c r="AH266" s="338">
        <v>94</v>
      </c>
      <c r="AI266" s="326">
        <f t="shared" si="62"/>
        <v>0.5957446808510638</v>
      </c>
      <c r="AJ266" s="326">
        <f t="shared" si="63"/>
        <v>0.40425531914893614</v>
      </c>
      <c r="AK266" s="323">
        <f t="shared" si="64"/>
        <v>94</v>
      </c>
      <c r="AL266" s="324">
        <f t="shared" si="65"/>
        <v>6.095744680851064</v>
      </c>
      <c r="AM266" s="334"/>
      <c r="AN266" s="326">
        <f t="shared" si="50"/>
      </c>
      <c r="AO266" s="334">
        <f>2095427.5+1865707+650031+295029.5+57559.5+69427+8354+22014.5+2923+1680+573</f>
        <v>5068726</v>
      </c>
      <c r="AP266" s="338">
        <f>212522+189875+68849+32548+6112+10910+1695+4739+564+262+94</f>
        <v>528170</v>
      </c>
      <c r="AQ266" s="329">
        <f t="shared" si="66"/>
        <v>9.596769979362705</v>
      </c>
      <c r="AR266" s="297">
        <v>40914</v>
      </c>
      <c r="AS266" s="293"/>
      <c r="AT266" s="235"/>
    </row>
    <row r="267" spans="1:46" s="233" customFormat="1" ht="11.25" customHeight="1" hidden="1">
      <c r="A267" s="295"/>
      <c r="B267" s="236"/>
      <c r="C267" s="236" t="s">
        <v>223</v>
      </c>
      <c r="D267" s="236"/>
      <c r="E267" s="236">
        <v>3</v>
      </c>
      <c r="F267" s="236"/>
      <c r="G267" s="236"/>
      <c r="H267" s="236"/>
      <c r="I267" s="236"/>
      <c r="J267" s="366" t="s">
        <v>242</v>
      </c>
      <c r="K267" s="312" t="s">
        <v>895</v>
      </c>
      <c r="L267" s="319" t="s">
        <v>120</v>
      </c>
      <c r="M267" s="339" t="s">
        <v>241</v>
      </c>
      <c r="N267" s="370">
        <v>40767</v>
      </c>
      <c r="O267" s="288" t="s">
        <v>68</v>
      </c>
      <c r="P267" s="312">
        <v>39</v>
      </c>
      <c r="Q267" s="312">
        <v>1</v>
      </c>
      <c r="R267" s="312">
        <v>17</v>
      </c>
      <c r="S267" s="325">
        <v>0</v>
      </c>
      <c r="T267" s="355">
        <v>0</v>
      </c>
      <c r="U267" s="325">
        <v>0</v>
      </c>
      <c r="V267" s="355">
        <v>0</v>
      </c>
      <c r="W267" s="325">
        <v>0</v>
      </c>
      <c r="X267" s="355">
        <v>0</v>
      </c>
      <c r="Y267" s="334">
        <f t="shared" si="58"/>
        <v>0</v>
      </c>
      <c r="Z267" s="338">
        <f t="shared" si="59"/>
        <v>0</v>
      </c>
      <c r="AA267" s="323">
        <f t="shared" si="56"/>
      </c>
      <c r="AB267" s="324">
        <f t="shared" si="57"/>
      </c>
      <c r="AC267" s="330">
        <v>0</v>
      </c>
      <c r="AD267" s="326">
        <f t="shared" si="67"/>
      </c>
      <c r="AE267" s="327">
        <f t="shared" si="60"/>
        <v>389.5</v>
      </c>
      <c r="AF267" s="323">
        <f t="shared" si="61"/>
        <v>56</v>
      </c>
      <c r="AG267" s="328">
        <v>389.5</v>
      </c>
      <c r="AH267" s="344">
        <v>56</v>
      </c>
      <c r="AI267" s="326">
        <f t="shared" si="62"/>
        <v>0</v>
      </c>
      <c r="AJ267" s="326">
        <f t="shared" si="63"/>
        <v>1</v>
      </c>
      <c r="AK267" s="323">
        <f t="shared" si="64"/>
        <v>56</v>
      </c>
      <c r="AL267" s="324">
        <f t="shared" si="65"/>
        <v>6.955357142857143</v>
      </c>
      <c r="AM267" s="328"/>
      <c r="AN267" s="326">
        <f t="shared" si="50"/>
      </c>
      <c r="AO267" s="328">
        <f>227782+93706+36180+21819+14718.5+11547.5+9757.5+8598+8681+8538+4936.5+48+662+5495+26+1437+754.5+389.5</f>
        <v>455076</v>
      </c>
      <c r="AP267" s="344">
        <f>21125+9522+4298+2881+1947+1746+1401+1176+1202+1176+682+7+103+939+4+204+110+56</f>
        <v>48579</v>
      </c>
      <c r="AQ267" s="329">
        <f t="shared" si="66"/>
        <v>9.367751497560674</v>
      </c>
      <c r="AR267" s="297">
        <v>40914</v>
      </c>
      <c r="AS267" s="293"/>
      <c r="AT267" s="235"/>
    </row>
    <row r="268" spans="1:46" s="233" customFormat="1" ht="11.25" customHeight="1" hidden="1">
      <c r="A268" s="295"/>
      <c r="B268" s="236"/>
      <c r="C268" s="236" t="s">
        <v>223</v>
      </c>
      <c r="D268" s="236"/>
      <c r="E268" s="236"/>
      <c r="F268" s="236"/>
      <c r="G268" s="236"/>
      <c r="H268" s="236"/>
      <c r="I268" s="236"/>
      <c r="J268" s="361" t="s">
        <v>923</v>
      </c>
      <c r="K268" s="288"/>
      <c r="L268" s="288" t="s">
        <v>79</v>
      </c>
      <c r="M268" s="288" t="s">
        <v>924</v>
      </c>
      <c r="N268" s="370">
        <v>40774</v>
      </c>
      <c r="O268" s="288" t="s">
        <v>289</v>
      </c>
      <c r="P268" s="312">
        <v>7</v>
      </c>
      <c r="Q268" s="312">
        <v>1</v>
      </c>
      <c r="R268" s="312">
        <v>17</v>
      </c>
      <c r="S268" s="334">
        <v>18</v>
      </c>
      <c r="T268" s="338">
        <v>3</v>
      </c>
      <c r="U268" s="334">
        <v>91</v>
      </c>
      <c r="V268" s="338">
        <v>15</v>
      </c>
      <c r="W268" s="334">
        <v>37</v>
      </c>
      <c r="X268" s="338">
        <v>6</v>
      </c>
      <c r="Y268" s="334">
        <f t="shared" si="58"/>
        <v>146</v>
      </c>
      <c r="Z268" s="338">
        <f t="shared" si="59"/>
        <v>24</v>
      </c>
      <c r="AA268" s="323">
        <f t="shared" si="56"/>
        <v>24</v>
      </c>
      <c r="AB268" s="324">
        <f t="shared" si="57"/>
        <v>6.083333333333333</v>
      </c>
      <c r="AC268" s="334">
        <v>0</v>
      </c>
      <c r="AD268" s="326">
        <f t="shared" si="67"/>
      </c>
      <c r="AE268" s="327">
        <f t="shared" si="60"/>
        <v>180</v>
      </c>
      <c r="AF268" s="323">
        <f t="shared" si="61"/>
        <v>30</v>
      </c>
      <c r="AG268" s="334">
        <v>326</v>
      </c>
      <c r="AH268" s="338">
        <v>54</v>
      </c>
      <c r="AI268" s="326">
        <f t="shared" si="62"/>
        <v>0.4444444444444444</v>
      </c>
      <c r="AJ268" s="326">
        <f t="shared" si="63"/>
        <v>0.5555555555555556</v>
      </c>
      <c r="AK268" s="323">
        <f t="shared" si="64"/>
        <v>54</v>
      </c>
      <c r="AL268" s="324">
        <f t="shared" si="65"/>
        <v>6.037037037037037</v>
      </c>
      <c r="AM268" s="334"/>
      <c r="AN268" s="326">
        <f t="shared" si="50"/>
      </c>
      <c r="AO268" s="334">
        <v>139204</v>
      </c>
      <c r="AP268" s="338">
        <v>17398</v>
      </c>
      <c r="AQ268" s="329">
        <f t="shared" si="66"/>
        <v>8.001149557420392</v>
      </c>
      <c r="AR268" s="297">
        <v>40914</v>
      </c>
      <c r="AS268" s="293"/>
      <c r="AT268" s="235"/>
    </row>
    <row r="269" spans="1:46" s="233" customFormat="1" ht="11.25" customHeight="1" hidden="1">
      <c r="A269" s="295"/>
      <c r="B269" s="236"/>
      <c r="C269" s="236" t="s">
        <v>223</v>
      </c>
      <c r="D269" s="236"/>
      <c r="E269" s="236">
        <v>3</v>
      </c>
      <c r="F269" s="236"/>
      <c r="G269" s="236"/>
      <c r="H269" s="236"/>
      <c r="I269" s="293"/>
      <c r="J269" s="363" t="s">
        <v>154</v>
      </c>
      <c r="K269" s="312"/>
      <c r="L269" s="331" t="s">
        <v>94</v>
      </c>
      <c r="M269" s="319" t="s">
        <v>156</v>
      </c>
      <c r="N269" s="369">
        <v>40872</v>
      </c>
      <c r="O269" s="288" t="s">
        <v>52</v>
      </c>
      <c r="P269" s="331">
        <v>21</v>
      </c>
      <c r="Q269" s="331">
        <v>1</v>
      </c>
      <c r="R269" s="331">
        <v>6</v>
      </c>
      <c r="S269" s="342">
        <v>14</v>
      </c>
      <c r="T269" s="343">
        <v>2</v>
      </c>
      <c r="U269" s="342">
        <v>0</v>
      </c>
      <c r="V269" s="343">
        <v>0</v>
      </c>
      <c r="W269" s="342">
        <v>84</v>
      </c>
      <c r="X269" s="343">
        <v>12</v>
      </c>
      <c r="Y269" s="334">
        <f t="shared" si="58"/>
        <v>98</v>
      </c>
      <c r="Z269" s="338">
        <f t="shared" si="59"/>
        <v>14</v>
      </c>
      <c r="AA269" s="323">
        <f t="shared" si="56"/>
        <v>14</v>
      </c>
      <c r="AB269" s="324">
        <f t="shared" si="57"/>
        <v>7</v>
      </c>
      <c r="AC269" s="334">
        <v>0</v>
      </c>
      <c r="AD269" s="326">
        <f t="shared" si="67"/>
      </c>
      <c r="AE269" s="327">
        <f t="shared" si="60"/>
        <v>146</v>
      </c>
      <c r="AF269" s="323">
        <f t="shared" si="61"/>
        <v>22</v>
      </c>
      <c r="AG269" s="373">
        <v>244</v>
      </c>
      <c r="AH269" s="374">
        <v>36</v>
      </c>
      <c r="AI269" s="326">
        <f t="shared" si="62"/>
        <v>0.3888888888888889</v>
      </c>
      <c r="AJ269" s="326">
        <f t="shared" si="63"/>
        <v>0.6111111111111112</v>
      </c>
      <c r="AK269" s="323">
        <f t="shared" si="64"/>
        <v>36</v>
      </c>
      <c r="AL269" s="324">
        <f t="shared" si="65"/>
        <v>6.777777777777778</v>
      </c>
      <c r="AM269" s="330"/>
      <c r="AN269" s="326">
        <f t="shared" si="50"/>
      </c>
      <c r="AO269" s="373">
        <f>48871+740+512+11538+3616.5+244</f>
        <v>65521.5</v>
      </c>
      <c r="AP269" s="338">
        <f>5142+80+52+1109+459+36</f>
        <v>6878</v>
      </c>
      <c r="AQ269" s="329">
        <f t="shared" si="66"/>
        <v>9.526243093922652</v>
      </c>
      <c r="AR269" s="297">
        <v>40914</v>
      </c>
      <c r="AS269" s="293"/>
      <c r="AT269" s="235"/>
    </row>
    <row r="270" spans="1:46" s="233" customFormat="1" ht="11.25" customHeight="1" hidden="1">
      <c r="A270" s="295"/>
      <c r="B270" s="236"/>
      <c r="C270" s="236" t="s">
        <v>223</v>
      </c>
      <c r="D270" s="293"/>
      <c r="E270" s="293"/>
      <c r="F270" s="236"/>
      <c r="G270" s="293"/>
      <c r="H270" s="236"/>
      <c r="I270" s="236"/>
      <c r="J270" s="364" t="s">
        <v>919</v>
      </c>
      <c r="K270" s="340" t="s">
        <v>920</v>
      </c>
      <c r="L270" s="288" t="s">
        <v>92</v>
      </c>
      <c r="M270" s="340" t="s">
        <v>921</v>
      </c>
      <c r="N270" s="370">
        <v>40837</v>
      </c>
      <c r="O270" s="288" t="s">
        <v>10</v>
      </c>
      <c r="P270" s="331">
        <v>79</v>
      </c>
      <c r="Q270" s="331">
        <v>1</v>
      </c>
      <c r="R270" s="331">
        <v>10</v>
      </c>
      <c r="S270" s="342">
        <v>0</v>
      </c>
      <c r="T270" s="343">
        <v>0</v>
      </c>
      <c r="U270" s="342">
        <v>35</v>
      </c>
      <c r="V270" s="343">
        <v>5</v>
      </c>
      <c r="W270" s="342">
        <v>0</v>
      </c>
      <c r="X270" s="343">
        <v>0</v>
      </c>
      <c r="Y270" s="334">
        <f t="shared" si="58"/>
        <v>35</v>
      </c>
      <c r="Z270" s="338">
        <f t="shared" si="59"/>
        <v>5</v>
      </c>
      <c r="AA270" s="323">
        <f t="shared" si="56"/>
        <v>5</v>
      </c>
      <c r="AB270" s="324">
        <f t="shared" si="57"/>
        <v>7</v>
      </c>
      <c r="AC270" s="334">
        <v>0</v>
      </c>
      <c r="AD270" s="326">
        <f t="shared" si="67"/>
      </c>
      <c r="AE270" s="327">
        <f t="shared" si="60"/>
        <v>86</v>
      </c>
      <c r="AF270" s="323">
        <f t="shared" si="61"/>
        <v>13</v>
      </c>
      <c r="AG270" s="342">
        <v>121</v>
      </c>
      <c r="AH270" s="343">
        <v>18</v>
      </c>
      <c r="AI270" s="326">
        <f t="shared" si="62"/>
        <v>0.2777777777777778</v>
      </c>
      <c r="AJ270" s="326">
        <f t="shared" si="63"/>
        <v>0.7222222222222222</v>
      </c>
      <c r="AK270" s="323">
        <f t="shared" si="64"/>
        <v>18</v>
      </c>
      <c r="AL270" s="324">
        <f t="shared" si="65"/>
        <v>6.722222222222222</v>
      </c>
      <c r="AM270" s="328"/>
      <c r="AN270" s="326">
        <f t="shared" si="50"/>
      </c>
      <c r="AO270" s="342">
        <v>1094365</v>
      </c>
      <c r="AP270" s="343">
        <v>100179</v>
      </c>
      <c r="AQ270" s="329">
        <f t="shared" si="66"/>
        <v>10.924095868395572</v>
      </c>
      <c r="AR270" s="297">
        <v>40914</v>
      </c>
      <c r="AS270" s="293"/>
      <c r="AT270" s="235"/>
    </row>
    <row r="271" spans="1:46" s="233" customFormat="1" ht="11.25" customHeight="1" hidden="1">
      <c r="A271" s="295"/>
      <c r="B271" s="236"/>
      <c r="C271" s="236" t="s">
        <v>223</v>
      </c>
      <c r="D271" s="236"/>
      <c r="E271" s="236"/>
      <c r="F271" s="236"/>
      <c r="G271" s="236"/>
      <c r="H271" s="236"/>
      <c r="I271" s="236"/>
      <c r="J271" s="366" t="s">
        <v>896</v>
      </c>
      <c r="K271" s="339" t="s">
        <v>897</v>
      </c>
      <c r="L271" s="319" t="s">
        <v>120</v>
      </c>
      <c r="M271" s="339" t="s">
        <v>898</v>
      </c>
      <c r="N271" s="370">
        <v>40613</v>
      </c>
      <c r="O271" s="288" t="s">
        <v>68</v>
      </c>
      <c r="P271" s="312">
        <v>22</v>
      </c>
      <c r="Q271" s="312">
        <v>1</v>
      </c>
      <c r="R271" s="312">
        <v>18</v>
      </c>
      <c r="S271" s="325"/>
      <c r="T271" s="355"/>
      <c r="U271" s="325"/>
      <c r="V271" s="355"/>
      <c r="W271" s="325"/>
      <c r="X271" s="355"/>
      <c r="Y271" s="334">
        <f t="shared" si="58"/>
        <v>0</v>
      </c>
      <c r="Z271" s="338">
        <f t="shared" si="59"/>
        <v>0</v>
      </c>
      <c r="AA271" s="323">
        <f t="shared" si="56"/>
      </c>
      <c r="AB271" s="324">
        <f t="shared" si="57"/>
      </c>
      <c r="AC271" s="330">
        <v>0</v>
      </c>
      <c r="AD271" s="326">
        <f t="shared" si="67"/>
      </c>
      <c r="AE271" s="327">
        <f t="shared" si="60"/>
        <v>5</v>
      </c>
      <c r="AF271" s="323">
        <f t="shared" si="61"/>
        <v>1</v>
      </c>
      <c r="AG271" s="328">
        <v>5</v>
      </c>
      <c r="AH271" s="344">
        <v>1</v>
      </c>
      <c r="AI271" s="326">
        <f t="shared" si="62"/>
        <v>0</v>
      </c>
      <c r="AJ271" s="326">
        <f t="shared" si="63"/>
        <v>1</v>
      </c>
      <c r="AK271" s="323">
        <f t="shared" si="64"/>
        <v>1</v>
      </c>
      <c r="AL271" s="324">
        <f t="shared" si="65"/>
        <v>5</v>
      </c>
      <c r="AM271" s="328"/>
      <c r="AN271" s="326">
        <f t="shared" si="50"/>
      </c>
      <c r="AO271" s="328">
        <f>116753+45641.5+1507+3664+4533+723.5+456.5+2184+2545+520.5+610+1419+1872+2025.5+1249+6798+2626.5+5</f>
        <v>195133</v>
      </c>
      <c r="AP271" s="344">
        <f>8727+3759+162+393+667+140+67+296+333+73+92+210+173+255+140+905+299+1</f>
        <v>16692</v>
      </c>
      <c r="AQ271" s="329">
        <f t="shared" si="66"/>
        <v>11.690210879463216</v>
      </c>
      <c r="AR271" s="297">
        <v>40914</v>
      </c>
      <c r="AS271" s="293"/>
      <c r="AT271" s="235"/>
    </row>
    <row r="272" spans="1:46" s="233" customFormat="1" ht="11.25" customHeight="1" hidden="1">
      <c r="A272" s="295"/>
      <c r="B272" s="236"/>
      <c r="C272" s="236" t="s">
        <v>223</v>
      </c>
      <c r="D272" s="236"/>
      <c r="E272" s="236"/>
      <c r="F272" s="236"/>
      <c r="G272" s="236"/>
      <c r="H272" s="236"/>
      <c r="I272" s="236"/>
      <c r="J272" s="366" t="s">
        <v>230</v>
      </c>
      <c r="K272" s="339" t="s">
        <v>899</v>
      </c>
      <c r="L272" s="319" t="s">
        <v>235</v>
      </c>
      <c r="M272" s="339" t="s">
        <v>245</v>
      </c>
      <c r="N272" s="370">
        <v>40641</v>
      </c>
      <c r="O272" s="288" t="s">
        <v>68</v>
      </c>
      <c r="P272" s="312">
        <v>22</v>
      </c>
      <c r="Q272" s="312">
        <v>1</v>
      </c>
      <c r="R272" s="312">
        <v>21</v>
      </c>
      <c r="S272" s="325">
        <v>0</v>
      </c>
      <c r="T272" s="355">
        <v>0</v>
      </c>
      <c r="U272" s="325">
        <v>0</v>
      </c>
      <c r="V272" s="355">
        <v>0</v>
      </c>
      <c r="W272" s="325">
        <v>0</v>
      </c>
      <c r="X272" s="355">
        <v>0</v>
      </c>
      <c r="Y272" s="334">
        <f t="shared" si="58"/>
        <v>0</v>
      </c>
      <c r="Z272" s="338">
        <f t="shared" si="59"/>
        <v>0</v>
      </c>
      <c r="AA272" s="323">
        <f t="shared" si="56"/>
      </c>
      <c r="AB272" s="324">
        <f t="shared" si="57"/>
      </c>
      <c r="AC272" s="334">
        <v>0</v>
      </c>
      <c r="AD272" s="326">
        <f t="shared" si="67"/>
      </c>
      <c r="AE272" s="327">
        <f t="shared" si="60"/>
        <v>3801.5</v>
      </c>
      <c r="AF272" s="323">
        <f t="shared" si="61"/>
        <v>950</v>
      </c>
      <c r="AG272" s="328">
        <v>3801.5</v>
      </c>
      <c r="AH272" s="344">
        <v>950</v>
      </c>
      <c r="AI272" s="326">
        <f t="shared" si="62"/>
        <v>0</v>
      </c>
      <c r="AJ272" s="326">
        <f t="shared" si="63"/>
        <v>1</v>
      </c>
      <c r="AK272" s="323">
        <f t="shared" si="64"/>
        <v>950</v>
      </c>
      <c r="AL272" s="324">
        <f t="shared" si="65"/>
        <v>4.001578947368421</v>
      </c>
      <c r="AM272" s="328"/>
      <c r="AN272" s="326">
        <f aca="true" t="shared" si="68" ref="AN272:AN281">IF(AM272&lt;&gt;0,-(AM272-AG272)/AM272,"")</f>
      </c>
      <c r="AO272" s="328">
        <f>116634.25+59106.5+23134.5+13753.5+15970+8455.5+1576+1761+10125.5+2018+2376+1505+1606+4951.5+5289.5+5175+120+1367+4606+1218+3801.5</f>
        <v>284550.25</v>
      </c>
      <c r="AP272" s="344">
        <f>8833+4531+2274+1803+2249+1097+201+284+1149+305+594+210+182+582+643+704+20+163+464+300+950</f>
        <v>27538</v>
      </c>
      <c r="AQ272" s="329">
        <f t="shared" si="66"/>
        <v>10.333003486091945</v>
      </c>
      <c r="AR272" s="297">
        <v>40907</v>
      </c>
      <c r="AS272" s="293"/>
      <c r="AT272" s="235"/>
    </row>
    <row r="273" spans="1:46" s="233" customFormat="1" ht="11.25" customHeight="1" hidden="1">
      <c r="A273" s="295"/>
      <c r="B273" s="236"/>
      <c r="C273" s="236" t="s">
        <v>223</v>
      </c>
      <c r="D273" s="236"/>
      <c r="E273" s="236"/>
      <c r="F273" s="236"/>
      <c r="G273" s="236"/>
      <c r="H273" s="236"/>
      <c r="I273" s="236"/>
      <c r="J273" s="361" t="s">
        <v>217</v>
      </c>
      <c r="K273" s="288"/>
      <c r="L273" s="288" t="s">
        <v>79</v>
      </c>
      <c r="M273" s="288" t="s">
        <v>213</v>
      </c>
      <c r="N273" s="369">
        <v>40718</v>
      </c>
      <c r="O273" s="288" t="s">
        <v>289</v>
      </c>
      <c r="P273" s="312">
        <v>5</v>
      </c>
      <c r="Q273" s="312">
        <v>1</v>
      </c>
      <c r="R273" s="312">
        <v>14</v>
      </c>
      <c r="S273" s="334">
        <v>0</v>
      </c>
      <c r="T273" s="338">
        <v>0</v>
      </c>
      <c r="U273" s="334">
        <v>0</v>
      </c>
      <c r="V273" s="338">
        <v>0</v>
      </c>
      <c r="W273" s="334">
        <v>0</v>
      </c>
      <c r="X273" s="338">
        <v>0</v>
      </c>
      <c r="Y273" s="334">
        <f t="shared" si="58"/>
        <v>0</v>
      </c>
      <c r="Z273" s="338">
        <f t="shared" si="59"/>
        <v>0</v>
      </c>
      <c r="AA273" s="323">
        <f t="shared" si="56"/>
      </c>
      <c r="AB273" s="324">
        <f t="shared" si="57"/>
      </c>
      <c r="AC273" s="334">
        <v>0</v>
      </c>
      <c r="AD273" s="326">
        <f t="shared" si="67"/>
      </c>
      <c r="AE273" s="327">
        <f t="shared" si="60"/>
        <v>1188</v>
      </c>
      <c r="AF273" s="323">
        <f t="shared" si="61"/>
        <v>237</v>
      </c>
      <c r="AG273" s="334">
        <v>1188</v>
      </c>
      <c r="AH273" s="338">
        <v>237</v>
      </c>
      <c r="AI273" s="326">
        <f t="shared" si="62"/>
        <v>0</v>
      </c>
      <c r="AJ273" s="326">
        <f t="shared" si="63"/>
        <v>1</v>
      </c>
      <c r="AK273" s="323">
        <f t="shared" si="64"/>
        <v>237</v>
      </c>
      <c r="AL273" s="324">
        <f t="shared" si="65"/>
        <v>5.012658227848101</v>
      </c>
      <c r="AM273" s="334"/>
      <c r="AN273" s="326">
        <f t="shared" si="68"/>
      </c>
      <c r="AO273" s="334">
        <v>30216.25</v>
      </c>
      <c r="AP273" s="338">
        <v>3201</v>
      </c>
      <c r="AQ273" s="329">
        <f t="shared" si="66"/>
        <v>9.439628241174633</v>
      </c>
      <c r="AR273" s="297">
        <v>40907</v>
      </c>
      <c r="AS273" s="293"/>
      <c r="AT273" s="235"/>
    </row>
    <row r="274" spans="1:46" s="233" customFormat="1" ht="11.25" customHeight="1" hidden="1">
      <c r="A274" s="295"/>
      <c r="B274" s="236"/>
      <c r="C274" s="236" t="s">
        <v>223</v>
      </c>
      <c r="D274" s="236"/>
      <c r="E274" s="236"/>
      <c r="F274" s="236"/>
      <c r="G274" s="236"/>
      <c r="H274" s="236"/>
      <c r="I274" s="236"/>
      <c r="J274" s="361" t="s">
        <v>214</v>
      </c>
      <c r="K274" s="288"/>
      <c r="L274" s="288" t="s">
        <v>120</v>
      </c>
      <c r="M274" s="288" t="s">
        <v>215</v>
      </c>
      <c r="N274" s="370">
        <v>40753</v>
      </c>
      <c r="O274" s="288" t="s">
        <v>289</v>
      </c>
      <c r="P274" s="312">
        <v>3</v>
      </c>
      <c r="Q274" s="312">
        <v>1</v>
      </c>
      <c r="R274" s="312">
        <v>7</v>
      </c>
      <c r="S274" s="334">
        <v>0</v>
      </c>
      <c r="T274" s="338">
        <v>0</v>
      </c>
      <c r="U274" s="334">
        <v>0</v>
      </c>
      <c r="V274" s="338">
        <v>0</v>
      </c>
      <c r="W274" s="334">
        <v>0</v>
      </c>
      <c r="X274" s="338">
        <v>0</v>
      </c>
      <c r="Y274" s="334">
        <f t="shared" si="58"/>
        <v>0</v>
      </c>
      <c r="Z274" s="338">
        <f t="shared" si="59"/>
        <v>0</v>
      </c>
      <c r="AA274" s="323">
        <f t="shared" si="56"/>
      </c>
      <c r="AB274" s="324">
        <f t="shared" si="57"/>
      </c>
      <c r="AC274" s="334">
        <v>0</v>
      </c>
      <c r="AD274" s="326">
        <f t="shared" si="67"/>
      </c>
      <c r="AE274" s="327">
        <f t="shared" si="60"/>
        <v>1188</v>
      </c>
      <c r="AF274" s="323">
        <f t="shared" si="61"/>
        <v>237</v>
      </c>
      <c r="AG274" s="334">
        <v>1188</v>
      </c>
      <c r="AH274" s="338">
        <v>237</v>
      </c>
      <c r="AI274" s="326">
        <f t="shared" si="62"/>
        <v>0</v>
      </c>
      <c r="AJ274" s="326">
        <f t="shared" si="63"/>
        <v>1</v>
      </c>
      <c r="AK274" s="323">
        <f t="shared" si="64"/>
        <v>237</v>
      </c>
      <c r="AL274" s="324">
        <f t="shared" si="65"/>
        <v>5.012658227848101</v>
      </c>
      <c r="AM274" s="334"/>
      <c r="AN274" s="326">
        <f t="shared" si="68"/>
      </c>
      <c r="AO274" s="334">
        <v>16007.5</v>
      </c>
      <c r="AP274" s="338">
        <v>1536</v>
      </c>
      <c r="AQ274" s="329">
        <f t="shared" si="66"/>
        <v>10.421549479166666</v>
      </c>
      <c r="AR274" s="297">
        <v>40907</v>
      </c>
      <c r="AS274" s="293"/>
      <c r="AT274" s="235"/>
    </row>
    <row r="275" spans="1:46" s="233" customFormat="1" ht="11.25" customHeight="1" hidden="1">
      <c r="A275" s="295"/>
      <c r="B275" s="236"/>
      <c r="C275" s="236" t="s">
        <v>223</v>
      </c>
      <c r="D275" s="236"/>
      <c r="E275" s="236">
        <v>3</v>
      </c>
      <c r="F275" s="236"/>
      <c r="G275" s="236"/>
      <c r="H275" s="236"/>
      <c r="I275" s="236"/>
      <c r="J275" s="362" t="s">
        <v>179</v>
      </c>
      <c r="K275" s="312" t="s">
        <v>906</v>
      </c>
      <c r="L275" s="341" t="s">
        <v>907</v>
      </c>
      <c r="M275" s="341" t="s">
        <v>179</v>
      </c>
      <c r="N275" s="370">
        <v>40837</v>
      </c>
      <c r="O275" s="288" t="s">
        <v>12</v>
      </c>
      <c r="P275" s="312">
        <v>130</v>
      </c>
      <c r="Q275" s="312">
        <v>1</v>
      </c>
      <c r="R275" s="312">
        <v>10</v>
      </c>
      <c r="S275" s="350">
        <v>91</v>
      </c>
      <c r="T275" s="351">
        <v>13</v>
      </c>
      <c r="U275" s="350">
        <v>175</v>
      </c>
      <c r="V275" s="351">
        <v>25</v>
      </c>
      <c r="W275" s="350">
        <v>294</v>
      </c>
      <c r="X275" s="351">
        <v>42</v>
      </c>
      <c r="Y275" s="334">
        <f t="shared" si="58"/>
        <v>560</v>
      </c>
      <c r="Z275" s="338">
        <f t="shared" si="59"/>
        <v>80</v>
      </c>
      <c r="AA275" s="323">
        <f t="shared" si="56"/>
        <v>80</v>
      </c>
      <c r="AB275" s="324">
        <f t="shared" si="57"/>
        <v>7</v>
      </c>
      <c r="AC275" s="334">
        <v>0</v>
      </c>
      <c r="AD275" s="326">
        <f t="shared" si="67"/>
      </c>
      <c r="AE275" s="327">
        <f t="shared" si="60"/>
        <v>423</v>
      </c>
      <c r="AF275" s="323">
        <f t="shared" si="61"/>
        <v>61</v>
      </c>
      <c r="AG275" s="334">
        <v>983</v>
      </c>
      <c r="AH275" s="338">
        <v>141</v>
      </c>
      <c r="AI275" s="326">
        <f t="shared" si="62"/>
        <v>0.5673758865248227</v>
      </c>
      <c r="AJ275" s="326">
        <f t="shared" si="63"/>
        <v>0.4326241134751773</v>
      </c>
      <c r="AK275" s="323">
        <f t="shared" si="64"/>
        <v>141</v>
      </c>
      <c r="AL275" s="324">
        <f t="shared" si="65"/>
        <v>6.971631205673759</v>
      </c>
      <c r="AM275" s="334"/>
      <c r="AN275" s="326">
        <f t="shared" si="68"/>
      </c>
      <c r="AO275" s="334">
        <v>893705</v>
      </c>
      <c r="AP275" s="338">
        <v>90187</v>
      </c>
      <c r="AQ275" s="329">
        <f t="shared" si="66"/>
        <v>9.909465887544767</v>
      </c>
      <c r="AR275" s="297">
        <v>40907</v>
      </c>
      <c r="AS275" s="293"/>
      <c r="AT275" s="234"/>
    </row>
    <row r="276" spans="1:46" s="233" customFormat="1" ht="11.25" customHeight="1" hidden="1">
      <c r="A276" s="295"/>
      <c r="B276" s="236"/>
      <c r="C276" s="236" t="s">
        <v>223</v>
      </c>
      <c r="D276" s="236"/>
      <c r="E276" s="236"/>
      <c r="F276" s="236"/>
      <c r="G276" s="236"/>
      <c r="H276" s="236"/>
      <c r="I276" s="236" t="s">
        <v>54</v>
      </c>
      <c r="J276" s="366" t="s">
        <v>232</v>
      </c>
      <c r="K276" s="312" t="s">
        <v>243</v>
      </c>
      <c r="L276" s="319"/>
      <c r="M276" s="339" t="s">
        <v>232</v>
      </c>
      <c r="N276" s="369">
        <v>40095</v>
      </c>
      <c r="O276" s="288" t="s">
        <v>68</v>
      </c>
      <c r="P276" s="312">
        <v>52</v>
      </c>
      <c r="Q276" s="312">
        <v>1</v>
      </c>
      <c r="R276" s="312">
        <v>16</v>
      </c>
      <c r="S276" s="325">
        <v>0</v>
      </c>
      <c r="T276" s="355">
        <v>0</v>
      </c>
      <c r="U276" s="325">
        <v>0</v>
      </c>
      <c r="V276" s="355">
        <v>0</v>
      </c>
      <c r="W276" s="325">
        <v>0</v>
      </c>
      <c r="X276" s="355">
        <v>0</v>
      </c>
      <c r="Y276" s="334">
        <f t="shared" si="58"/>
        <v>0</v>
      </c>
      <c r="Z276" s="338">
        <f t="shared" si="59"/>
        <v>0</v>
      </c>
      <c r="AA276" s="323">
        <f t="shared" si="56"/>
      </c>
      <c r="AB276" s="324">
        <f t="shared" si="57"/>
      </c>
      <c r="AC276" s="334">
        <v>0</v>
      </c>
      <c r="AD276" s="326">
        <f t="shared" si="67"/>
      </c>
      <c r="AE276" s="327">
        <f t="shared" si="60"/>
        <v>952</v>
      </c>
      <c r="AF276" s="323">
        <f t="shared" si="61"/>
        <v>238</v>
      </c>
      <c r="AG276" s="328">
        <v>952</v>
      </c>
      <c r="AH276" s="344">
        <v>238</v>
      </c>
      <c r="AI276" s="326">
        <f t="shared" si="62"/>
        <v>0</v>
      </c>
      <c r="AJ276" s="326">
        <f t="shared" si="63"/>
        <v>1</v>
      </c>
      <c r="AK276" s="323">
        <f t="shared" si="64"/>
        <v>238</v>
      </c>
      <c r="AL276" s="324">
        <f t="shared" si="65"/>
        <v>4</v>
      </c>
      <c r="AM276" s="328"/>
      <c r="AN276" s="326">
        <f t="shared" si="68"/>
      </c>
      <c r="AO276" s="328">
        <f>108013.25+68864+27976+10214+2402+2209+1188+2968+1780+1780+2427.4+364.82+248.58+1780+1188+952</f>
        <v>234355.05</v>
      </c>
      <c r="AP276" s="344">
        <f>12202+8144+4339+1841+481+460+297+742+445+445+599+87+57+445+297+238</f>
        <v>31119</v>
      </c>
      <c r="AQ276" s="329">
        <f t="shared" si="66"/>
        <v>7.5309312638580925</v>
      </c>
      <c r="AR276" s="297">
        <v>40907</v>
      </c>
      <c r="AS276" s="293"/>
      <c r="AT276" s="234"/>
    </row>
    <row r="277" spans="1:46" s="233" customFormat="1" ht="11.25" customHeight="1" hidden="1">
      <c r="A277" s="295"/>
      <c r="B277" s="236"/>
      <c r="C277" s="236" t="s">
        <v>223</v>
      </c>
      <c r="D277" s="236"/>
      <c r="E277" s="236"/>
      <c r="F277" s="236"/>
      <c r="G277" s="236"/>
      <c r="H277" s="236"/>
      <c r="I277" s="236"/>
      <c r="J277" s="361" t="s">
        <v>218</v>
      </c>
      <c r="K277" s="288"/>
      <c r="L277" s="288" t="s">
        <v>120</v>
      </c>
      <c r="M277" s="288" t="s">
        <v>216</v>
      </c>
      <c r="N277" s="370">
        <v>40564</v>
      </c>
      <c r="O277" s="288" t="s">
        <v>289</v>
      </c>
      <c r="P277" s="312">
        <v>3</v>
      </c>
      <c r="Q277" s="312">
        <v>1</v>
      </c>
      <c r="R277" s="312">
        <v>6</v>
      </c>
      <c r="S277" s="334">
        <v>0</v>
      </c>
      <c r="T277" s="338">
        <v>0</v>
      </c>
      <c r="U277" s="334">
        <v>0</v>
      </c>
      <c r="V277" s="338">
        <v>0</v>
      </c>
      <c r="W277" s="334">
        <v>0</v>
      </c>
      <c r="X277" s="338">
        <v>0</v>
      </c>
      <c r="Y277" s="334">
        <f t="shared" si="58"/>
        <v>0</v>
      </c>
      <c r="Z277" s="338">
        <f t="shared" si="59"/>
        <v>0</v>
      </c>
      <c r="AA277" s="323">
        <f t="shared" si="56"/>
      </c>
      <c r="AB277" s="324">
        <f t="shared" si="57"/>
      </c>
      <c r="AC277" s="334">
        <v>0</v>
      </c>
      <c r="AD277" s="326">
        <f t="shared" si="67"/>
      </c>
      <c r="AE277" s="327">
        <f t="shared" si="60"/>
        <v>594</v>
      </c>
      <c r="AF277" s="323">
        <f t="shared" si="61"/>
        <v>118</v>
      </c>
      <c r="AG277" s="334">
        <v>594</v>
      </c>
      <c r="AH277" s="338">
        <v>118</v>
      </c>
      <c r="AI277" s="326">
        <f t="shared" si="62"/>
        <v>0</v>
      </c>
      <c r="AJ277" s="326">
        <f t="shared" si="63"/>
        <v>1</v>
      </c>
      <c r="AK277" s="323">
        <f t="shared" si="64"/>
        <v>118</v>
      </c>
      <c r="AL277" s="324">
        <f t="shared" si="65"/>
        <v>5.033898305084746</v>
      </c>
      <c r="AM277" s="334"/>
      <c r="AN277" s="326">
        <f t="shared" si="68"/>
      </c>
      <c r="AO277" s="334">
        <v>13140.5</v>
      </c>
      <c r="AP277" s="338">
        <v>1009</v>
      </c>
      <c r="AQ277" s="329">
        <f t="shared" si="66"/>
        <v>13.023290386521309</v>
      </c>
      <c r="AR277" s="297">
        <v>40907</v>
      </c>
      <c r="AS277" s="293"/>
      <c r="AT277" s="234"/>
    </row>
    <row r="278" spans="1:46" s="233" customFormat="1" ht="11.25" customHeight="1" hidden="1">
      <c r="A278" s="295"/>
      <c r="B278" s="293"/>
      <c r="C278" s="236" t="s">
        <v>223</v>
      </c>
      <c r="D278" s="236" t="s">
        <v>193</v>
      </c>
      <c r="E278" s="293"/>
      <c r="F278" s="236"/>
      <c r="G278" s="293"/>
      <c r="H278" s="236"/>
      <c r="I278" s="293"/>
      <c r="J278" s="364" t="s">
        <v>161</v>
      </c>
      <c r="K278" s="340" t="s">
        <v>856</v>
      </c>
      <c r="L278" s="312" t="s">
        <v>128</v>
      </c>
      <c r="M278" s="340" t="s">
        <v>164</v>
      </c>
      <c r="N278" s="370">
        <v>40837</v>
      </c>
      <c r="O278" s="288" t="s">
        <v>53</v>
      </c>
      <c r="P278" s="346">
        <v>33</v>
      </c>
      <c r="Q278" s="346">
        <v>1</v>
      </c>
      <c r="R278" s="346">
        <v>5</v>
      </c>
      <c r="S278" s="350">
        <v>0</v>
      </c>
      <c r="T278" s="351">
        <v>0</v>
      </c>
      <c r="U278" s="350">
        <v>153</v>
      </c>
      <c r="V278" s="351">
        <v>15</v>
      </c>
      <c r="W278" s="350">
        <v>358</v>
      </c>
      <c r="X278" s="351">
        <v>35</v>
      </c>
      <c r="Y278" s="334">
        <f t="shared" si="58"/>
        <v>511</v>
      </c>
      <c r="Z278" s="338">
        <f t="shared" si="59"/>
        <v>50</v>
      </c>
      <c r="AA278" s="323">
        <f t="shared" si="56"/>
        <v>50</v>
      </c>
      <c r="AB278" s="324">
        <f t="shared" si="57"/>
        <v>10.22</v>
      </c>
      <c r="AC278" s="334">
        <v>0</v>
      </c>
      <c r="AD278" s="326">
        <f t="shared" si="67"/>
      </c>
      <c r="AE278" s="327">
        <f t="shared" si="60"/>
        <v>0</v>
      </c>
      <c r="AF278" s="323">
        <f t="shared" si="61"/>
        <v>0</v>
      </c>
      <c r="AG278" s="334">
        <v>511</v>
      </c>
      <c r="AH278" s="338">
        <v>50</v>
      </c>
      <c r="AI278" s="326">
        <f t="shared" si="62"/>
        <v>1</v>
      </c>
      <c r="AJ278" s="326">
        <f t="shared" si="63"/>
        <v>0</v>
      </c>
      <c r="AK278" s="323">
        <f t="shared" si="64"/>
        <v>50</v>
      </c>
      <c r="AL278" s="324">
        <f t="shared" si="65"/>
        <v>10.22</v>
      </c>
      <c r="AM278" s="334"/>
      <c r="AN278" s="326">
        <f t="shared" si="68"/>
      </c>
      <c r="AO278" s="350">
        <v>307870</v>
      </c>
      <c r="AP278" s="351">
        <v>23173</v>
      </c>
      <c r="AQ278" s="329">
        <f t="shared" si="66"/>
        <v>13.285720450524318</v>
      </c>
      <c r="AR278" s="297">
        <v>40907</v>
      </c>
      <c r="AS278" s="293"/>
      <c r="AT278" s="234"/>
    </row>
    <row r="279" spans="1:45" s="233" customFormat="1" ht="11.25" customHeight="1" hidden="1">
      <c r="A279" s="295"/>
      <c r="B279" s="236"/>
      <c r="C279" s="236" t="s">
        <v>223</v>
      </c>
      <c r="D279" s="236" t="s">
        <v>193</v>
      </c>
      <c r="E279" s="236"/>
      <c r="F279" s="236"/>
      <c r="G279" s="236"/>
      <c r="H279" s="236" t="s">
        <v>55</v>
      </c>
      <c r="I279" s="236"/>
      <c r="J279" s="360" t="s">
        <v>141</v>
      </c>
      <c r="K279" s="312" t="s">
        <v>187</v>
      </c>
      <c r="L279" s="353" t="s">
        <v>91</v>
      </c>
      <c r="M279" s="288" t="s">
        <v>141</v>
      </c>
      <c r="N279" s="370">
        <v>40676</v>
      </c>
      <c r="O279" s="288" t="s">
        <v>12</v>
      </c>
      <c r="P279" s="312">
        <v>100</v>
      </c>
      <c r="Q279" s="312">
        <v>1</v>
      </c>
      <c r="R279" s="312">
        <v>34</v>
      </c>
      <c r="S279" s="350">
        <v>0</v>
      </c>
      <c r="T279" s="351">
        <v>0</v>
      </c>
      <c r="U279" s="350">
        <v>154</v>
      </c>
      <c r="V279" s="351">
        <v>19</v>
      </c>
      <c r="W279" s="350">
        <v>170</v>
      </c>
      <c r="X279" s="351">
        <v>21</v>
      </c>
      <c r="Y279" s="334">
        <f t="shared" si="58"/>
        <v>324</v>
      </c>
      <c r="Z279" s="338">
        <f t="shared" si="59"/>
        <v>40</v>
      </c>
      <c r="AA279" s="323">
        <f t="shared" si="56"/>
        <v>40</v>
      </c>
      <c r="AB279" s="324">
        <f t="shared" si="57"/>
        <v>8.1</v>
      </c>
      <c r="AC279" s="334">
        <v>0</v>
      </c>
      <c r="AD279" s="326">
        <f t="shared" si="67"/>
      </c>
      <c r="AE279" s="327">
        <f t="shared" si="60"/>
        <v>48</v>
      </c>
      <c r="AF279" s="323">
        <f t="shared" si="61"/>
        <v>6</v>
      </c>
      <c r="AG279" s="334">
        <v>372</v>
      </c>
      <c r="AH279" s="338">
        <v>46</v>
      </c>
      <c r="AI279" s="326">
        <f t="shared" si="62"/>
        <v>0.8695652173913043</v>
      </c>
      <c r="AJ279" s="326">
        <f t="shared" si="63"/>
        <v>0.13043478260869565</v>
      </c>
      <c r="AK279" s="323">
        <f t="shared" si="64"/>
        <v>46</v>
      </c>
      <c r="AL279" s="324">
        <f t="shared" si="65"/>
        <v>8.08695652173913</v>
      </c>
      <c r="AM279" s="334"/>
      <c r="AN279" s="326">
        <f t="shared" si="68"/>
      </c>
      <c r="AO279" s="334">
        <v>1184752</v>
      </c>
      <c r="AP279" s="338">
        <v>129821</v>
      </c>
      <c r="AQ279" s="329">
        <f t="shared" si="66"/>
        <v>9.126042781984424</v>
      </c>
      <c r="AR279" s="297">
        <v>40907</v>
      </c>
      <c r="AS279" s="293"/>
    </row>
    <row r="280" spans="1:45" s="233" customFormat="1" ht="11.25" customHeight="1" hidden="1">
      <c r="A280" s="295"/>
      <c r="B280" s="293"/>
      <c r="C280" s="236" t="s">
        <v>223</v>
      </c>
      <c r="D280" s="236"/>
      <c r="E280" s="236"/>
      <c r="F280" s="236"/>
      <c r="G280" s="236"/>
      <c r="H280" s="236"/>
      <c r="I280" s="236"/>
      <c r="J280" s="361" t="s">
        <v>219</v>
      </c>
      <c r="K280" s="288"/>
      <c r="L280" s="288" t="s">
        <v>79</v>
      </c>
      <c r="M280" s="288" t="s">
        <v>220</v>
      </c>
      <c r="N280" s="370">
        <v>40802</v>
      </c>
      <c r="O280" s="288" t="s">
        <v>289</v>
      </c>
      <c r="P280" s="312">
        <v>8</v>
      </c>
      <c r="Q280" s="312">
        <v>1</v>
      </c>
      <c r="R280" s="312">
        <v>14</v>
      </c>
      <c r="S280" s="334">
        <v>0</v>
      </c>
      <c r="T280" s="338">
        <v>0</v>
      </c>
      <c r="U280" s="334">
        <v>0</v>
      </c>
      <c r="V280" s="338">
        <v>0</v>
      </c>
      <c r="W280" s="334">
        <v>0</v>
      </c>
      <c r="X280" s="338">
        <v>0</v>
      </c>
      <c r="Y280" s="334">
        <f t="shared" si="58"/>
        <v>0</v>
      </c>
      <c r="Z280" s="338">
        <f t="shared" si="59"/>
        <v>0</v>
      </c>
      <c r="AA280" s="323">
        <f t="shared" si="56"/>
      </c>
      <c r="AB280" s="324">
        <f t="shared" si="57"/>
      </c>
      <c r="AC280" s="334">
        <v>0</v>
      </c>
      <c r="AD280" s="326">
        <f t="shared" si="67"/>
      </c>
      <c r="AE280" s="327">
        <f t="shared" si="60"/>
        <v>302.5</v>
      </c>
      <c r="AF280" s="323">
        <f t="shared" si="61"/>
        <v>67</v>
      </c>
      <c r="AG280" s="334">
        <v>302.5</v>
      </c>
      <c r="AH280" s="338">
        <v>67</v>
      </c>
      <c r="AI280" s="326">
        <f t="shared" si="62"/>
        <v>0</v>
      </c>
      <c r="AJ280" s="326">
        <f t="shared" si="63"/>
        <v>1</v>
      </c>
      <c r="AK280" s="323">
        <f t="shared" si="64"/>
        <v>67</v>
      </c>
      <c r="AL280" s="324">
        <f t="shared" si="65"/>
        <v>4.514925373134329</v>
      </c>
      <c r="AM280" s="334"/>
      <c r="AN280" s="326">
        <f t="shared" si="68"/>
      </c>
      <c r="AO280" s="334">
        <v>73390</v>
      </c>
      <c r="AP280" s="338">
        <v>8093</v>
      </c>
      <c r="AQ280" s="329">
        <f t="shared" si="66"/>
        <v>9.068330656122574</v>
      </c>
      <c r="AR280" s="297">
        <v>40907</v>
      </c>
      <c r="AS280" s="293"/>
    </row>
    <row r="281" spans="1:45" s="233" customFormat="1" ht="11.25" customHeight="1" hidden="1">
      <c r="A281" s="295"/>
      <c r="B281" s="236"/>
      <c r="C281" s="236" t="s">
        <v>223</v>
      </c>
      <c r="D281" s="236"/>
      <c r="E281" s="236"/>
      <c r="F281" s="236"/>
      <c r="G281" s="236"/>
      <c r="H281" s="236"/>
      <c r="I281" s="293"/>
      <c r="J281" s="361" t="s">
        <v>123</v>
      </c>
      <c r="K281" s="312"/>
      <c r="L281" s="331" t="s">
        <v>94</v>
      </c>
      <c r="M281" s="319" t="s">
        <v>854</v>
      </c>
      <c r="N281" s="370">
        <v>40746</v>
      </c>
      <c r="O281" s="288" t="s">
        <v>52</v>
      </c>
      <c r="P281" s="341">
        <v>23</v>
      </c>
      <c r="Q281" s="331">
        <v>1</v>
      </c>
      <c r="R281" s="331">
        <v>18</v>
      </c>
      <c r="S281" s="328">
        <v>12</v>
      </c>
      <c r="T281" s="344">
        <v>2</v>
      </c>
      <c r="U281" s="328">
        <v>24</v>
      </c>
      <c r="V281" s="344">
        <v>4</v>
      </c>
      <c r="W281" s="328">
        <v>0</v>
      </c>
      <c r="X281" s="344">
        <v>0</v>
      </c>
      <c r="Y281" s="334">
        <f t="shared" si="58"/>
        <v>36</v>
      </c>
      <c r="Z281" s="338">
        <f t="shared" si="59"/>
        <v>6</v>
      </c>
      <c r="AA281" s="323">
        <f t="shared" si="56"/>
        <v>6</v>
      </c>
      <c r="AB281" s="324">
        <f t="shared" si="57"/>
        <v>6</v>
      </c>
      <c r="AC281" s="334">
        <v>0</v>
      </c>
      <c r="AD281" s="326">
        <f t="shared" si="67"/>
      </c>
      <c r="AE281" s="327">
        <f t="shared" si="60"/>
        <v>0</v>
      </c>
      <c r="AF281" s="323">
        <f t="shared" si="61"/>
        <v>0</v>
      </c>
      <c r="AG281" s="373">
        <v>36</v>
      </c>
      <c r="AH281" s="374">
        <v>6</v>
      </c>
      <c r="AI281" s="326">
        <f t="shared" si="62"/>
        <v>1</v>
      </c>
      <c r="AJ281" s="326">
        <f t="shared" si="63"/>
        <v>0</v>
      </c>
      <c r="AK281" s="323">
        <f t="shared" si="64"/>
        <v>6</v>
      </c>
      <c r="AL281" s="324">
        <f t="shared" si="65"/>
        <v>6</v>
      </c>
      <c r="AM281" s="330"/>
      <c r="AN281" s="326">
        <f t="shared" si="68"/>
      </c>
      <c r="AO281" s="373">
        <f>47685+27229.5+17697.5+18612+19593.5+16691+6089.5+2551.5+2254+4358+2609+1310+356+168+150+121+69+36</f>
        <v>167580.5</v>
      </c>
      <c r="AP281" s="338">
        <f>4321+2419+2108+2430+2448+2072+892+397+346+639+377+205+49+24+23+19+11+6</f>
        <v>18786</v>
      </c>
      <c r="AQ281" s="329">
        <f t="shared" si="66"/>
        <v>8.920499307995316</v>
      </c>
      <c r="AR281" s="297">
        <v>40907</v>
      </c>
      <c r="AS281" s="293"/>
    </row>
    <row r="282" spans="1:45" s="233" customFormat="1" ht="17.25">
      <c r="A282" s="296"/>
      <c r="B282" s="294"/>
      <c r="C282" s="294"/>
      <c r="D282" s="294"/>
      <c r="E282" s="294"/>
      <c r="F282" s="294"/>
      <c r="G282" s="294"/>
      <c r="H282" s="294"/>
      <c r="I282" s="293"/>
      <c r="J282" s="237"/>
      <c r="K282" s="238"/>
      <c r="L282" s="238"/>
      <c r="M282" s="238"/>
      <c r="N282" s="239"/>
      <c r="O282" s="240"/>
      <c r="P282" s="241"/>
      <c r="Q282" s="241"/>
      <c r="R282" s="241"/>
      <c r="S282" s="242"/>
      <c r="T282" s="243"/>
      <c r="U282" s="242"/>
      <c r="V282" s="243"/>
      <c r="W282" s="242"/>
      <c r="X282" s="243"/>
      <c r="Y282" s="244"/>
      <c r="Z282" s="245"/>
      <c r="AA282" s="246"/>
      <c r="AB282" s="247"/>
      <c r="AC282" s="248"/>
      <c r="AD282" s="249"/>
      <c r="AE282" s="247"/>
      <c r="AF282" s="246"/>
      <c r="AG282" s="274"/>
      <c r="AH282" s="275"/>
      <c r="AI282" s="250"/>
      <c r="AJ282" s="250"/>
      <c r="AK282" s="251"/>
      <c r="AL282" s="252"/>
      <c r="AM282" s="252"/>
      <c r="AN282" s="252"/>
      <c r="AO282" s="253"/>
      <c r="AP282" s="253"/>
      <c r="AQ282" s="252"/>
      <c r="AR282" s="254"/>
      <c r="AS282" s="255"/>
    </row>
    <row r="283" spans="1:45" s="276" customFormat="1" ht="12.75">
      <c r="A283" s="575" t="s">
        <v>205</v>
      </c>
      <c r="B283" s="575"/>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5"/>
      <c r="AL283" s="575"/>
      <c r="AM283" s="575"/>
      <c r="AN283" s="575"/>
      <c r="AO283" s="575"/>
      <c r="AP283" s="575"/>
      <c r="AQ283" s="575"/>
      <c r="AR283" s="575"/>
      <c r="AS283" s="575"/>
    </row>
    <row r="284" spans="1:45" s="276" customFormat="1" ht="12.75">
      <c r="A284" s="575"/>
      <c r="B284" s="575"/>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5"/>
      <c r="AL284" s="575"/>
      <c r="AM284" s="575"/>
      <c r="AN284" s="575"/>
      <c r="AO284" s="575"/>
      <c r="AP284" s="575"/>
      <c r="AQ284" s="575"/>
      <c r="AR284" s="575"/>
      <c r="AS284" s="575"/>
    </row>
    <row r="285" spans="1:45" s="276" customFormat="1" ht="12.75">
      <c r="A285" s="575"/>
      <c r="B285" s="575"/>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5"/>
      <c r="AL285" s="575"/>
      <c r="AM285" s="575"/>
      <c r="AN285" s="575"/>
      <c r="AO285" s="575"/>
      <c r="AP285" s="575"/>
      <c r="AQ285" s="575"/>
      <c r="AR285" s="575"/>
      <c r="AS285" s="575"/>
    </row>
    <row r="286" spans="1:45" s="276" customFormat="1" ht="12.75">
      <c r="A286" s="575"/>
      <c r="B286" s="575"/>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5"/>
      <c r="AL286" s="575"/>
      <c r="AM286" s="575"/>
      <c r="AN286" s="575"/>
      <c r="AO286" s="575"/>
      <c r="AP286" s="575"/>
      <c r="AQ286" s="575"/>
      <c r="AR286" s="575"/>
      <c r="AS286" s="575"/>
    </row>
    <row r="287" spans="1:45" s="276" customFormat="1" ht="12.75">
      <c r="A287" s="575"/>
      <c r="B287" s="575"/>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5"/>
      <c r="AL287" s="575"/>
      <c r="AM287" s="575"/>
      <c r="AN287" s="575"/>
      <c r="AO287" s="575"/>
      <c r="AP287" s="575"/>
      <c r="AQ287" s="575"/>
      <c r="AR287" s="575"/>
      <c r="AS287" s="575"/>
    </row>
    <row r="288" spans="1:45" s="276" customFormat="1" ht="12.75">
      <c r="A288" s="575"/>
      <c r="B288" s="575"/>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5"/>
      <c r="AL288" s="575"/>
      <c r="AM288" s="575"/>
      <c r="AN288" s="575"/>
      <c r="AO288" s="575"/>
      <c r="AP288" s="575"/>
      <c r="AQ288" s="575"/>
      <c r="AR288" s="575"/>
      <c r="AS288" s="575"/>
    </row>
    <row r="289" spans="2:10" ht="18">
      <c r="B289" s="568" t="s">
        <v>252</v>
      </c>
      <c r="C289" s="568"/>
      <c r="D289" s="568"/>
      <c r="E289" s="568"/>
      <c r="F289" s="568"/>
      <c r="G289" s="568"/>
      <c r="H289" s="568"/>
      <c r="I289" s="568"/>
      <c r="J289" s="568"/>
    </row>
    <row r="290" spans="2:10" ht="18">
      <c r="B290" s="236" t="s">
        <v>56</v>
      </c>
      <c r="C290" s="567" t="s">
        <v>238</v>
      </c>
      <c r="D290" s="574"/>
      <c r="E290" s="574"/>
      <c r="F290" s="574"/>
      <c r="G290" s="574"/>
      <c r="H290" s="574"/>
      <c r="I290" s="574"/>
      <c r="J290" s="574"/>
    </row>
    <row r="291" spans="2:10" ht="18">
      <c r="B291" s="236" t="s">
        <v>223</v>
      </c>
      <c r="C291" s="567" t="s">
        <v>224</v>
      </c>
      <c r="D291" s="567"/>
      <c r="E291" s="567"/>
      <c r="F291" s="567"/>
      <c r="G291" s="567"/>
      <c r="H291" s="567"/>
      <c r="I291" s="567"/>
      <c r="J291" s="567"/>
    </row>
    <row r="292" spans="2:10" ht="18">
      <c r="B292" s="236" t="s">
        <v>193</v>
      </c>
      <c r="C292" s="567" t="s">
        <v>237</v>
      </c>
      <c r="D292" s="574"/>
      <c r="E292" s="574"/>
      <c r="F292" s="574"/>
      <c r="G292" s="574"/>
      <c r="H292" s="574"/>
      <c r="I292" s="574"/>
      <c r="J292" s="574"/>
    </row>
    <row r="293" spans="2:10" ht="18">
      <c r="B293" s="236">
        <v>3</v>
      </c>
      <c r="C293" s="567" t="s">
        <v>227</v>
      </c>
      <c r="D293" s="567"/>
      <c r="E293" s="567"/>
      <c r="F293" s="567"/>
      <c r="G293" s="567"/>
      <c r="H293" s="567"/>
      <c r="I293" s="567"/>
      <c r="J293" s="567"/>
    </row>
    <row r="294" spans="2:10" ht="18">
      <c r="B294" s="236">
        <v>2</v>
      </c>
      <c r="C294" s="567" t="s">
        <v>263</v>
      </c>
      <c r="D294" s="567"/>
      <c r="E294" s="567"/>
      <c r="F294" s="567"/>
      <c r="G294" s="567"/>
      <c r="H294" s="567"/>
      <c r="I294" s="567"/>
      <c r="J294" s="567"/>
    </row>
    <row r="295" spans="2:10" ht="18">
      <c r="B295" s="236" t="s">
        <v>250</v>
      </c>
      <c r="C295" s="567" t="s">
        <v>251</v>
      </c>
      <c r="D295" s="567"/>
      <c r="E295" s="567"/>
      <c r="F295" s="567"/>
      <c r="G295" s="567"/>
      <c r="H295" s="567"/>
      <c r="I295" s="567"/>
      <c r="J295" s="567"/>
    </row>
    <row r="296" spans="2:10" ht="18">
      <c r="B296" s="236" t="s">
        <v>55</v>
      </c>
      <c r="C296" s="567" t="s">
        <v>225</v>
      </c>
      <c r="D296" s="567"/>
      <c r="E296" s="567"/>
      <c r="F296" s="567"/>
      <c r="G296" s="567"/>
      <c r="H296" s="567"/>
      <c r="I296" s="567"/>
      <c r="J296" s="567"/>
    </row>
    <row r="297" spans="2:10" ht="18">
      <c r="B297" s="236" t="s">
        <v>54</v>
      </c>
      <c r="C297" s="567" t="s">
        <v>226</v>
      </c>
      <c r="D297" s="567"/>
      <c r="E297" s="567"/>
      <c r="F297" s="567"/>
      <c r="G297" s="567"/>
      <c r="H297" s="567"/>
      <c r="I297" s="567"/>
      <c r="J297" s="567"/>
    </row>
  </sheetData>
  <sheetProtection formatCells="0" formatColumns="0" formatRows="0" insertColumns="0" insertRows="0" insertHyperlinks="0" deleteColumns="0" deleteRows="0" sort="0" autoFilter="0" pivotTables="0"/>
  <mergeCells count="47">
    <mergeCell ref="C297:J297"/>
    <mergeCell ref="C293:J293"/>
    <mergeCell ref="C292:J292"/>
    <mergeCell ref="A283:AS288"/>
    <mergeCell ref="AO3:AS3"/>
    <mergeCell ref="C290:J290"/>
    <mergeCell ref="U4:V4"/>
    <mergeCell ref="W4:X4"/>
    <mergeCell ref="Y4:Z4"/>
    <mergeCell ref="AA4:AB4"/>
    <mergeCell ref="AO2:AP2"/>
    <mergeCell ref="Y2:AD2"/>
    <mergeCell ref="K2:M2"/>
    <mergeCell ref="W6:X6"/>
    <mergeCell ref="C296:J296"/>
    <mergeCell ref="Y6:Z6"/>
    <mergeCell ref="J3:P3"/>
    <mergeCell ref="Q3:R3"/>
    <mergeCell ref="S3:AD3"/>
    <mergeCell ref="S4:T4"/>
    <mergeCell ref="AC4:AD4"/>
    <mergeCell ref="AI6:AJ6"/>
    <mergeCell ref="AG4:AH4"/>
    <mergeCell ref="AK6:AL6"/>
    <mergeCell ref="AI4:AJ4"/>
    <mergeCell ref="AG3:AH3"/>
    <mergeCell ref="AI3:AJ3"/>
    <mergeCell ref="S6:T6"/>
    <mergeCell ref="U6:V6"/>
    <mergeCell ref="AQ2:AS2"/>
    <mergeCell ref="AA6:AB6"/>
    <mergeCell ref="AC6:AD6"/>
    <mergeCell ref="AE4:AF4"/>
    <mergeCell ref="AE3:AF3"/>
    <mergeCell ref="AK3:AL3"/>
    <mergeCell ref="AM4:AN4"/>
    <mergeCell ref="AK4:AL4"/>
    <mergeCell ref="K1:R1"/>
    <mergeCell ref="S1:AS1"/>
    <mergeCell ref="B7:I7"/>
    <mergeCell ref="B6:I6"/>
    <mergeCell ref="C295:J295"/>
    <mergeCell ref="B289:J289"/>
    <mergeCell ref="C294:J294"/>
    <mergeCell ref="AO4:AP4"/>
    <mergeCell ref="AM6:AN6"/>
    <mergeCell ref="C291:J291"/>
  </mergeCells>
  <hyperlinks>
    <hyperlink ref="J2" r:id="rId1" display="http://www.antraktsinema.com"/>
  </hyperlinks>
  <printOptions/>
  <pageMargins left="0.3" right="0.13" top="0.18" bottom="0.21" header="0.13" footer="0.16"/>
  <pageSetup orientation="landscape" paperSize="9" scale="40" r:id="rId3"/>
  <ignoredErrors>
    <ignoredError sqref="A10:A90 A8:A9 AS11:AS48 AS50:AS52 AS55:AS59 AS61 AS63:AS65 AS69:AS72 AS75:AS78 AS80:AS84 AS88:AS90" numberStoredAsText="1"/>
    <ignoredError sqref="AO14:AP19 AO21:AP33 AO35:AP51 AO53:AP90 AP52" unlockedFormula="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F36"/>
  <sheetViews>
    <sheetView zoomScalePageLayoutView="0" workbookViewId="0" topLeftCell="A1">
      <pane ySplit="11" topLeftCell="A12" activePane="bottomLeft" state="frozen"/>
      <selection pane="topLeft" activeCell="A1" sqref="A1"/>
      <selection pane="bottomLeft" activeCell="A4" sqref="A4:D5"/>
    </sheetView>
  </sheetViews>
  <sheetFormatPr defaultColWidth="4.421875" defaultRowHeight="12.75"/>
  <cols>
    <col min="1" max="1" width="3.28125" style="11" bestFit="1" customWidth="1"/>
    <col min="2" max="2" width="38.140625" style="12" bestFit="1" customWidth="1"/>
    <col min="3" max="3" width="19.140625" style="12" bestFit="1" customWidth="1"/>
    <col min="4" max="4" width="23.8515625" style="12" bestFit="1" customWidth="1"/>
    <col min="5" max="5" width="13.140625" style="13" bestFit="1" customWidth="1"/>
    <col min="6" max="6" width="8.421875" style="14" bestFit="1" customWidth="1"/>
    <col min="7" max="16384" width="4.421875" style="12" customWidth="1"/>
  </cols>
  <sheetData>
    <row r="1" spans="1:6" s="2" customFormat="1" ht="35.25" customHeight="1" thickBot="1">
      <c r="A1" s="592" t="s">
        <v>47</v>
      </c>
      <c r="B1" s="593"/>
      <c r="C1" s="593"/>
      <c r="D1" s="593"/>
      <c r="E1" s="585">
        <v>20</v>
      </c>
      <c r="F1" s="585"/>
    </row>
    <row r="2" spans="1:6" s="2" customFormat="1" ht="24" customHeight="1">
      <c r="A2" s="594" t="s">
        <v>48</v>
      </c>
      <c r="B2" s="595"/>
      <c r="C2" s="595"/>
      <c r="D2" s="595"/>
      <c r="E2" s="586"/>
      <c r="F2" s="586"/>
    </row>
    <row r="3" spans="1:6" s="2" customFormat="1" ht="27" thickBot="1">
      <c r="A3" s="596" t="s">
        <v>46</v>
      </c>
      <c r="B3" s="597"/>
      <c r="C3" s="597"/>
      <c r="D3" s="597"/>
      <c r="E3" s="587"/>
      <c r="F3" s="587"/>
    </row>
    <row r="4" spans="1:6" s="2" customFormat="1" ht="32.25" customHeight="1">
      <c r="A4" s="598" t="s">
        <v>848</v>
      </c>
      <c r="B4" s="599"/>
      <c r="C4" s="599"/>
      <c r="D4" s="599"/>
      <c r="E4" s="3"/>
      <c r="F4" s="3"/>
    </row>
    <row r="5" spans="1:6" s="2" customFormat="1" ht="33" customHeight="1" thickBot="1">
      <c r="A5" s="600"/>
      <c r="B5" s="600"/>
      <c r="C5" s="600"/>
      <c r="D5" s="600"/>
      <c r="E5" s="4"/>
      <c r="F5" s="4"/>
    </row>
    <row r="6" spans="1:6" s="5" customFormat="1" ht="15.75" customHeight="1" thickBot="1">
      <c r="A6" s="15"/>
      <c r="B6" s="601" t="s">
        <v>206</v>
      </c>
      <c r="C6" s="601"/>
      <c r="D6" s="601"/>
      <c r="E6" s="601"/>
      <c r="F6" s="602"/>
    </row>
    <row r="7" spans="1:6" s="6" customFormat="1" ht="12.75" customHeight="1">
      <c r="A7" s="16"/>
      <c r="B7" s="1"/>
      <c r="C7" s="1"/>
      <c r="D7" s="1"/>
      <c r="E7" s="590" t="s">
        <v>11</v>
      </c>
      <c r="F7" s="591"/>
    </row>
    <row r="8" spans="1:6" s="6" customFormat="1" ht="13.5" thickBot="1">
      <c r="A8" s="17"/>
      <c r="B8" s="8" t="s">
        <v>9</v>
      </c>
      <c r="C8" s="18" t="s">
        <v>76</v>
      </c>
      <c r="D8" s="18" t="s">
        <v>62</v>
      </c>
      <c r="E8" s="7" t="s">
        <v>7</v>
      </c>
      <c r="F8" s="49" t="s">
        <v>6</v>
      </c>
    </row>
    <row r="9" spans="1:6" s="9" customFormat="1" ht="12.75" customHeight="1">
      <c r="A9" s="19"/>
      <c r="B9" s="23"/>
      <c r="C9" s="24"/>
      <c r="D9" s="24"/>
      <c r="E9" s="588" t="s">
        <v>43</v>
      </c>
      <c r="F9" s="589"/>
    </row>
    <row r="10" spans="1:6" s="9" customFormat="1" ht="13.5" thickBot="1">
      <c r="A10" s="20"/>
      <c r="B10" s="8" t="s">
        <v>21</v>
      </c>
      <c r="C10" s="18" t="s">
        <v>75</v>
      </c>
      <c r="D10" s="18" t="s">
        <v>63</v>
      </c>
      <c r="E10" s="7" t="s">
        <v>38</v>
      </c>
      <c r="F10" s="49" t="s">
        <v>35</v>
      </c>
    </row>
    <row r="11" spans="1:6" s="10" customFormat="1" ht="13.5" customHeight="1">
      <c r="A11" s="46">
        <v>1</v>
      </c>
      <c r="B11" s="65" t="s">
        <v>825</v>
      </c>
      <c r="C11" s="53" t="s">
        <v>90</v>
      </c>
      <c r="D11" s="66" t="s">
        <v>777</v>
      </c>
      <c r="E11" s="47">
        <v>1168245</v>
      </c>
      <c r="F11" s="48">
        <v>95571</v>
      </c>
    </row>
    <row r="12" spans="1:6" s="10" customFormat="1" ht="13.5" customHeight="1">
      <c r="A12" s="25">
        <v>2</v>
      </c>
      <c r="B12" s="64" t="s">
        <v>837</v>
      </c>
      <c r="C12" s="56"/>
      <c r="D12" s="57" t="s">
        <v>838</v>
      </c>
      <c r="E12" s="21">
        <v>288907</v>
      </c>
      <c r="F12" s="27">
        <v>23308</v>
      </c>
    </row>
    <row r="13" spans="1:6" s="10" customFormat="1" ht="13.5" customHeight="1">
      <c r="A13" s="25">
        <v>3</v>
      </c>
      <c r="B13" s="60" t="s">
        <v>839</v>
      </c>
      <c r="C13" s="55"/>
      <c r="D13" s="55" t="s">
        <v>840</v>
      </c>
      <c r="E13" s="21">
        <v>121414.5</v>
      </c>
      <c r="F13" s="27">
        <v>9535</v>
      </c>
    </row>
    <row r="14" spans="1:6" s="10" customFormat="1" ht="13.5" customHeight="1">
      <c r="A14" s="25">
        <v>4</v>
      </c>
      <c r="B14" s="64" t="s">
        <v>729</v>
      </c>
      <c r="C14" s="56" t="s">
        <v>83</v>
      </c>
      <c r="D14" s="57" t="s">
        <v>729</v>
      </c>
      <c r="E14" s="21">
        <v>117020</v>
      </c>
      <c r="F14" s="27">
        <v>11890</v>
      </c>
    </row>
    <row r="15" spans="1:6" s="10" customFormat="1" ht="13.5" customHeight="1">
      <c r="A15" s="25">
        <v>5</v>
      </c>
      <c r="B15" s="63" t="s">
        <v>761</v>
      </c>
      <c r="C15" s="58"/>
      <c r="D15" s="58" t="s">
        <v>763</v>
      </c>
      <c r="E15" s="21">
        <v>91090</v>
      </c>
      <c r="F15" s="27">
        <v>8607</v>
      </c>
    </row>
    <row r="16" spans="1:6" s="10" customFormat="1" ht="13.5" customHeight="1">
      <c r="A16" s="25">
        <v>6</v>
      </c>
      <c r="B16" s="62" t="s">
        <v>783</v>
      </c>
      <c r="C16" s="54" t="s">
        <v>781</v>
      </c>
      <c r="D16" s="58" t="s">
        <v>779</v>
      </c>
      <c r="E16" s="21">
        <v>63595</v>
      </c>
      <c r="F16" s="27">
        <v>6085</v>
      </c>
    </row>
    <row r="17" spans="1:6" s="10" customFormat="1" ht="13.5" customHeight="1">
      <c r="A17" s="25">
        <v>7</v>
      </c>
      <c r="B17" s="63" t="s">
        <v>844</v>
      </c>
      <c r="C17" s="58" t="s">
        <v>847</v>
      </c>
      <c r="D17" s="58" t="s">
        <v>845</v>
      </c>
      <c r="E17" s="21">
        <v>61871</v>
      </c>
      <c r="F17" s="27">
        <v>4601</v>
      </c>
    </row>
    <row r="18" spans="1:6" s="10" customFormat="1" ht="13.5" customHeight="1">
      <c r="A18" s="25">
        <v>8</v>
      </c>
      <c r="B18" s="60" t="s">
        <v>772</v>
      </c>
      <c r="C18" s="56"/>
      <c r="D18" s="55" t="s">
        <v>773</v>
      </c>
      <c r="E18" s="21">
        <v>56919</v>
      </c>
      <c r="F18" s="27">
        <v>5191</v>
      </c>
    </row>
    <row r="19" spans="1:6" s="10" customFormat="1" ht="13.5" customHeight="1">
      <c r="A19" s="25">
        <v>9</v>
      </c>
      <c r="B19" s="62" t="s">
        <v>651</v>
      </c>
      <c r="C19" s="54"/>
      <c r="D19" s="58" t="s">
        <v>649</v>
      </c>
      <c r="E19" s="21">
        <v>52462</v>
      </c>
      <c r="F19" s="27">
        <v>6452</v>
      </c>
    </row>
    <row r="20" spans="1:6" s="10" customFormat="1" ht="13.5" customHeight="1">
      <c r="A20" s="25">
        <v>10</v>
      </c>
      <c r="B20" s="225" t="s">
        <v>842</v>
      </c>
      <c r="C20" s="226" t="s">
        <v>843</v>
      </c>
      <c r="D20" s="227" t="s">
        <v>842</v>
      </c>
      <c r="E20" s="21">
        <v>45841.36</v>
      </c>
      <c r="F20" s="27">
        <v>4995</v>
      </c>
    </row>
    <row r="21" spans="1:6" s="10" customFormat="1" ht="13.5" customHeight="1">
      <c r="A21" s="25">
        <v>11</v>
      </c>
      <c r="B21" s="64" t="s">
        <v>687</v>
      </c>
      <c r="C21" s="55"/>
      <c r="D21" s="57" t="s">
        <v>688</v>
      </c>
      <c r="E21" s="21">
        <v>33018</v>
      </c>
      <c r="F21" s="27">
        <v>3718</v>
      </c>
    </row>
    <row r="22" spans="1:6" s="10" customFormat="1" ht="13.5" customHeight="1">
      <c r="A22" s="25">
        <v>12</v>
      </c>
      <c r="B22" s="64" t="s">
        <v>752</v>
      </c>
      <c r="C22" s="55"/>
      <c r="D22" s="57" t="s">
        <v>753</v>
      </c>
      <c r="E22" s="21">
        <v>32391</v>
      </c>
      <c r="F22" s="27">
        <v>3324</v>
      </c>
    </row>
    <row r="23" spans="1:6" s="10" customFormat="1" ht="13.5" customHeight="1">
      <c r="A23" s="25">
        <v>13</v>
      </c>
      <c r="B23" s="61" t="s">
        <v>714</v>
      </c>
      <c r="C23" s="56"/>
      <c r="D23" s="59" t="s">
        <v>715</v>
      </c>
      <c r="E23" s="21">
        <v>32326</v>
      </c>
      <c r="F23" s="27">
        <v>4188</v>
      </c>
    </row>
    <row r="24" spans="1:6" s="10" customFormat="1" ht="13.5" customHeight="1">
      <c r="A24" s="25">
        <v>14</v>
      </c>
      <c r="B24" s="228" t="s">
        <v>833</v>
      </c>
      <c r="C24" s="229" t="s">
        <v>834</v>
      </c>
      <c r="D24" s="230" t="s">
        <v>833</v>
      </c>
      <c r="E24" s="21">
        <v>25903.79</v>
      </c>
      <c r="F24" s="27">
        <v>2518</v>
      </c>
    </row>
    <row r="25" spans="1:6" s="10" customFormat="1" ht="13.5" customHeight="1">
      <c r="A25" s="25">
        <v>15</v>
      </c>
      <c r="B25" s="228" t="s">
        <v>775</v>
      </c>
      <c r="C25" s="229" t="s">
        <v>776</v>
      </c>
      <c r="D25" s="230" t="s">
        <v>775</v>
      </c>
      <c r="E25" s="21">
        <v>21734</v>
      </c>
      <c r="F25" s="27">
        <v>2402</v>
      </c>
    </row>
    <row r="26" spans="1:6" s="10" customFormat="1" ht="13.5" customHeight="1">
      <c r="A26" s="25">
        <v>16</v>
      </c>
      <c r="B26" s="63" t="s">
        <v>758</v>
      </c>
      <c r="C26" s="58"/>
      <c r="D26" s="58" t="s">
        <v>760</v>
      </c>
      <c r="E26" s="21">
        <v>20661</v>
      </c>
      <c r="F26" s="27">
        <v>1870</v>
      </c>
    </row>
    <row r="27" spans="1:6" s="10" customFormat="1" ht="13.5" customHeight="1">
      <c r="A27" s="25">
        <v>17</v>
      </c>
      <c r="B27" s="61" t="s">
        <v>712</v>
      </c>
      <c r="C27" s="56"/>
      <c r="D27" s="59" t="s">
        <v>713</v>
      </c>
      <c r="E27" s="21">
        <v>17647</v>
      </c>
      <c r="F27" s="27">
        <v>2273</v>
      </c>
    </row>
    <row r="28" spans="1:6" s="10" customFormat="1" ht="13.5" customHeight="1">
      <c r="A28" s="25">
        <v>18</v>
      </c>
      <c r="B28" s="62" t="s">
        <v>735</v>
      </c>
      <c r="C28" s="54" t="s">
        <v>121</v>
      </c>
      <c r="D28" s="58" t="s">
        <v>736</v>
      </c>
      <c r="E28" s="21">
        <v>16584</v>
      </c>
      <c r="F28" s="27">
        <v>2030</v>
      </c>
    </row>
    <row r="29" spans="1:6" s="10" customFormat="1" ht="13.5" customHeight="1">
      <c r="A29" s="25">
        <v>19</v>
      </c>
      <c r="B29" s="228" t="s">
        <v>778</v>
      </c>
      <c r="C29" s="229" t="s">
        <v>780</v>
      </c>
      <c r="D29" s="230" t="s">
        <v>778</v>
      </c>
      <c r="E29" s="21">
        <v>14412.5</v>
      </c>
      <c r="F29" s="27">
        <v>1446</v>
      </c>
    </row>
    <row r="30" spans="1:6" s="10" customFormat="1" ht="13.5" customHeight="1" thickBot="1">
      <c r="A30" s="26">
        <v>20</v>
      </c>
      <c r="B30" s="231" t="s">
        <v>836</v>
      </c>
      <c r="C30" s="227" t="s">
        <v>835</v>
      </c>
      <c r="D30" s="227" t="s">
        <v>836</v>
      </c>
      <c r="E30" s="22">
        <v>14290</v>
      </c>
      <c r="F30" s="28">
        <v>1120</v>
      </c>
    </row>
    <row r="31" spans="1:6" ht="18">
      <c r="A31" s="576" t="s">
        <v>14</v>
      </c>
      <c r="B31" s="577"/>
      <c r="C31" s="577"/>
      <c r="D31" s="577"/>
      <c r="E31" s="577"/>
      <c r="F31" s="578"/>
    </row>
    <row r="32" spans="1:6" ht="18">
      <c r="A32" s="579"/>
      <c r="B32" s="580"/>
      <c r="C32" s="580"/>
      <c r="D32" s="580"/>
      <c r="E32" s="580"/>
      <c r="F32" s="581"/>
    </row>
    <row r="33" spans="1:6" ht="18">
      <c r="A33" s="579"/>
      <c r="B33" s="580"/>
      <c r="C33" s="580"/>
      <c r="D33" s="580"/>
      <c r="E33" s="580"/>
      <c r="F33" s="581"/>
    </row>
    <row r="34" spans="1:6" ht="18">
      <c r="A34" s="579"/>
      <c r="B34" s="580"/>
      <c r="C34" s="580"/>
      <c r="D34" s="580"/>
      <c r="E34" s="580"/>
      <c r="F34" s="581"/>
    </row>
    <row r="35" spans="1:6" ht="18">
      <c r="A35" s="579"/>
      <c r="B35" s="580"/>
      <c r="C35" s="580"/>
      <c r="D35" s="580"/>
      <c r="E35" s="580"/>
      <c r="F35" s="581"/>
    </row>
    <row r="36" spans="1:6" ht="18.75" thickBot="1">
      <c r="A36" s="582"/>
      <c r="B36" s="583"/>
      <c r="C36" s="583"/>
      <c r="D36" s="583"/>
      <c r="E36" s="583"/>
      <c r="F36" s="584"/>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tabColor rgb="FFFF0000"/>
  </sheetPr>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38.140625" style="12" bestFit="1" customWidth="1"/>
    <col min="3" max="3" width="18.421875" style="12" bestFit="1" customWidth="1"/>
    <col min="4" max="4" width="27.8515625" style="12" bestFit="1" customWidth="1"/>
    <col min="5" max="5" width="13.140625" style="13" bestFit="1" customWidth="1"/>
    <col min="6" max="6" width="8.421875" style="14" bestFit="1" customWidth="1"/>
    <col min="7" max="16384" width="4.421875" style="12" customWidth="1"/>
  </cols>
  <sheetData>
    <row r="1" spans="1:6" s="2" customFormat="1" ht="35.25" customHeight="1" thickBot="1">
      <c r="A1" s="592" t="s">
        <v>262</v>
      </c>
      <c r="B1" s="593"/>
      <c r="C1" s="593"/>
      <c r="D1" s="593"/>
      <c r="E1" s="604">
        <v>20</v>
      </c>
      <c r="F1" s="604"/>
    </row>
    <row r="2" spans="1:6" s="2" customFormat="1" ht="24" customHeight="1">
      <c r="A2" s="594" t="s">
        <v>48</v>
      </c>
      <c r="B2" s="595"/>
      <c r="C2" s="595"/>
      <c r="D2" s="595"/>
      <c r="E2" s="605"/>
      <c r="F2" s="605"/>
    </row>
    <row r="3" spans="1:6" s="2" customFormat="1" ht="27" thickBot="1">
      <c r="A3" s="596" t="s">
        <v>46</v>
      </c>
      <c r="B3" s="597"/>
      <c r="C3" s="597"/>
      <c r="D3" s="597"/>
      <c r="E3" s="606"/>
      <c r="F3" s="606"/>
    </row>
    <row r="4" spans="1:6" s="2" customFormat="1" ht="32.25" customHeight="1">
      <c r="A4" s="598" t="s">
        <v>849</v>
      </c>
      <c r="B4" s="599"/>
      <c r="C4" s="599"/>
      <c r="D4" s="599"/>
      <c r="E4" s="3"/>
      <c r="F4" s="3"/>
    </row>
    <row r="5" spans="1:6" s="2" customFormat="1" ht="33" customHeight="1" thickBot="1">
      <c r="A5" s="600"/>
      <c r="B5" s="600"/>
      <c r="C5" s="600"/>
      <c r="D5" s="600"/>
      <c r="E5" s="4"/>
      <c r="F5" s="4"/>
    </row>
    <row r="6" spans="1:6" s="5" customFormat="1" ht="15.75" customHeight="1" thickBot="1">
      <c r="A6" s="15"/>
      <c r="B6" s="601" t="s">
        <v>206</v>
      </c>
      <c r="C6" s="601"/>
      <c r="D6" s="601"/>
      <c r="E6" s="601"/>
      <c r="F6" s="602"/>
    </row>
    <row r="7" spans="1:6" s="6" customFormat="1" ht="12.75" customHeight="1">
      <c r="A7" s="16"/>
      <c r="B7" s="1"/>
      <c r="C7" s="1"/>
      <c r="D7" s="1"/>
      <c r="E7" s="590" t="s">
        <v>709</v>
      </c>
      <c r="F7" s="591"/>
    </row>
    <row r="8" spans="1:6" s="6" customFormat="1" ht="13.5" thickBot="1">
      <c r="A8" s="17"/>
      <c r="B8" s="8" t="s">
        <v>9</v>
      </c>
      <c r="C8" s="18" t="s">
        <v>76</v>
      </c>
      <c r="D8" s="18" t="s">
        <v>62</v>
      </c>
      <c r="E8" s="7" t="s">
        <v>7</v>
      </c>
      <c r="F8" s="49" t="s">
        <v>6</v>
      </c>
    </row>
    <row r="9" spans="1:6" s="9" customFormat="1" ht="12.75" customHeight="1">
      <c r="A9" s="19"/>
      <c r="B9" s="23"/>
      <c r="C9" s="24"/>
      <c r="D9" s="24"/>
      <c r="E9" s="588" t="s">
        <v>43</v>
      </c>
      <c r="F9" s="589"/>
    </row>
    <row r="10" spans="1:6" s="9" customFormat="1" ht="13.5" thickBot="1">
      <c r="A10" s="20"/>
      <c r="B10" s="8" t="s">
        <v>21</v>
      </c>
      <c r="C10" s="18" t="s">
        <v>75</v>
      </c>
      <c r="D10" s="18" t="s">
        <v>63</v>
      </c>
      <c r="E10" s="7" t="s">
        <v>38</v>
      </c>
      <c r="F10" s="49" t="s">
        <v>35</v>
      </c>
    </row>
    <row r="11" spans="1:6" s="10" customFormat="1" ht="13.5" customHeight="1">
      <c r="A11" s="504">
        <v>1</v>
      </c>
      <c r="B11" s="505" t="s">
        <v>825</v>
      </c>
      <c r="C11" s="506" t="s">
        <v>90</v>
      </c>
      <c r="D11" s="507" t="s">
        <v>777</v>
      </c>
      <c r="E11" s="508">
        <v>1817267</v>
      </c>
      <c r="F11" s="509">
        <v>156567</v>
      </c>
    </row>
    <row r="12" spans="1:6" s="10" customFormat="1" ht="13.5" customHeight="1">
      <c r="A12" s="510">
        <v>2</v>
      </c>
      <c r="B12" s="427" t="s">
        <v>837</v>
      </c>
      <c r="C12" s="428"/>
      <c r="D12" s="429" t="s">
        <v>838</v>
      </c>
      <c r="E12" s="434">
        <v>443792</v>
      </c>
      <c r="F12" s="511">
        <v>43880</v>
      </c>
    </row>
    <row r="13" spans="1:6" s="10" customFormat="1" ht="13.5" customHeight="1">
      <c r="A13" s="510">
        <v>3</v>
      </c>
      <c r="B13" s="430" t="s">
        <v>839</v>
      </c>
      <c r="C13" s="431"/>
      <c r="D13" s="431" t="s">
        <v>840</v>
      </c>
      <c r="E13" s="434">
        <v>219507.5</v>
      </c>
      <c r="F13" s="511">
        <v>19010</v>
      </c>
    </row>
    <row r="14" spans="1:6" s="10" customFormat="1" ht="13.5" customHeight="1">
      <c r="A14" s="510">
        <v>4</v>
      </c>
      <c r="B14" s="366" t="s">
        <v>729</v>
      </c>
      <c r="C14" s="312" t="s">
        <v>83</v>
      </c>
      <c r="D14" s="339" t="s">
        <v>729</v>
      </c>
      <c r="E14" s="422">
        <v>196284</v>
      </c>
      <c r="F14" s="512">
        <v>21851</v>
      </c>
    </row>
    <row r="15" spans="1:6" s="10" customFormat="1" ht="13.5" customHeight="1">
      <c r="A15" s="510">
        <v>5</v>
      </c>
      <c r="B15" s="364" t="s">
        <v>761</v>
      </c>
      <c r="C15" s="340"/>
      <c r="D15" s="340" t="s">
        <v>763</v>
      </c>
      <c r="E15" s="423">
        <v>160545</v>
      </c>
      <c r="F15" s="513">
        <v>16383</v>
      </c>
    </row>
    <row r="16" spans="1:6" s="10" customFormat="1" ht="13.5" customHeight="1">
      <c r="A16" s="510">
        <v>6</v>
      </c>
      <c r="B16" s="432" t="s">
        <v>844</v>
      </c>
      <c r="C16" s="433" t="s">
        <v>847</v>
      </c>
      <c r="D16" s="433" t="s">
        <v>845</v>
      </c>
      <c r="E16" s="435">
        <v>101631</v>
      </c>
      <c r="F16" s="514">
        <v>8257</v>
      </c>
    </row>
    <row r="17" spans="1:6" s="10" customFormat="1" ht="13.5" customHeight="1">
      <c r="A17" s="510">
        <v>7</v>
      </c>
      <c r="B17" s="361" t="s">
        <v>651</v>
      </c>
      <c r="C17" s="319"/>
      <c r="D17" s="340" t="s">
        <v>649</v>
      </c>
      <c r="E17" s="422">
        <v>92168.61</v>
      </c>
      <c r="F17" s="512">
        <v>12112</v>
      </c>
    </row>
    <row r="18" spans="1:6" s="10" customFormat="1" ht="13.5" customHeight="1">
      <c r="A18" s="510">
        <v>8</v>
      </c>
      <c r="B18" s="361" t="s">
        <v>783</v>
      </c>
      <c r="C18" s="319" t="s">
        <v>781</v>
      </c>
      <c r="D18" s="340" t="s">
        <v>779</v>
      </c>
      <c r="E18" s="423">
        <v>88112.29</v>
      </c>
      <c r="F18" s="513">
        <v>9161</v>
      </c>
    </row>
    <row r="19" spans="1:6" s="10" customFormat="1" ht="13.5" customHeight="1">
      <c r="A19" s="510">
        <v>9</v>
      </c>
      <c r="B19" s="361" t="s">
        <v>772</v>
      </c>
      <c r="C19" s="312"/>
      <c r="D19" s="288" t="s">
        <v>773</v>
      </c>
      <c r="E19" s="424">
        <v>79279</v>
      </c>
      <c r="F19" s="515">
        <v>8067</v>
      </c>
    </row>
    <row r="20" spans="1:6" s="10" customFormat="1" ht="13.5" customHeight="1">
      <c r="A20" s="510">
        <v>10</v>
      </c>
      <c r="B20" s="436" t="s">
        <v>842</v>
      </c>
      <c r="C20" s="437" t="s">
        <v>843</v>
      </c>
      <c r="D20" s="438" t="s">
        <v>842</v>
      </c>
      <c r="E20" s="439">
        <v>71623.04</v>
      </c>
      <c r="F20" s="516">
        <v>8394</v>
      </c>
    </row>
    <row r="21" spans="1:6" s="10" customFormat="1" ht="13.5" customHeight="1">
      <c r="A21" s="510">
        <v>11</v>
      </c>
      <c r="B21" s="362" t="s">
        <v>714</v>
      </c>
      <c r="C21" s="312"/>
      <c r="D21" s="341" t="s">
        <v>715</v>
      </c>
      <c r="E21" s="425">
        <v>60989</v>
      </c>
      <c r="F21" s="517">
        <v>8278</v>
      </c>
    </row>
    <row r="22" spans="1:6" s="10" customFormat="1" ht="13.5" customHeight="1">
      <c r="A22" s="510">
        <v>12</v>
      </c>
      <c r="B22" s="366" t="s">
        <v>752</v>
      </c>
      <c r="C22" s="288"/>
      <c r="D22" s="339" t="s">
        <v>753</v>
      </c>
      <c r="E22" s="425">
        <v>57622</v>
      </c>
      <c r="F22" s="517">
        <v>6540</v>
      </c>
    </row>
    <row r="23" spans="1:6" s="10" customFormat="1" ht="13.5" customHeight="1">
      <c r="A23" s="510">
        <v>13</v>
      </c>
      <c r="B23" s="366" t="s">
        <v>687</v>
      </c>
      <c r="C23" s="288"/>
      <c r="D23" s="339" t="s">
        <v>688</v>
      </c>
      <c r="E23" s="426">
        <v>56477</v>
      </c>
      <c r="F23" s="518">
        <v>6761</v>
      </c>
    </row>
    <row r="24" spans="1:6" s="10" customFormat="1" ht="13.5" customHeight="1">
      <c r="A24" s="510">
        <v>14</v>
      </c>
      <c r="B24" s="436" t="s">
        <v>833</v>
      </c>
      <c r="C24" s="537" t="s">
        <v>834</v>
      </c>
      <c r="D24" s="538" t="s">
        <v>833</v>
      </c>
      <c r="E24" s="539">
        <v>45605.82</v>
      </c>
      <c r="F24" s="540">
        <v>4934</v>
      </c>
    </row>
    <row r="25" spans="1:6" s="10" customFormat="1" ht="13.5" customHeight="1">
      <c r="A25" s="510">
        <v>15</v>
      </c>
      <c r="B25" s="541" t="s">
        <v>775</v>
      </c>
      <c r="C25" s="542" t="s">
        <v>776</v>
      </c>
      <c r="D25" s="543" t="s">
        <v>775</v>
      </c>
      <c r="E25" s="544">
        <v>37580</v>
      </c>
      <c r="F25" s="545">
        <v>4436</v>
      </c>
    </row>
    <row r="26" spans="1:6" s="10" customFormat="1" ht="13.5" customHeight="1">
      <c r="A26" s="510">
        <v>16</v>
      </c>
      <c r="B26" s="364" t="s">
        <v>758</v>
      </c>
      <c r="C26" s="340"/>
      <c r="D26" s="340" t="s">
        <v>760</v>
      </c>
      <c r="E26" s="425">
        <v>33964</v>
      </c>
      <c r="F26" s="517">
        <v>3327</v>
      </c>
    </row>
    <row r="27" spans="1:6" s="10" customFormat="1" ht="13.5" customHeight="1">
      <c r="A27" s="510">
        <v>17</v>
      </c>
      <c r="B27" s="362" t="s">
        <v>712</v>
      </c>
      <c r="C27" s="312"/>
      <c r="D27" s="341" t="s">
        <v>713</v>
      </c>
      <c r="E27" s="425">
        <v>32201.92</v>
      </c>
      <c r="F27" s="517">
        <v>4365</v>
      </c>
    </row>
    <row r="28" spans="1:6" s="10" customFormat="1" ht="13.5" customHeight="1">
      <c r="A28" s="510">
        <v>18</v>
      </c>
      <c r="B28" s="361" t="s">
        <v>735</v>
      </c>
      <c r="C28" s="319" t="s">
        <v>121</v>
      </c>
      <c r="D28" s="340" t="s">
        <v>736</v>
      </c>
      <c r="E28" s="422">
        <v>27709.85</v>
      </c>
      <c r="F28" s="512">
        <v>3589</v>
      </c>
    </row>
    <row r="29" spans="1:6" s="10" customFormat="1" ht="13.5" customHeight="1">
      <c r="A29" s="510">
        <v>19</v>
      </c>
      <c r="B29" s="541" t="s">
        <v>778</v>
      </c>
      <c r="C29" s="542" t="s">
        <v>780</v>
      </c>
      <c r="D29" s="543" t="s">
        <v>778</v>
      </c>
      <c r="E29" s="546">
        <v>27071</v>
      </c>
      <c r="F29" s="547">
        <v>2905</v>
      </c>
    </row>
    <row r="30" spans="1:6" s="10" customFormat="1" ht="13.5" customHeight="1" thickBot="1">
      <c r="A30" s="519">
        <v>20</v>
      </c>
      <c r="B30" s="548" t="s">
        <v>836</v>
      </c>
      <c r="C30" s="549" t="s">
        <v>835</v>
      </c>
      <c r="D30" s="549" t="s">
        <v>836</v>
      </c>
      <c r="E30" s="550">
        <v>25633.5</v>
      </c>
      <c r="F30" s="551">
        <v>2104</v>
      </c>
    </row>
    <row r="31" spans="1:6" ht="18">
      <c r="A31" s="603" t="s">
        <v>14</v>
      </c>
      <c r="B31" s="580"/>
      <c r="C31" s="580"/>
      <c r="D31" s="580"/>
      <c r="E31" s="580"/>
      <c r="F31" s="581"/>
    </row>
    <row r="32" spans="1:6" ht="18">
      <c r="A32" s="579"/>
      <c r="B32" s="580"/>
      <c r="C32" s="580"/>
      <c r="D32" s="580"/>
      <c r="E32" s="580"/>
      <c r="F32" s="581"/>
    </row>
    <row r="33" spans="1:6" ht="18">
      <c r="A33" s="579"/>
      <c r="B33" s="580"/>
      <c r="C33" s="580"/>
      <c r="D33" s="580"/>
      <c r="E33" s="580"/>
      <c r="F33" s="581"/>
    </row>
    <row r="34" spans="1:6" ht="18">
      <c r="A34" s="579"/>
      <c r="B34" s="580"/>
      <c r="C34" s="580"/>
      <c r="D34" s="580"/>
      <c r="E34" s="580"/>
      <c r="F34" s="581"/>
    </row>
    <row r="35" spans="1:6" ht="18">
      <c r="A35" s="579"/>
      <c r="B35" s="580"/>
      <c r="C35" s="580"/>
      <c r="D35" s="580"/>
      <c r="E35" s="580"/>
      <c r="F35" s="581"/>
    </row>
    <row r="36" spans="1:6" ht="18.75" thickBot="1">
      <c r="A36" s="582"/>
      <c r="B36" s="583"/>
      <c r="C36" s="583"/>
      <c r="D36" s="583"/>
      <c r="E36" s="583"/>
      <c r="F36" s="584"/>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tabColor rgb="FFFFFF00"/>
  </sheetPr>
  <dimension ref="A1:Q673"/>
  <sheetViews>
    <sheetView zoomScale="70" zoomScaleNormal="70" zoomScalePageLayoutView="0" workbookViewId="0" topLeftCell="A1">
      <selection activeCell="A1" sqref="A1"/>
    </sheetView>
  </sheetViews>
  <sheetFormatPr defaultColWidth="9.140625" defaultRowHeight="12.75"/>
  <cols>
    <col min="1" max="1" width="3.57421875" style="485" bestFit="1" customWidth="1"/>
    <col min="2" max="2" width="2.00390625" style="487" bestFit="1" customWidth="1"/>
    <col min="3" max="4" width="1.8515625" style="487" bestFit="1" customWidth="1"/>
    <col min="5" max="5" width="1.7109375" style="487" bestFit="1" customWidth="1"/>
    <col min="6" max="6" width="1.8515625" style="487" bestFit="1" customWidth="1"/>
    <col min="7" max="7" width="1.7109375" style="487" bestFit="1" customWidth="1"/>
    <col min="8" max="8" width="55.28125" style="485" bestFit="1" customWidth="1"/>
    <col min="9" max="9" width="36.28125" style="485" bestFit="1" customWidth="1"/>
    <col min="10" max="10" width="7.28125" style="485" bestFit="1" customWidth="1"/>
    <col min="11" max="11" width="16.8515625" style="485" bestFit="1" customWidth="1"/>
    <col min="12" max="12" width="8.140625" style="485" bestFit="1" customWidth="1"/>
    <col min="13" max="13" width="11.7109375" style="485" customWidth="1"/>
    <col min="14" max="14" width="8.7109375" style="485" bestFit="1" customWidth="1"/>
    <col min="15" max="15" width="11.00390625" style="485" bestFit="1" customWidth="1"/>
    <col min="16" max="16" width="10.421875" style="485" bestFit="1" customWidth="1"/>
    <col min="17" max="17" width="9.421875" style="485" bestFit="1" customWidth="1"/>
    <col min="18" max="16384" width="9.140625" style="485" customWidth="1"/>
  </cols>
  <sheetData>
    <row r="1" spans="1:17" ht="18">
      <c r="A1" s="521"/>
      <c r="B1" s="607" t="s">
        <v>935</v>
      </c>
      <c r="C1" s="608"/>
      <c r="D1" s="608"/>
      <c r="E1" s="608"/>
      <c r="F1" s="608"/>
      <c r="G1" s="608"/>
      <c r="H1" s="608"/>
      <c r="I1" s="608"/>
      <c r="J1" s="608"/>
      <c r="K1" s="608"/>
      <c r="L1" s="608"/>
      <c r="M1" s="608"/>
      <c r="N1" s="608"/>
      <c r="O1" s="608"/>
      <c r="P1" s="608"/>
      <c r="Q1" s="609"/>
    </row>
    <row r="2" spans="2:17" s="490" customFormat="1" ht="12">
      <c r="B2" s="488"/>
      <c r="C2" s="488"/>
      <c r="D2" s="488"/>
      <c r="E2" s="488"/>
      <c r="F2" s="488"/>
      <c r="G2" s="488"/>
      <c r="H2" s="488"/>
      <c r="I2" s="488"/>
      <c r="J2" s="488" t="s">
        <v>359</v>
      </c>
      <c r="K2" s="488"/>
      <c r="L2" s="488" t="s">
        <v>360</v>
      </c>
      <c r="M2" s="489" t="s">
        <v>372</v>
      </c>
      <c r="N2" s="489" t="s">
        <v>372</v>
      </c>
      <c r="O2" s="488" t="s">
        <v>271</v>
      </c>
      <c r="P2" s="488" t="s">
        <v>271</v>
      </c>
      <c r="Q2" s="488" t="s">
        <v>361</v>
      </c>
    </row>
    <row r="3" spans="2:17" s="490" customFormat="1" ht="12">
      <c r="B3" s="610" t="s">
        <v>362</v>
      </c>
      <c r="C3" s="611"/>
      <c r="D3" s="611"/>
      <c r="E3" s="611"/>
      <c r="F3" s="611"/>
      <c r="G3" s="611"/>
      <c r="H3" s="488" t="s">
        <v>363</v>
      </c>
      <c r="I3" s="488" t="s">
        <v>366</v>
      </c>
      <c r="J3" s="488" t="s">
        <v>367</v>
      </c>
      <c r="K3" s="488" t="s">
        <v>368</v>
      </c>
      <c r="L3" s="488" t="s">
        <v>369</v>
      </c>
      <c r="M3" s="489" t="s">
        <v>272</v>
      </c>
      <c r="N3" s="489" t="s">
        <v>273</v>
      </c>
      <c r="O3" s="488" t="s">
        <v>272</v>
      </c>
      <c r="P3" s="488" t="s">
        <v>273</v>
      </c>
      <c r="Q3" s="488" t="s">
        <v>371</v>
      </c>
    </row>
    <row r="4" spans="1:17" ht="12" customHeight="1">
      <c r="A4" s="520">
        <v>1</v>
      </c>
      <c r="B4" s="293"/>
      <c r="C4" s="293"/>
      <c r="D4" s="236"/>
      <c r="E4" s="236"/>
      <c r="F4" s="236"/>
      <c r="G4" s="236" t="s">
        <v>54</v>
      </c>
      <c r="H4" s="365">
        <v>120</v>
      </c>
      <c r="I4" s="349">
        <v>120</v>
      </c>
      <c r="J4" s="297">
        <v>39488</v>
      </c>
      <c r="K4" s="288" t="s">
        <v>53</v>
      </c>
      <c r="L4" s="440">
        <v>179</v>
      </c>
      <c r="M4" s="466">
        <v>3603</v>
      </c>
      <c r="N4" s="467">
        <v>720</v>
      </c>
      <c r="O4" s="441">
        <f>5039812.5+1919+2402+2402+1201+3603</f>
        <v>5051339.5</v>
      </c>
      <c r="P4" s="442">
        <f>1038442+320+480+480+240+720</f>
        <v>1040682</v>
      </c>
      <c r="Q4" s="297">
        <v>40984</v>
      </c>
    </row>
    <row r="5" spans="1:17" ht="12" customHeight="1">
      <c r="A5" s="520">
        <v>2</v>
      </c>
      <c r="B5" s="293"/>
      <c r="C5" s="293"/>
      <c r="D5" s="236"/>
      <c r="E5" s="236"/>
      <c r="F5" s="236"/>
      <c r="G5" s="236" t="s">
        <v>54</v>
      </c>
      <c r="H5" s="365">
        <v>120</v>
      </c>
      <c r="I5" s="349">
        <v>120</v>
      </c>
      <c r="J5" s="297">
        <v>39488</v>
      </c>
      <c r="K5" s="288" t="s">
        <v>53</v>
      </c>
      <c r="L5" s="312">
        <v>179</v>
      </c>
      <c r="M5" s="378">
        <v>1201</v>
      </c>
      <c r="N5" s="379">
        <v>240</v>
      </c>
      <c r="O5" s="334">
        <f>5039812.5+1919+2402+2402+1201</f>
        <v>5047736.5</v>
      </c>
      <c r="P5" s="338">
        <f>1038442+320+480+480+240</f>
        <v>1039962</v>
      </c>
      <c r="Q5" s="297">
        <v>40970</v>
      </c>
    </row>
    <row r="6" spans="1:17" ht="12" customHeight="1">
      <c r="A6" s="520">
        <v>3</v>
      </c>
      <c r="B6" s="293"/>
      <c r="C6" s="293"/>
      <c r="D6" s="236"/>
      <c r="E6" s="236"/>
      <c r="F6" s="236"/>
      <c r="G6" s="236"/>
      <c r="H6" s="457" t="s">
        <v>653</v>
      </c>
      <c r="I6" s="340" t="s">
        <v>655</v>
      </c>
      <c r="J6" s="320">
        <v>39983</v>
      </c>
      <c r="K6" s="288" t="s">
        <v>68</v>
      </c>
      <c r="L6" s="340">
        <v>25</v>
      </c>
      <c r="M6" s="382">
        <v>1190</v>
      </c>
      <c r="N6" s="383">
        <v>238</v>
      </c>
      <c r="O6" s="328">
        <f>35988+25834.5+20452+10883+7816+8362.5+11315.5+10053.5+5536+2993.5+4533+1172.5+10976+1028+224+1190</f>
        <v>158358</v>
      </c>
      <c r="P6" s="344">
        <f>3783+2659+2949+1845+1497+1509+2090+1925+901+531+811+180+1565+159+30+238</f>
        <v>22672</v>
      </c>
      <c r="Q6" s="297">
        <v>40991</v>
      </c>
    </row>
    <row r="7" spans="1:17" ht="12" customHeight="1">
      <c r="A7" s="520">
        <v>4</v>
      </c>
      <c r="B7" s="236"/>
      <c r="C7" s="236"/>
      <c r="D7" s="236"/>
      <c r="E7" s="236"/>
      <c r="F7" s="236"/>
      <c r="G7" s="236" t="s">
        <v>54</v>
      </c>
      <c r="H7" s="363" t="s">
        <v>544</v>
      </c>
      <c r="I7" s="288" t="s">
        <v>544</v>
      </c>
      <c r="J7" s="320">
        <v>40606</v>
      </c>
      <c r="K7" s="288" t="s">
        <v>52</v>
      </c>
      <c r="L7" s="358">
        <v>152</v>
      </c>
      <c r="M7" s="378">
        <v>3564</v>
      </c>
      <c r="N7" s="379">
        <v>713</v>
      </c>
      <c r="O7" s="334">
        <f>1064857.25+602581.25+269086.5+86552+70688+40243.5+15124.5+5534.5+5248.5+1364+305+140+147+994+250+240+70+55+2970+3564</f>
        <v>2170015</v>
      </c>
      <c r="P7" s="338">
        <f>118954+67997+33243+12973+11521+6623+2561+922+800+239+45+20+21+199+36+34+14+11+594+713</f>
        <v>257520</v>
      </c>
      <c r="Q7" s="297">
        <v>40998</v>
      </c>
    </row>
    <row r="8" spans="1:17" ht="12" customHeight="1">
      <c r="A8" s="520">
        <v>5</v>
      </c>
      <c r="B8" s="236"/>
      <c r="C8" s="236"/>
      <c r="D8" s="236"/>
      <c r="E8" s="236"/>
      <c r="F8" s="236"/>
      <c r="G8" s="236" t="s">
        <v>54</v>
      </c>
      <c r="H8" s="458" t="s">
        <v>544</v>
      </c>
      <c r="I8" s="443" t="s">
        <v>544</v>
      </c>
      <c r="J8" s="320">
        <v>40606</v>
      </c>
      <c r="K8" s="288" t="s">
        <v>52</v>
      </c>
      <c r="L8" s="331">
        <v>152</v>
      </c>
      <c r="M8" s="378">
        <v>2970</v>
      </c>
      <c r="N8" s="379">
        <v>594</v>
      </c>
      <c r="O8" s="334">
        <f>1064857.25+602581.25+269086.5+86552+70688+40243.5+15124.5+5534.5+5248.5+1364+305+140+147+994+250+240+70+55+2970</f>
        <v>2166451</v>
      </c>
      <c r="P8" s="338">
        <f>118954+67997+33243+12973+11521+6623+2561+922+800+239+45+20+21+199+36+34+14+11+594</f>
        <v>256807</v>
      </c>
      <c r="Q8" s="297">
        <v>40956</v>
      </c>
    </row>
    <row r="9" spans="1:17" ht="12" customHeight="1">
      <c r="A9" s="520">
        <v>6</v>
      </c>
      <c r="B9" s="236"/>
      <c r="C9" s="236"/>
      <c r="D9" s="236"/>
      <c r="E9" s="236"/>
      <c r="F9" s="236"/>
      <c r="G9" s="236"/>
      <c r="H9" s="366" t="s">
        <v>95</v>
      </c>
      <c r="I9" s="444" t="s">
        <v>96</v>
      </c>
      <c r="J9" s="320">
        <v>40872</v>
      </c>
      <c r="K9" s="288" t="s">
        <v>68</v>
      </c>
      <c r="L9" s="312">
        <v>20</v>
      </c>
      <c r="M9" s="382">
        <v>5123.5</v>
      </c>
      <c r="N9" s="383">
        <v>724</v>
      </c>
      <c r="O9" s="328">
        <f>176767+122916.5+61599.5+22558.5+2646.5+4568+385+2545+1731+2348+5123.5</f>
        <v>403188.5</v>
      </c>
      <c r="P9" s="344">
        <f>14023+9525+5052+1961+507+655+55+406+298+346+724</f>
        <v>33552</v>
      </c>
      <c r="Q9" s="297">
        <v>40949</v>
      </c>
    </row>
    <row r="10" spans="1:17" ht="12" customHeight="1">
      <c r="A10" s="520">
        <v>7</v>
      </c>
      <c r="B10" s="236"/>
      <c r="C10" s="236"/>
      <c r="D10" s="236"/>
      <c r="E10" s="236"/>
      <c r="F10" s="236"/>
      <c r="G10" s="236"/>
      <c r="H10" s="459" t="s">
        <v>95</v>
      </c>
      <c r="I10" s="444" t="s">
        <v>96</v>
      </c>
      <c r="J10" s="320">
        <v>40872</v>
      </c>
      <c r="K10" s="288" t="s">
        <v>68</v>
      </c>
      <c r="L10" s="312">
        <v>20</v>
      </c>
      <c r="M10" s="382">
        <v>4568</v>
      </c>
      <c r="N10" s="383">
        <v>655</v>
      </c>
      <c r="O10" s="328">
        <f>176767+122916.5+61599.5+22558.5+2646.5+4568</f>
        <v>391056</v>
      </c>
      <c r="P10" s="344">
        <f>14023+9525+5052+1961+507+655</f>
        <v>31723</v>
      </c>
      <c r="Q10" s="297">
        <v>40907</v>
      </c>
    </row>
    <row r="11" spans="1:17" ht="12" customHeight="1">
      <c r="A11" s="520">
        <v>8</v>
      </c>
      <c r="B11" s="236"/>
      <c r="C11" s="236"/>
      <c r="D11" s="236"/>
      <c r="E11" s="236"/>
      <c r="F11" s="236"/>
      <c r="G11" s="236"/>
      <c r="H11" s="366" t="s">
        <v>95</v>
      </c>
      <c r="I11" s="444" t="s">
        <v>96</v>
      </c>
      <c r="J11" s="320">
        <v>40872</v>
      </c>
      <c r="K11" s="288" t="s">
        <v>68</v>
      </c>
      <c r="L11" s="312">
        <v>20</v>
      </c>
      <c r="M11" s="382">
        <v>3801.5</v>
      </c>
      <c r="N11" s="383">
        <v>761</v>
      </c>
      <c r="O11" s="328">
        <f>176767+122916.5+61599.5+22558.5+2646.5+4568+385+2545+1731+2348+5123.5+1188+3801.5</f>
        <v>408178</v>
      </c>
      <c r="P11" s="344">
        <f>14023+9525+5052+1961+507+655+55+406+298+346+724+238+761</f>
        <v>34551</v>
      </c>
      <c r="Q11" s="297">
        <v>40970</v>
      </c>
    </row>
    <row r="12" spans="1:17" ht="12" customHeight="1">
      <c r="A12" s="520">
        <v>9</v>
      </c>
      <c r="B12" s="236"/>
      <c r="C12" s="236"/>
      <c r="D12" s="236"/>
      <c r="E12" s="236"/>
      <c r="F12" s="236"/>
      <c r="G12" s="236"/>
      <c r="H12" s="459" t="s">
        <v>95</v>
      </c>
      <c r="I12" s="444" t="s">
        <v>96</v>
      </c>
      <c r="J12" s="320">
        <v>40872</v>
      </c>
      <c r="K12" s="288" t="s">
        <v>68</v>
      </c>
      <c r="L12" s="312">
        <v>20</v>
      </c>
      <c r="M12" s="382">
        <v>2545</v>
      </c>
      <c r="N12" s="383">
        <v>406</v>
      </c>
      <c r="O12" s="328">
        <f>176767+122916.5+61599.5+22558.5+2646.5+4568+385+2545</f>
        <v>393986</v>
      </c>
      <c r="P12" s="344">
        <f>14023+9525+5052+1961+507+655+55+406</f>
        <v>32184</v>
      </c>
      <c r="Q12" s="297">
        <v>40921</v>
      </c>
    </row>
    <row r="13" spans="1:17" ht="12" customHeight="1">
      <c r="A13" s="520">
        <v>10</v>
      </c>
      <c r="B13" s="236"/>
      <c r="C13" s="236"/>
      <c r="D13" s="236"/>
      <c r="E13" s="236"/>
      <c r="F13" s="236"/>
      <c r="G13" s="236"/>
      <c r="H13" s="459" t="s">
        <v>95</v>
      </c>
      <c r="I13" s="444" t="s">
        <v>96</v>
      </c>
      <c r="J13" s="320">
        <v>40872</v>
      </c>
      <c r="K13" s="288" t="s">
        <v>68</v>
      </c>
      <c r="L13" s="312">
        <v>20</v>
      </c>
      <c r="M13" s="382">
        <v>2348</v>
      </c>
      <c r="N13" s="383">
        <v>346</v>
      </c>
      <c r="O13" s="328">
        <f>176767+122916.5+61599.5+22558.5+2646.5+4568+385+2545+1731+2348</f>
        <v>398065</v>
      </c>
      <c r="P13" s="344">
        <f>14023+9525+5052+1961+507+655+55+406+298+346</f>
        <v>32828</v>
      </c>
      <c r="Q13" s="297">
        <v>40942</v>
      </c>
    </row>
    <row r="14" spans="1:17" ht="12" customHeight="1">
      <c r="A14" s="520">
        <v>11</v>
      </c>
      <c r="B14" s="236"/>
      <c r="C14" s="236"/>
      <c r="D14" s="236"/>
      <c r="E14" s="236"/>
      <c r="F14" s="236"/>
      <c r="G14" s="236"/>
      <c r="H14" s="366" t="s">
        <v>95</v>
      </c>
      <c r="I14" s="444" t="s">
        <v>96</v>
      </c>
      <c r="J14" s="320">
        <v>40872</v>
      </c>
      <c r="K14" s="288" t="s">
        <v>68</v>
      </c>
      <c r="L14" s="312">
        <v>20</v>
      </c>
      <c r="M14" s="382">
        <v>1188</v>
      </c>
      <c r="N14" s="383">
        <v>238</v>
      </c>
      <c r="O14" s="328">
        <f>176767+122916.5+61599.5+22558.5+2646.5+4568+385+2545+1731+2348+5123.5+1188+3801.5+1188</f>
        <v>409366</v>
      </c>
      <c r="P14" s="344">
        <f>14023+9525+5052+1961+507+655+55+406+298+346+724+238+761+238</f>
        <v>34789</v>
      </c>
      <c r="Q14" s="297">
        <v>40977</v>
      </c>
    </row>
    <row r="15" spans="1:17" ht="12" customHeight="1">
      <c r="A15" s="520">
        <v>12</v>
      </c>
      <c r="B15" s="236"/>
      <c r="C15" s="236"/>
      <c r="D15" s="236"/>
      <c r="E15" s="236"/>
      <c r="F15" s="236"/>
      <c r="G15" s="236"/>
      <c r="H15" s="366" t="s">
        <v>95</v>
      </c>
      <c r="I15" s="444" t="s">
        <v>96</v>
      </c>
      <c r="J15" s="320">
        <v>40872</v>
      </c>
      <c r="K15" s="288" t="s">
        <v>68</v>
      </c>
      <c r="L15" s="312">
        <v>20</v>
      </c>
      <c r="M15" s="382">
        <v>1188</v>
      </c>
      <c r="N15" s="383">
        <v>238</v>
      </c>
      <c r="O15" s="328">
        <f>176767+122916.5+61599.5+22558.5+2646.5+4568+385+2545+1731+2348+5123.5+1188</f>
        <v>404376.5</v>
      </c>
      <c r="P15" s="344">
        <f>14023+9525+5052+1961+507+655+55+406+298+346+724+238</f>
        <v>33790</v>
      </c>
      <c r="Q15" s="297">
        <v>40963</v>
      </c>
    </row>
    <row r="16" spans="1:17" ht="12" customHeight="1">
      <c r="A16" s="520">
        <v>13</v>
      </c>
      <c r="B16" s="236"/>
      <c r="C16" s="236"/>
      <c r="D16" s="236"/>
      <c r="E16" s="236"/>
      <c r="F16" s="236"/>
      <c r="G16" s="236"/>
      <c r="H16" s="459" t="s">
        <v>95</v>
      </c>
      <c r="I16" s="444" t="s">
        <v>96</v>
      </c>
      <c r="J16" s="320">
        <v>40872</v>
      </c>
      <c r="K16" s="288" t="s">
        <v>68</v>
      </c>
      <c r="L16" s="312">
        <v>20</v>
      </c>
      <c r="M16" s="382">
        <v>995</v>
      </c>
      <c r="N16" s="383">
        <v>166</v>
      </c>
      <c r="O16" s="328">
        <f>176767+122916.5+61599.5+22558.5+2646.5+4568+385+2545+1731</f>
        <v>395717</v>
      </c>
      <c r="P16" s="344">
        <f>14023+9525+5052+1961+507+655+55+406+298</f>
        <v>32482</v>
      </c>
      <c r="Q16" s="297">
        <v>40928</v>
      </c>
    </row>
    <row r="17" spans="1:17" ht="12" customHeight="1">
      <c r="A17" s="520">
        <v>14</v>
      </c>
      <c r="B17" s="236"/>
      <c r="C17" s="236"/>
      <c r="D17" s="236"/>
      <c r="E17" s="236"/>
      <c r="F17" s="236"/>
      <c r="G17" s="236"/>
      <c r="H17" s="459" t="s">
        <v>95</v>
      </c>
      <c r="I17" s="444" t="s">
        <v>96</v>
      </c>
      <c r="J17" s="320">
        <v>40872</v>
      </c>
      <c r="K17" s="288" t="s">
        <v>68</v>
      </c>
      <c r="L17" s="312">
        <v>20</v>
      </c>
      <c r="M17" s="382">
        <v>385</v>
      </c>
      <c r="N17" s="383">
        <v>55</v>
      </c>
      <c r="O17" s="328">
        <f>176767+122916.5+61599.5+22558.5+2646.5+4568+385</f>
        <v>391441</v>
      </c>
      <c r="P17" s="344">
        <f>14023+9525+5052+1961+507+655+55</f>
        <v>31778</v>
      </c>
      <c r="Q17" s="297">
        <v>40914</v>
      </c>
    </row>
    <row r="18" spans="1:17" ht="12" customHeight="1">
      <c r="A18" s="520">
        <v>15</v>
      </c>
      <c r="B18" s="236"/>
      <c r="C18" s="236"/>
      <c r="D18" s="236"/>
      <c r="E18" s="236"/>
      <c r="F18" s="236"/>
      <c r="G18" s="236"/>
      <c r="H18" s="460" t="s">
        <v>173</v>
      </c>
      <c r="I18" s="445" t="s">
        <v>180</v>
      </c>
      <c r="J18" s="320">
        <v>40907</v>
      </c>
      <c r="K18" s="288" t="s">
        <v>12</v>
      </c>
      <c r="L18" s="312">
        <v>60</v>
      </c>
      <c r="M18" s="378">
        <v>302499</v>
      </c>
      <c r="N18" s="379">
        <v>29010</v>
      </c>
      <c r="O18" s="334">
        <v>302499</v>
      </c>
      <c r="P18" s="338">
        <v>29010</v>
      </c>
      <c r="Q18" s="297">
        <v>40907</v>
      </c>
    </row>
    <row r="19" spans="1:17" ht="12" customHeight="1">
      <c r="A19" s="520">
        <v>16</v>
      </c>
      <c r="B19" s="236"/>
      <c r="C19" s="236"/>
      <c r="D19" s="236"/>
      <c r="E19" s="236"/>
      <c r="F19" s="236"/>
      <c r="G19" s="236"/>
      <c r="H19" s="460" t="s">
        <v>173</v>
      </c>
      <c r="I19" s="445" t="s">
        <v>180</v>
      </c>
      <c r="J19" s="320">
        <v>40907</v>
      </c>
      <c r="K19" s="288" t="s">
        <v>12</v>
      </c>
      <c r="L19" s="312">
        <v>60</v>
      </c>
      <c r="M19" s="378">
        <v>246978</v>
      </c>
      <c r="N19" s="379">
        <v>22817</v>
      </c>
      <c r="O19" s="334">
        <v>549477</v>
      </c>
      <c r="P19" s="338">
        <v>51827</v>
      </c>
      <c r="Q19" s="297">
        <v>40914</v>
      </c>
    </row>
    <row r="20" spans="1:17" ht="12" customHeight="1">
      <c r="A20" s="520">
        <v>17</v>
      </c>
      <c r="B20" s="236"/>
      <c r="C20" s="236"/>
      <c r="D20" s="236"/>
      <c r="E20" s="236"/>
      <c r="F20" s="236"/>
      <c r="G20" s="236"/>
      <c r="H20" s="460" t="s">
        <v>173</v>
      </c>
      <c r="I20" s="341" t="s">
        <v>180</v>
      </c>
      <c r="J20" s="320">
        <v>40907</v>
      </c>
      <c r="K20" s="288" t="s">
        <v>12</v>
      </c>
      <c r="L20" s="312">
        <v>60</v>
      </c>
      <c r="M20" s="378">
        <v>58983</v>
      </c>
      <c r="N20" s="379">
        <v>6637</v>
      </c>
      <c r="O20" s="334">
        <v>608460</v>
      </c>
      <c r="P20" s="338">
        <v>58464</v>
      </c>
      <c r="Q20" s="297">
        <v>40921</v>
      </c>
    </row>
    <row r="21" spans="1:17" ht="12" customHeight="1">
      <c r="A21" s="520">
        <v>18</v>
      </c>
      <c r="B21" s="293"/>
      <c r="C21" s="293"/>
      <c r="D21" s="236"/>
      <c r="E21" s="293"/>
      <c r="F21" s="236" t="s">
        <v>55</v>
      </c>
      <c r="G21" s="236" t="s">
        <v>54</v>
      </c>
      <c r="H21" s="461" t="s">
        <v>74</v>
      </c>
      <c r="I21" s="331" t="s">
        <v>74</v>
      </c>
      <c r="J21" s="320">
        <v>40851</v>
      </c>
      <c r="K21" s="288" t="s">
        <v>53</v>
      </c>
      <c r="L21" s="340">
        <v>247</v>
      </c>
      <c r="M21" s="378">
        <v>184428</v>
      </c>
      <c r="N21" s="379">
        <v>33224</v>
      </c>
      <c r="O21" s="334">
        <f>2260223+2366876.75+3859638+3137342+1906742.5+252.25+1189485.5+474275+250512+184428</f>
        <v>15629775</v>
      </c>
      <c r="P21" s="338">
        <f>286038+329194+554088+452220+278080+42+178270+68355+40409+33224</f>
        <v>2219920</v>
      </c>
      <c r="Q21" s="297">
        <v>40907</v>
      </c>
    </row>
    <row r="22" spans="1:17" ht="12" customHeight="1">
      <c r="A22" s="520">
        <v>19</v>
      </c>
      <c r="B22" s="293"/>
      <c r="C22" s="293"/>
      <c r="D22" s="236"/>
      <c r="E22" s="293"/>
      <c r="F22" s="236" t="s">
        <v>55</v>
      </c>
      <c r="G22" s="236" t="s">
        <v>54</v>
      </c>
      <c r="H22" s="461" t="s">
        <v>74</v>
      </c>
      <c r="I22" s="331" t="s">
        <v>74</v>
      </c>
      <c r="J22" s="320">
        <v>40851</v>
      </c>
      <c r="K22" s="288" t="s">
        <v>53</v>
      </c>
      <c r="L22" s="340">
        <v>247</v>
      </c>
      <c r="M22" s="378">
        <v>13126</v>
      </c>
      <c r="N22" s="379">
        <v>1975</v>
      </c>
      <c r="O22" s="334">
        <f>2260223+2366876.75+3859638+3137342+1906742.5+252.25+1189485.5+474275+250512+184428+13126</f>
        <v>15642901</v>
      </c>
      <c r="P22" s="338">
        <f>286038+329194+554088+452220+278080+42+178270+68355+40409+33224+1975</f>
        <v>2221895</v>
      </c>
      <c r="Q22" s="297">
        <v>40914</v>
      </c>
    </row>
    <row r="23" spans="1:17" ht="12" customHeight="1">
      <c r="A23" s="520">
        <v>20</v>
      </c>
      <c r="B23" s="293"/>
      <c r="C23" s="293"/>
      <c r="D23" s="236"/>
      <c r="E23" s="293"/>
      <c r="F23" s="236" t="s">
        <v>55</v>
      </c>
      <c r="G23" s="236" t="s">
        <v>54</v>
      </c>
      <c r="H23" s="461" t="s">
        <v>74</v>
      </c>
      <c r="I23" s="331" t="s">
        <v>74</v>
      </c>
      <c r="J23" s="320">
        <v>40851</v>
      </c>
      <c r="K23" s="288" t="s">
        <v>53</v>
      </c>
      <c r="L23" s="340">
        <v>247</v>
      </c>
      <c r="M23" s="378">
        <v>5006</v>
      </c>
      <c r="N23" s="379">
        <v>988</v>
      </c>
      <c r="O23" s="334">
        <f>2260223+2366876.75+3859638+3137342+1906742.5+252.25+1189485.5+474275+250512+184428+13126+754+5006</f>
        <v>15648661</v>
      </c>
      <c r="P23" s="338">
        <f>286038+329194+554088+452220+278080+42+178270+68355+40409+33224+1975+104+988</f>
        <v>2222987</v>
      </c>
      <c r="Q23" s="297">
        <v>40928</v>
      </c>
    </row>
    <row r="24" spans="1:17" ht="12" customHeight="1">
      <c r="A24" s="520">
        <v>21</v>
      </c>
      <c r="B24" s="293"/>
      <c r="C24" s="293"/>
      <c r="D24" s="236"/>
      <c r="E24" s="293"/>
      <c r="F24" s="236" t="s">
        <v>55</v>
      </c>
      <c r="G24" s="236" t="s">
        <v>54</v>
      </c>
      <c r="H24" s="363" t="s">
        <v>74</v>
      </c>
      <c r="I24" s="331" t="s">
        <v>74</v>
      </c>
      <c r="J24" s="320">
        <v>40851</v>
      </c>
      <c r="K24" s="288" t="s">
        <v>53</v>
      </c>
      <c r="L24" s="340">
        <v>247</v>
      </c>
      <c r="M24" s="378">
        <v>4804</v>
      </c>
      <c r="N24" s="379">
        <v>960</v>
      </c>
      <c r="O24" s="334">
        <f>2260223+2366876.75+3859638+3137342+1906742.5+252.25+1189485.5+474275+250512+184428+13126+754+5006+188+4804</f>
        <v>15653653</v>
      </c>
      <c r="P24" s="338">
        <f>286038+329194+554088+452220+278080+42+178270+68355+40409+33224+1975+104+988+22+960</f>
        <v>2223969</v>
      </c>
      <c r="Q24" s="297">
        <v>40949</v>
      </c>
    </row>
    <row r="25" spans="1:17" ht="12" customHeight="1">
      <c r="A25" s="520">
        <v>22</v>
      </c>
      <c r="B25" s="293"/>
      <c r="C25" s="293"/>
      <c r="D25" s="236"/>
      <c r="E25" s="293"/>
      <c r="F25" s="236" t="s">
        <v>55</v>
      </c>
      <c r="G25" s="236" t="s">
        <v>54</v>
      </c>
      <c r="H25" s="363" t="s">
        <v>74</v>
      </c>
      <c r="I25" s="331" t="s">
        <v>74</v>
      </c>
      <c r="J25" s="320">
        <v>40851</v>
      </c>
      <c r="K25" s="288" t="s">
        <v>53</v>
      </c>
      <c r="L25" s="340">
        <v>247</v>
      </c>
      <c r="M25" s="378">
        <v>3604</v>
      </c>
      <c r="N25" s="379">
        <v>721</v>
      </c>
      <c r="O25" s="334">
        <f>2260223+2366876.75+3859638+3137342+1906742.5+252.25+1189485.5+474275+250512+184428+13126+754+5006+188+4804+3604</f>
        <v>15657257</v>
      </c>
      <c r="P25" s="338">
        <f>286038+329194+554088+452220+278080+42+178270+68355+40409+33224+1975+104+988+22+960+721</f>
        <v>2224690</v>
      </c>
      <c r="Q25" s="297">
        <v>40956</v>
      </c>
    </row>
    <row r="26" spans="1:17" ht="12" customHeight="1">
      <c r="A26" s="520">
        <v>23</v>
      </c>
      <c r="B26" s="293"/>
      <c r="C26" s="293"/>
      <c r="D26" s="236"/>
      <c r="E26" s="293"/>
      <c r="F26" s="236" t="s">
        <v>55</v>
      </c>
      <c r="G26" s="236" t="s">
        <v>54</v>
      </c>
      <c r="H26" s="363" t="s">
        <v>74</v>
      </c>
      <c r="I26" s="331" t="s">
        <v>74</v>
      </c>
      <c r="J26" s="320">
        <v>40851</v>
      </c>
      <c r="K26" s="288" t="s">
        <v>53</v>
      </c>
      <c r="L26" s="340">
        <v>247</v>
      </c>
      <c r="M26" s="378">
        <v>2402</v>
      </c>
      <c r="N26" s="379">
        <v>481</v>
      </c>
      <c r="O26" s="334">
        <f>2260223+2366876.75+3859638+3137342+1906742.5+252.25+1189485.5+474275+250512+184428+13126+754+5006+188+4804+3604+350+2402+2402+2402</f>
        <v>15664813</v>
      </c>
      <c r="P26" s="338">
        <f>286038+329194+554088+452220+278080+42+178270+68355+40409+33224+1975+104+988+22+960+721+70+480+480+481</f>
        <v>2226201</v>
      </c>
      <c r="Q26" s="297">
        <v>40998</v>
      </c>
    </row>
    <row r="27" spans="1:17" ht="12" customHeight="1">
      <c r="A27" s="520">
        <v>24</v>
      </c>
      <c r="B27" s="293"/>
      <c r="C27" s="293"/>
      <c r="D27" s="236"/>
      <c r="E27" s="293"/>
      <c r="F27" s="236" t="s">
        <v>55</v>
      </c>
      <c r="G27" s="236" t="s">
        <v>54</v>
      </c>
      <c r="H27" s="363" t="s">
        <v>74</v>
      </c>
      <c r="I27" s="331" t="s">
        <v>74</v>
      </c>
      <c r="J27" s="320">
        <v>40851</v>
      </c>
      <c r="K27" s="288" t="s">
        <v>53</v>
      </c>
      <c r="L27" s="446">
        <v>247</v>
      </c>
      <c r="M27" s="466">
        <v>2402</v>
      </c>
      <c r="N27" s="467">
        <v>480</v>
      </c>
      <c r="O27" s="441">
        <f>2260223+2366876.75+3859638+3137342+1906742.5+252.25+1189485.5+474275+250512+184428+13126+754+5006+188+4804+3604+350+2402+2402</f>
        <v>15662411</v>
      </c>
      <c r="P27" s="442">
        <f>286038+329194+554088+452220+278080+42+178270+68355+40409+33224+1975+104+988+22+960+721+70+480+480</f>
        <v>2225720</v>
      </c>
      <c r="Q27" s="297">
        <v>40984</v>
      </c>
    </row>
    <row r="28" spans="1:17" ht="12" customHeight="1">
      <c r="A28" s="520">
        <v>25</v>
      </c>
      <c r="B28" s="293"/>
      <c r="C28" s="293"/>
      <c r="D28" s="236"/>
      <c r="E28" s="293"/>
      <c r="F28" s="236" t="s">
        <v>55</v>
      </c>
      <c r="G28" s="236" t="s">
        <v>54</v>
      </c>
      <c r="H28" s="363" t="s">
        <v>74</v>
      </c>
      <c r="I28" s="331" t="s">
        <v>74</v>
      </c>
      <c r="J28" s="320">
        <v>40851</v>
      </c>
      <c r="K28" s="288" t="s">
        <v>53</v>
      </c>
      <c r="L28" s="340">
        <v>247</v>
      </c>
      <c r="M28" s="378">
        <v>2402</v>
      </c>
      <c r="N28" s="379">
        <v>480</v>
      </c>
      <c r="O28" s="334">
        <f>2260223+2366876.75+3859638+3137342+1906742.5+252.25+1189485.5+474275+250512+184428+13126+754+5006+188+4804+3604+350+2402</f>
        <v>15660009</v>
      </c>
      <c r="P28" s="338">
        <f>286038+329194+554088+452220+278080+42+178270+68355+40409+33224+1975+104+988+22+960+721+70+480</f>
        <v>2225240</v>
      </c>
      <c r="Q28" s="297">
        <v>40970</v>
      </c>
    </row>
    <row r="29" spans="1:17" ht="12" customHeight="1">
      <c r="A29" s="520">
        <v>26</v>
      </c>
      <c r="B29" s="293"/>
      <c r="C29" s="293"/>
      <c r="D29" s="236"/>
      <c r="E29" s="293"/>
      <c r="F29" s="236" t="s">
        <v>55</v>
      </c>
      <c r="G29" s="236" t="s">
        <v>54</v>
      </c>
      <c r="H29" s="461" t="s">
        <v>74</v>
      </c>
      <c r="I29" s="331" t="s">
        <v>74</v>
      </c>
      <c r="J29" s="320">
        <v>40851</v>
      </c>
      <c r="K29" s="288" t="s">
        <v>53</v>
      </c>
      <c r="L29" s="340">
        <v>247</v>
      </c>
      <c r="M29" s="378">
        <v>754</v>
      </c>
      <c r="N29" s="379">
        <v>104</v>
      </c>
      <c r="O29" s="334">
        <f>2260223+2366876.75+3859638+3137342+1906742.5+252.25+1189485.5+474275+250512+184428+13126+754</f>
        <v>15643655</v>
      </c>
      <c r="P29" s="338">
        <f>286038+329194+554088+452220+278080+42+178270+68355+40409+33224+1975+104</f>
        <v>2221999</v>
      </c>
      <c r="Q29" s="297">
        <v>40921</v>
      </c>
    </row>
    <row r="30" spans="1:17" ht="12" customHeight="1">
      <c r="A30" s="520">
        <v>27</v>
      </c>
      <c r="B30" s="293"/>
      <c r="C30" s="293"/>
      <c r="D30" s="236"/>
      <c r="E30" s="293"/>
      <c r="F30" s="236" t="s">
        <v>55</v>
      </c>
      <c r="G30" s="236" t="s">
        <v>54</v>
      </c>
      <c r="H30" s="461" t="s">
        <v>74</v>
      </c>
      <c r="I30" s="331" t="s">
        <v>74</v>
      </c>
      <c r="J30" s="320">
        <v>40851</v>
      </c>
      <c r="K30" s="288" t="s">
        <v>53</v>
      </c>
      <c r="L30" s="340">
        <v>247</v>
      </c>
      <c r="M30" s="378">
        <v>188</v>
      </c>
      <c r="N30" s="379">
        <v>22</v>
      </c>
      <c r="O30" s="334">
        <f>2260223+2366876.75+3859638+3137342+1906742.5+252.25+1189485.5+474275+250512+184428+13126+754+5006+188</f>
        <v>15648849</v>
      </c>
      <c r="P30" s="338">
        <f>286038+329194+554088+452220+278080+42+178270+68355+40409+33224+1975+104+988+22</f>
        <v>2223009</v>
      </c>
      <c r="Q30" s="297">
        <v>40935</v>
      </c>
    </row>
    <row r="31" spans="1:17" ht="12" customHeight="1">
      <c r="A31" s="520">
        <v>28</v>
      </c>
      <c r="B31" s="236" t="s">
        <v>193</v>
      </c>
      <c r="C31" s="236"/>
      <c r="D31" s="236"/>
      <c r="E31" s="236"/>
      <c r="F31" s="236" t="s">
        <v>55</v>
      </c>
      <c r="G31" s="236"/>
      <c r="H31" s="366" t="s">
        <v>234</v>
      </c>
      <c r="I31" s="339" t="s">
        <v>248</v>
      </c>
      <c r="J31" s="370">
        <v>40655</v>
      </c>
      <c r="K31" s="288" t="s">
        <v>68</v>
      </c>
      <c r="L31" s="313">
        <v>156</v>
      </c>
      <c r="M31" s="468">
        <v>6415.5</v>
      </c>
      <c r="N31" s="469">
        <v>1284</v>
      </c>
      <c r="O31" s="317">
        <f>633760.5+136320.5+35218.5+12632+4659.5+2946+8058+2678+3172+3399.5+598+564+1471+2243+357+860+1425.5+8382.5+1782+968+1958+1164+407.5+84+1917+3121+130+60+1782+6415.5</f>
        <v>878534.5</v>
      </c>
      <c r="P31" s="368">
        <f>74640+17307+4811+1875+917+522+1372+426+632+730+116+93+159+384+67+172+356+2088+446+190+480+372+60+12+847+951+13+6+356+1284</f>
        <v>111684</v>
      </c>
      <c r="Q31" s="297">
        <v>41012</v>
      </c>
    </row>
    <row r="32" spans="1:17" ht="12" customHeight="1">
      <c r="A32" s="520">
        <v>29</v>
      </c>
      <c r="B32" s="236" t="s">
        <v>193</v>
      </c>
      <c r="C32" s="236"/>
      <c r="D32" s="236"/>
      <c r="E32" s="236"/>
      <c r="F32" s="236" t="s">
        <v>55</v>
      </c>
      <c r="G32" s="236"/>
      <c r="H32" s="459" t="s">
        <v>234</v>
      </c>
      <c r="I32" s="339" t="s">
        <v>248</v>
      </c>
      <c r="J32" s="320">
        <v>40655</v>
      </c>
      <c r="K32" s="288" t="s">
        <v>68</v>
      </c>
      <c r="L32" s="312">
        <v>156</v>
      </c>
      <c r="M32" s="382">
        <v>3121</v>
      </c>
      <c r="N32" s="383">
        <v>951</v>
      </c>
      <c r="O32" s="328">
        <f>633760.5+136320.5+35218.5+12632+4659.5+2946+8058+2678+3172+3399.5+598+564+1471+2243+357+860+1425.5+8382.5+1782+968+1958+1164+407.5+84+1917+3121</f>
        <v>870147</v>
      </c>
      <c r="P32" s="344">
        <f>74640+17307+4811+1875+917+522+1372+426+632+730+116+93+159+384+67+172+356+2088+446+190+480+372+60+12+847+951</f>
        <v>110025</v>
      </c>
      <c r="Q32" s="297">
        <v>40935</v>
      </c>
    </row>
    <row r="33" spans="1:17" ht="12" customHeight="1">
      <c r="A33" s="520">
        <v>30</v>
      </c>
      <c r="B33" s="236" t="s">
        <v>193</v>
      </c>
      <c r="C33" s="236"/>
      <c r="D33" s="236"/>
      <c r="E33" s="236"/>
      <c r="F33" s="236" t="s">
        <v>55</v>
      </c>
      <c r="G33" s="236"/>
      <c r="H33" s="459" t="s">
        <v>234</v>
      </c>
      <c r="I33" s="339" t="s">
        <v>248</v>
      </c>
      <c r="J33" s="320">
        <v>40655</v>
      </c>
      <c r="K33" s="288" t="s">
        <v>68</v>
      </c>
      <c r="L33" s="312">
        <v>156</v>
      </c>
      <c r="M33" s="382">
        <v>1917</v>
      </c>
      <c r="N33" s="383">
        <v>847</v>
      </c>
      <c r="O33" s="328">
        <f>633760.5+136320.5+35218.5+12632+4659.5+2946+8058+2678+3172+3399.5+598+564+1471+2243+357+860+1425.5+8382.5+1782+968+1958+1164+407.5+84+1917</f>
        <v>867026</v>
      </c>
      <c r="P33" s="344">
        <f>74640+17307+4811+1875+917+522+1372+426+632+730+116+93+159+384+67+172+356+2088+446+190+480+372+60+12+847</f>
        <v>109074</v>
      </c>
      <c r="Q33" s="297">
        <v>40928</v>
      </c>
    </row>
    <row r="34" spans="1:17" ht="12" customHeight="1">
      <c r="A34" s="520">
        <v>31</v>
      </c>
      <c r="B34" s="236" t="s">
        <v>193</v>
      </c>
      <c r="C34" s="236"/>
      <c r="D34" s="236"/>
      <c r="E34" s="236"/>
      <c r="F34" s="236" t="s">
        <v>55</v>
      </c>
      <c r="G34" s="236"/>
      <c r="H34" s="366" t="s">
        <v>234</v>
      </c>
      <c r="I34" s="339" t="s">
        <v>248</v>
      </c>
      <c r="J34" s="320">
        <v>40655</v>
      </c>
      <c r="K34" s="288" t="s">
        <v>68</v>
      </c>
      <c r="L34" s="313">
        <v>156</v>
      </c>
      <c r="M34" s="382">
        <v>1782</v>
      </c>
      <c r="N34" s="383">
        <v>356</v>
      </c>
      <c r="O34" s="328">
        <f>633760.5+136320.5+35218.5+12632+4659.5+2946+8058+2678+3172+3399.5+598+564+1471+2243+357+860+1425.5+8382.5+1782+968+1958+1164+407.5+84+1917+3121+130+60</f>
        <v>870337</v>
      </c>
      <c r="P34" s="344">
        <f>74640+17307+4811+1875+917+522+1372+426+632+730+116+93+159+384+67+172+356+2088+446+190+480+372+60+12+847+951+13+6</f>
        <v>110044</v>
      </c>
      <c r="Q34" s="297">
        <v>41005</v>
      </c>
    </row>
    <row r="35" spans="1:17" ht="12" customHeight="1">
      <c r="A35" s="520">
        <v>32</v>
      </c>
      <c r="B35" s="236" t="s">
        <v>193</v>
      </c>
      <c r="C35" s="236"/>
      <c r="D35" s="236"/>
      <c r="E35" s="236"/>
      <c r="F35" s="236" t="s">
        <v>55</v>
      </c>
      <c r="G35" s="236"/>
      <c r="H35" s="366" t="s">
        <v>234</v>
      </c>
      <c r="I35" s="339" t="s">
        <v>248</v>
      </c>
      <c r="J35" s="370">
        <v>40655</v>
      </c>
      <c r="K35" s="288" t="s">
        <v>68</v>
      </c>
      <c r="L35" s="312">
        <v>156</v>
      </c>
      <c r="M35" s="382">
        <v>1782</v>
      </c>
      <c r="N35" s="383">
        <v>356</v>
      </c>
      <c r="O35" s="328">
        <f>633760.5+136320.5+35218.5+12632+4659.5+2946+8058+2678+3172+3399.5+598+564+1471+2243+357+860+1425.5+8382.5+1782+968+1958+1164+407.5+84+1917+3121+130+60+1782+6415.5+1782</f>
        <v>880316.5</v>
      </c>
      <c r="P35" s="344">
        <f>74640+17307+4811+1875+917+522+1372+426+632+730+116+93+159+384+67+172+356+2088+446+190+480+372+60+12+847+951+13+6+356+1284+356</f>
        <v>112040</v>
      </c>
      <c r="Q35" s="297">
        <v>41040</v>
      </c>
    </row>
    <row r="36" spans="1:17" ht="12" customHeight="1">
      <c r="A36" s="520">
        <v>33</v>
      </c>
      <c r="B36" s="236" t="s">
        <v>193</v>
      </c>
      <c r="C36" s="236"/>
      <c r="D36" s="236"/>
      <c r="E36" s="236"/>
      <c r="F36" s="236" t="s">
        <v>55</v>
      </c>
      <c r="G36" s="236"/>
      <c r="H36" s="366" t="s">
        <v>234</v>
      </c>
      <c r="I36" s="339" t="s">
        <v>248</v>
      </c>
      <c r="J36" s="320">
        <v>40655</v>
      </c>
      <c r="K36" s="288" t="s">
        <v>68</v>
      </c>
      <c r="L36" s="312">
        <v>156</v>
      </c>
      <c r="M36" s="382">
        <v>130</v>
      </c>
      <c r="N36" s="383">
        <v>13</v>
      </c>
      <c r="O36" s="328">
        <f>633760.5+136320.5+35218.5+12632+4659.5+2946+8058+2678+3172+3399.5+598+564+1471+2243+357+860+1425.5+8382.5+1782+968+1958+1164+407.5+84+1917+3121+130</f>
        <v>870277</v>
      </c>
      <c r="P36" s="344">
        <f>74640+17307+4811+1875+917+522+1372+426+632+730+116+93+159+384+67+172+356+2088+446+190+480+372+60+12+847+951+13</f>
        <v>110038</v>
      </c>
      <c r="Q36" s="297">
        <v>40991</v>
      </c>
    </row>
    <row r="37" spans="1:17" ht="12" customHeight="1">
      <c r="A37" s="520">
        <v>34</v>
      </c>
      <c r="B37" s="236" t="s">
        <v>193</v>
      </c>
      <c r="C37" s="236"/>
      <c r="D37" s="236"/>
      <c r="E37" s="236"/>
      <c r="F37" s="236" t="s">
        <v>55</v>
      </c>
      <c r="G37" s="236"/>
      <c r="H37" s="459" t="s">
        <v>234</v>
      </c>
      <c r="I37" s="339" t="s">
        <v>248</v>
      </c>
      <c r="J37" s="320">
        <v>40655</v>
      </c>
      <c r="K37" s="288" t="s">
        <v>68</v>
      </c>
      <c r="L37" s="312">
        <v>156</v>
      </c>
      <c r="M37" s="382">
        <v>84</v>
      </c>
      <c r="N37" s="383">
        <v>12</v>
      </c>
      <c r="O37" s="328">
        <f>633760.5+136320.5+35218.5+12632+4659.5+2946+8058+2678+3172+3399.5+598+564+1471+2243+357+860+1425.5+8382.5+1782+968+1958+1164+407.5+84</f>
        <v>865109</v>
      </c>
      <c r="P37" s="344">
        <f>74640+17307+4811+1875+917+522+1372+426+632+730+116+93+159+384+67+172+356+2088+446+190+480+372+60+12</f>
        <v>108227</v>
      </c>
      <c r="Q37" s="297">
        <v>40907</v>
      </c>
    </row>
    <row r="38" spans="1:17" ht="12" customHeight="1">
      <c r="A38" s="520">
        <v>35</v>
      </c>
      <c r="B38" s="236" t="s">
        <v>193</v>
      </c>
      <c r="C38" s="236"/>
      <c r="D38" s="236"/>
      <c r="E38" s="236"/>
      <c r="F38" s="236" t="s">
        <v>55</v>
      </c>
      <c r="G38" s="236"/>
      <c r="H38" s="366" t="s">
        <v>234</v>
      </c>
      <c r="I38" s="339" t="s">
        <v>248</v>
      </c>
      <c r="J38" s="320">
        <v>40655</v>
      </c>
      <c r="K38" s="288" t="s">
        <v>68</v>
      </c>
      <c r="L38" s="313">
        <v>156</v>
      </c>
      <c r="M38" s="382">
        <v>60</v>
      </c>
      <c r="N38" s="383">
        <v>6</v>
      </c>
      <c r="O38" s="328">
        <f>633760.5+136320.5+35218.5+12632+4659.5+2946+8058+2678+3172+3399.5+598+564+1471+2243+357+860+1425.5+8382.5+1782+968+1958+1164+407.5+84+1917+3121+130+60</f>
        <v>870337</v>
      </c>
      <c r="P38" s="344">
        <f>74640+17307+4811+1875+917+522+1372+426+632+730+116+93+159+384+67+172+356+2088+446+190+480+372+60+12+847+951+13+6</f>
        <v>110044</v>
      </c>
      <c r="Q38" s="297">
        <v>40998</v>
      </c>
    </row>
    <row r="39" spans="1:17" ht="12" customHeight="1">
      <c r="A39" s="520">
        <v>36</v>
      </c>
      <c r="B39" s="236" t="s">
        <v>193</v>
      </c>
      <c r="C39" s="236"/>
      <c r="D39" s="293"/>
      <c r="E39" s="236" t="s">
        <v>250</v>
      </c>
      <c r="F39" s="236" t="s">
        <v>55</v>
      </c>
      <c r="G39" s="236"/>
      <c r="H39" s="366" t="s">
        <v>313</v>
      </c>
      <c r="I39" s="339" t="s">
        <v>317</v>
      </c>
      <c r="J39" s="320">
        <v>40172</v>
      </c>
      <c r="K39" s="288" t="s">
        <v>68</v>
      </c>
      <c r="L39" s="312">
        <v>60</v>
      </c>
      <c r="M39" s="382">
        <v>2376</v>
      </c>
      <c r="N39" s="383">
        <v>475</v>
      </c>
      <c r="O39" s="328">
        <f>421775.5+397095.5+287050+215248.5+189819.5+180729.5+86816.5+23840+19148+14942.5+8798.5+9599+13618.5+4298+4028+3310+8547+6712.5+1803+1172+973+2291+380.5+3015+1103.5+65+2061.5+1262+1020+2232+2970+5074+2970+1188+250+200+70+4277+2138.5+1425.5+2376</f>
        <v>1935694.5</v>
      </c>
      <c r="P39" s="344">
        <f>43739+40732+31780+27356+25902+24895+12153+4496+3179+3069+1650+2236+3335+954+829+540+1945+1297+429+261+173+594+53+613+200+10+480+240+102+533+743+1267+742+297+28+20+7+1068+534+356+475</f>
        <v>239312</v>
      </c>
      <c r="Q39" s="297">
        <v>40949</v>
      </c>
    </row>
    <row r="40" spans="1:17" ht="12" customHeight="1">
      <c r="A40" s="520">
        <v>37</v>
      </c>
      <c r="B40" s="236" t="s">
        <v>193</v>
      </c>
      <c r="C40" s="236"/>
      <c r="D40" s="447"/>
      <c r="E40" s="236" t="s">
        <v>250</v>
      </c>
      <c r="F40" s="236" t="s">
        <v>55</v>
      </c>
      <c r="G40" s="236"/>
      <c r="H40" s="459" t="s">
        <v>313</v>
      </c>
      <c r="I40" s="339" t="s">
        <v>317</v>
      </c>
      <c r="J40" s="320">
        <v>40172</v>
      </c>
      <c r="K40" s="288" t="s">
        <v>68</v>
      </c>
      <c r="L40" s="312">
        <v>60</v>
      </c>
      <c r="M40" s="382">
        <v>1425.5</v>
      </c>
      <c r="N40" s="383">
        <v>356</v>
      </c>
      <c r="O40" s="328">
        <f>421775.5+397095.5+287050+215248.5+189819.5+180729.5+86816.5+23840+19148+14942.5+8798.5+9599+13618.5+4298+4028+3310+8547+6712.5+1803+1172+973+2291+380.5+3015+1103.5+65+2061.5+1262+1020+2232+2970+5074+2970+1188+250+200+70+4277+2138.5+1425.5</f>
        <v>1933318.5</v>
      </c>
      <c r="P40" s="344">
        <f>43739+40732+31780+27356+25902+24895+12153+4496+3179+3069+1650+2236+3335+954+829+540+1945+1297+429+261+173+594+53+613+200+10+480+240+102+533+743+1267+742+297+28+20+7+1068+534+356</f>
        <v>238837</v>
      </c>
      <c r="Q40" s="297">
        <v>40914</v>
      </c>
    </row>
    <row r="41" spans="1:17" ht="12" customHeight="1">
      <c r="A41" s="520">
        <v>38</v>
      </c>
      <c r="B41" s="236" t="s">
        <v>193</v>
      </c>
      <c r="C41" s="236"/>
      <c r="D41" s="293"/>
      <c r="E41" s="236" t="s">
        <v>250</v>
      </c>
      <c r="F41" s="236" t="s">
        <v>55</v>
      </c>
      <c r="G41" s="236"/>
      <c r="H41" s="366" t="s">
        <v>313</v>
      </c>
      <c r="I41" s="339" t="s">
        <v>317</v>
      </c>
      <c r="J41" s="320">
        <v>40172</v>
      </c>
      <c r="K41" s="288" t="s">
        <v>68</v>
      </c>
      <c r="L41" s="312">
        <v>60</v>
      </c>
      <c r="M41" s="382">
        <v>1425.5</v>
      </c>
      <c r="N41" s="383">
        <v>285</v>
      </c>
      <c r="O41" s="328">
        <f>421775.5+397095.5+287050+215248.5+189819.5+180729.5+86816.5+23840+19148+14942.5+8798.5+9599+13618.5+4298+4028+3310+8547+6712.5+1803+1172+973+2291+380.5+3015+1103.5+65+2061.5+1262+1020+2232+2970+5074+2970+1188+250+200+70+4277+2138.5+1425.5+2376+1425.5</f>
        <v>1937120</v>
      </c>
      <c r="P41" s="344">
        <f>43739+40732+31780+27356+25902+24895+12153+4496+3179+3069+1650+2236+3335+954+829+540+1945+1297+429+261+173+594+53+613+200+10+480+240+102+533+743+1267+742+297+28+20+7+1068+534+356+475+285</f>
        <v>239597</v>
      </c>
      <c r="Q41" s="297">
        <v>40970</v>
      </c>
    </row>
    <row r="42" spans="1:17" ht="12" customHeight="1">
      <c r="A42" s="520">
        <v>39</v>
      </c>
      <c r="B42" s="236" t="s">
        <v>193</v>
      </c>
      <c r="C42" s="236"/>
      <c r="D42" s="236">
        <v>2</v>
      </c>
      <c r="E42" s="236" t="s">
        <v>250</v>
      </c>
      <c r="F42" s="236" t="s">
        <v>55</v>
      </c>
      <c r="G42" s="236"/>
      <c r="H42" s="459" t="s">
        <v>133</v>
      </c>
      <c r="I42" s="339" t="s">
        <v>134</v>
      </c>
      <c r="J42" s="320">
        <v>40893</v>
      </c>
      <c r="K42" s="288" t="s">
        <v>68</v>
      </c>
      <c r="L42" s="312">
        <v>131</v>
      </c>
      <c r="M42" s="382">
        <v>530345</v>
      </c>
      <c r="N42" s="383">
        <v>60063</v>
      </c>
      <c r="O42" s="328">
        <f>1320389+1047397.5+530345</f>
        <v>2898131.5</v>
      </c>
      <c r="P42" s="344">
        <f>139659+113627+60063</f>
        <v>313349</v>
      </c>
      <c r="Q42" s="297">
        <v>40907</v>
      </c>
    </row>
    <row r="43" spans="1:17" ht="12" customHeight="1">
      <c r="A43" s="520">
        <v>40</v>
      </c>
      <c r="B43" s="236" t="s">
        <v>193</v>
      </c>
      <c r="C43" s="236"/>
      <c r="D43" s="236">
        <v>2</v>
      </c>
      <c r="E43" s="236" t="s">
        <v>250</v>
      </c>
      <c r="F43" s="236" t="s">
        <v>55</v>
      </c>
      <c r="G43" s="236"/>
      <c r="H43" s="459" t="s">
        <v>133</v>
      </c>
      <c r="I43" s="339" t="s">
        <v>134</v>
      </c>
      <c r="J43" s="320">
        <v>40893</v>
      </c>
      <c r="K43" s="288" t="s">
        <v>68</v>
      </c>
      <c r="L43" s="312">
        <v>131</v>
      </c>
      <c r="M43" s="382">
        <v>445722</v>
      </c>
      <c r="N43" s="383">
        <v>49146</v>
      </c>
      <c r="O43" s="328">
        <f>1320389+1047397.5+530759.5+445722</f>
        <v>3344268</v>
      </c>
      <c r="P43" s="344">
        <f>139659+113627+60100+49146</f>
        <v>362532</v>
      </c>
      <c r="Q43" s="297">
        <v>40914</v>
      </c>
    </row>
    <row r="44" spans="1:17" ht="12" customHeight="1">
      <c r="A44" s="520">
        <v>41</v>
      </c>
      <c r="B44" s="236" t="s">
        <v>193</v>
      </c>
      <c r="C44" s="236"/>
      <c r="D44" s="236">
        <v>2</v>
      </c>
      <c r="E44" s="236" t="s">
        <v>250</v>
      </c>
      <c r="F44" s="236" t="s">
        <v>55</v>
      </c>
      <c r="G44" s="236"/>
      <c r="H44" s="459" t="s">
        <v>133</v>
      </c>
      <c r="I44" s="339" t="s">
        <v>134</v>
      </c>
      <c r="J44" s="320">
        <v>40893</v>
      </c>
      <c r="K44" s="288" t="s">
        <v>68</v>
      </c>
      <c r="L44" s="312">
        <v>131</v>
      </c>
      <c r="M44" s="382">
        <v>279760.5</v>
      </c>
      <c r="N44" s="383">
        <v>35564</v>
      </c>
      <c r="O44" s="328">
        <f>1320389+1047397.5+530759.5+445722+254656.5+279760.5</f>
        <v>3878685</v>
      </c>
      <c r="P44" s="344">
        <f>139659+113627+60100+49146+32088+35564</f>
        <v>430184</v>
      </c>
      <c r="Q44" s="297">
        <v>40928</v>
      </c>
    </row>
    <row r="45" spans="1:17" ht="12" customHeight="1">
      <c r="A45" s="520">
        <v>42</v>
      </c>
      <c r="B45" s="236" t="s">
        <v>193</v>
      </c>
      <c r="C45" s="236"/>
      <c r="D45" s="236">
        <v>2</v>
      </c>
      <c r="E45" s="236" t="s">
        <v>250</v>
      </c>
      <c r="F45" s="236" t="s">
        <v>55</v>
      </c>
      <c r="G45" s="236"/>
      <c r="H45" s="459" t="s">
        <v>133</v>
      </c>
      <c r="I45" s="339" t="s">
        <v>134</v>
      </c>
      <c r="J45" s="320">
        <v>40893</v>
      </c>
      <c r="K45" s="288" t="s">
        <v>68</v>
      </c>
      <c r="L45" s="312">
        <v>131</v>
      </c>
      <c r="M45" s="382">
        <v>254766.5</v>
      </c>
      <c r="N45" s="383">
        <v>32088</v>
      </c>
      <c r="O45" s="328">
        <f>1320389+1047397.5+530759.5+445722+254766.5</f>
        <v>3599034.5</v>
      </c>
      <c r="P45" s="344">
        <f>139659+113627+60100+49146+32088</f>
        <v>394620</v>
      </c>
      <c r="Q45" s="297">
        <v>40921</v>
      </c>
    </row>
    <row r="46" spans="1:17" ht="12" customHeight="1">
      <c r="A46" s="520">
        <v>43</v>
      </c>
      <c r="B46" s="236" t="s">
        <v>193</v>
      </c>
      <c r="C46" s="236"/>
      <c r="D46" s="236">
        <v>2</v>
      </c>
      <c r="E46" s="236" t="s">
        <v>250</v>
      </c>
      <c r="F46" s="236" t="s">
        <v>55</v>
      </c>
      <c r="G46" s="236"/>
      <c r="H46" s="459" t="s">
        <v>133</v>
      </c>
      <c r="I46" s="339" t="s">
        <v>134</v>
      </c>
      <c r="J46" s="320">
        <v>40893</v>
      </c>
      <c r="K46" s="288" t="s">
        <v>68</v>
      </c>
      <c r="L46" s="312">
        <v>131</v>
      </c>
      <c r="M46" s="382">
        <v>107391.5</v>
      </c>
      <c r="N46" s="383">
        <v>15150</v>
      </c>
      <c r="O46" s="328">
        <f>1320389+1047397.5+530759.5+445722+254656.5+279760.5+107391.5</f>
        <v>3986076.5</v>
      </c>
      <c r="P46" s="344">
        <f>139659+113627+60100+49146+32088+35564+15150</f>
        <v>445334</v>
      </c>
      <c r="Q46" s="297">
        <v>40935</v>
      </c>
    </row>
    <row r="47" spans="1:17" ht="12" customHeight="1">
      <c r="A47" s="520">
        <v>44</v>
      </c>
      <c r="B47" s="236" t="s">
        <v>193</v>
      </c>
      <c r="C47" s="236"/>
      <c r="D47" s="236">
        <v>2</v>
      </c>
      <c r="E47" s="236" t="s">
        <v>250</v>
      </c>
      <c r="F47" s="236" t="s">
        <v>55</v>
      </c>
      <c r="G47" s="236"/>
      <c r="H47" s="459" t="s">
        <v>133</v>
      </c>
      <c r="I47" s="339" t="s">
        <v>134</v>
      </c>
      <c r="J47" s="320">
        <v>40893</v>
      </c>
      <c r="K47" s="288" t="s">
        <v>68</v>
      </c>
      <c r="L47" s="312">
        <v>131</v>
      </c>
      <c r="M47" s="382">
        <v>47477</v>
      </c>
      <c r="N47" s="383">
        <v>6705</v>
      </c>
      <c r="O47" s="328">
        <f>1320389+1047397.5+530759.5+445722+254656.5+279760.5+107391.5+47477</f>
        <v>4033553.5</v>
      </c>
      <c r="P47" s="344">
        <f>139659+113627+60100+49146+32088+35564+15150+6705</f>
        <v>452039</v>
      </c>
      <c r="Q47" s="297">
        <v>40942</v>
      </c>
    </row>
    <row r="48" spans="1:17" ht="12" customHeight="1">
      <c r="A48" s="520">
        <v>45</v>
      </c>
      <c r="B48" s="236" t="s">
        <v>193</v>
      </c>
      <c r="C48" s="236"/>
      <c r="D48" s="236">
        <v>2</v>
      </c>
      <c r="E48" s="236" t="s">
        <v>250</v>
      </c>
      <c r="F48" s="236" t="s">
        <v>55</v>
      </c>
      <c r="G48" s="236"/>
      <c r="H48" s="366" t="s">
        <v>133</v>
      </c>
      <c r="I48" s="339" t="s">
        <v>134</v>
      </c>
      <c r="J48" s="320">
        <v>40893</v>
      </c>
      <c r="K48" s="288" t="s">
        <v>68</v>
      </c>
      <c r="L48" s="312">
        <v>131</v>
      </c>
      <c r="M48" s="382">
        <v>25083</v>
      </c>
      <c r="N48" s="383">
        <v>3664</v>
      </c>
      <c r="O48" s="328">
        <f>1320389+1047397.5+530759.5+445722+254656.5+279760.5+107391.5+47477+25083</f>
        <v>4058636.5</v>
      </c>
      <c r="P48" s="344">
        <f>139659+113627+60100+49146+32088+35564+15150+6705+3664</f>
        <v>455703</v>
      </c>
      <c r="Q48" s="297">
        <v>40949</v>
      </c>
    </row>
    <row r="49" spans="1:17" ht="12" customHeight="1">
      <c r="A49" s="520">
        <v>46</v>
      </c>
      <c r="B49" s="236" t="s">
        <v>193</v>
      </c>
      <c r="C49" s="236"/>
      <c r="D49" s="236">
        <v>2</v>
      </c>
      <c r="E49" s="236" t="s">
        <v>250</v>
      </c>
      <c r="F49" s="236" t="s">
        <v>55</v>
      </c>
      <c r="G49" s="236"/>
      <c r="H49" s="366" t="s">
        <v>133</v>
      </c>
      <c r="I49" s="339" t="s">
        <v>134</v>
      </c>
      <c r="J49" s="320">
        <v>40893</v>
      </c>
      <c r="K49" s="288" t="s">
        <v>68</v>
      </c>
      <c r="L49" s="312">
        <v>131</v>
      </c>
      <c r="M49" s="382">
        <v>19078.5</v>
      </c>
      <c r="N49" s="383">
        <v>4389</v>
      </c>
      <c r="O49" s="328">
        <f>1320389+1047397.5+530759.5+445722+254656.5+279760.5+107391.5+47477+25130+6341+19078.5</f>
        <v>4084103</v>
      </c>
      <c r="P49" s="344">
        <f>139659+113627+60100+49146+32088+35564+15150+6705+3672+1942+4389</f>
        <v>462042</v>
      </c>
      <c r="Q49" s="297">
        <v>40963</v>
      </c>
    </row>
    <row r="50" spans="1:17" ht="12" customHeight="1">
      <c r="A50" s="520">
        <v>47</v>
      </c>
      <c r="B50" s="236" t="s">
        <v>193</v>
      </c>
      <c r="C50" s="236"/>
      <c r="D50" s="236">
        <v>2</v>
      </c>
      <c r="E50" s="236" t="s">
        <v>250</v>
      </c>
      <c r="F50" s="236" t="s">
        <v>55</v>
      </c>
      <c r="G50" s="236"/>
      <c r="H50" s="366" t="s">
        <v>133</v>
      </c>
      <c r="I50" s="339" t="s">
        <v>134</v>
      </c>
      <c r="J50" s="320">
        <v>40893</v>
      </c>
      <c r="K50" s="288" t="s">
        <v>68</v>
      </c>
      <c r="L50" s="440">
        <v>131</v>
      </c>
      <c r="M50" s="382">
        <v>9183</v>
      </c>
      <c r="N50" s="383">
        <v>1748</v>
      </c>
      <c r="O50" s="328">
        <f>1320389+1047397.5+530759.5+445722+254656.5+279760.5+107391.5+47477+25130+6341+19078.5+7416+6006+4427+9183</f>
        <v>4111135</v>
      </c>
      <c r="P50" s="344">
        <f>139659+113627+60100+49146+32088+35564+15150+6705+3672+1942+4389+1420+1179+871+1748</f>
        <v>467260</v>
      </c>
      <c r="Q50" s="297">
        <v>40991</v>
      </c>
    </row>
    <row r="51" spans="1:17" ht="12" customHeight="1">
      <c r="A51" s="520">
        <v>48</v>
      </c>
      <c r="B51" s="236" t="s">
        <v>193</v>
      </c>
      <c r="C51" s="236"/>
      <c r="D51" s="236">
        <v>2</v>
      </c>
      <c r="E51" s="236" t="s">
        <v>250</v>
      </c>
      <c r="F51" s="236" t="s">
        <v>55</v>
      </c>
      <c r="G51" s="236"/>
      <c r="H51" s="366" t="s">
        <v>133</v>
      </c>
      <c r="I51" s="339" t="s">
        <v>134</v>
      </c>
      <c r="J51" s="320">
        <v>40893</v>
      </c>
      <c r="K51" s="288" t="s">
        <v>68</v>
      </c>
      <c r="L51" s="312">
        <v>131</v>
      </c>
      <c r="M51" s="382">
        <v>7416</v>
      </c>
      <c r="N51" s="383">
        <v>1420</v>
      </c>
      <c r="O51" s="328">
        <f>1320389+1047397.5+530759.5+445722+254656.5+279760.5+107391.5+47477+25130+6341+19078.5+7416</f>
        <v>4091519</v>
      </c>
      <c r="P51" s="344">
        <f>139659+113627+60100+49146+32088+35564+15150+6705+3672+1942+4389+1420</f>
        <v>463462</v>
      </c>
      <c r="Q51" s="297">
        <v>40970</v>
      </c>
    </row>
    <row r="52" spans="1:17" ht="12" customHeight="1">
      <c r="A52" s="520">
        <v>49</v>
      </c>
      <c r="B52" s="236" t="s">
        <v>193</v>
      </c>
      <c r="C52" s="236"/>
      <c r="D52" s="236">
        <v>2</v>
      </c>
      <c r="E52" s="236" t="s">
        <v>250</v>
      </c>
      <c r="F52" s="236" t="s">
        <v>55</v>
      </c>
      <c r="G52" s="236"/>
      <c r="H52" s="366" t="s">
        <v>133</v>
      </c>
      <c r="I52" s="339" t="s">
        <v>134</v>
      </c>
      <c r="J52" s="320">
        <v>40893</v>
      </c>
      <c r="K52" s="288" t="s">
        <v>68</v>
      </c>
      <c r="L52" s="312">
        <v>131</v>
      </c>
      <c r="M52" s="382">
        <v>6341</v>
      </c>
      <c r="N52" s="383">
        <v>1942</v>
      </c>
      <c r="O52" s="328">
        <f>1320389+1047397.5+530759.5+445722+254656.5+279760.5+107391.5+47477+25130+6341</f>
        <v>4065024.5</v>
      </c>
      <c r="P52" s="344">
        <f>139659+113627+60100+49146+32088+35564+15150+6705+3672+1942</f>
        <v>457653</v>
      </c>
      <c r="Q52" s="297">
        <v>40956</v>
      </c>
    </row>
    <row r="53" spans="1:17" ht="12" customHeight="1">
      <c r="A53" s="520">
        <v>50</v>
      </c>
      <c r="B53" s="236" t="s">
        <v>193</v>
      </c>
      <c r="C53" s="236"/>
      <c r="D53" s="236">
        <v>2</v>
      </c>
      <c r="E53" s="236" t="s">
        <v>250</v>
      </c>
      <c r="F53" s="236" t="s">
        <v>55</v>
      </c>
      <c r="G53" s="236"/>
      <c r="H53" s="366" t="s">
        <v>133</v>
      </c>
      <c r="I53" s="339" t="s">
        <v>134</v>
      </c>
      <c r="J53" s="320">
        <v>40893</v>
      </c>
      <c r="K53" s="288" t="s">
        <v>68</v>
      </c>
      <c r="L53" s="312">
        <v>131</v>
      </c>
      <c r="M53" s="382">
        <v>6006</v>
      </c>
      <c r="N53" s="383">
        <v>1179</v>
      </c>
      <c r="O53" s="328">
        <f>1320389+1047397.5+530759.5+445722+254656.5+279760.5+107391.5+47477+25130+6341+19078.5+7416+6006</f>
        <v>4097525</v>
      </c>
      <c r="P53" s="344">
        <f>139659+113627+60100+49146+32088+35564+15150+6705+3672+1942+4389+1420+1179</f>
        <v>464641</v>
      </c>
      <c r="Q53" s="297">
        <v>40977</v>
      </c>
    </row>
    <row r="54" spans="1:17" ht="12" customHeight="1">
      <c r="A54" s="520">
        <v>51</v>
      </c>
      <c r="B54" s="236" t="s">
        <v>193</v>
      </c>
      <c r="C54" s="236"/>
      <c r="D54" s="236">
        <v>2</v>
      </c>
      <c r="E54" s="236" t="s">
        <v>250</v>
      </c>
      <c r="F54" s="236" t="s">
        <v>55</v>
      </c>
      <c r="G54" s="236"/>
      <c r="H54" s="366" t="s">
        <v>133</v>
      </c>
      <c r="I54" s="339" t="s">
        <v>134</v>
      </c>
      <c r="J54" s="320">
        <v>40893</v>
      </c>
      <c r="K54" s="288" t="s">
        <v>68</v>
      </c>
      <c r="L54" s="440">
        <v>131</v>
      </c>
      <c r="M54" s="470">
        <v>4427</v>
      </c>
      <c r="N54" s="471">
        <v>871</v>
      </c>
      <c r="O54" s="448">
        <f>1320389+1047397.5+530759.5+445722+254656.5+279760.5+107391.5+47477+25130+6341+19078.5+7416+6006+4427</f>
        <v>4101952</v>
      </c>
      <c r="P54" s="449">
        <f>139659+113627+60100+49146+32088+35564+15150+6705+3672+1942+4389+1420+1179+871</f>
        <v>465512</v>
      </c>
      <c r="Q54" s="297">
        <v>40984</v>
      </c>
    </row>
    <row r="55" spans="1:17" ht="12" customHeight="1">
      <c r="A55" s="520">
        <v>52</v>
      </c>
      <c r="B55" s="236" t="s">
        <v>193</v>
      </c>
      <c r="C55" s="236"/>
      <c r="D55" s="236">
        <v>2</v>
      </c>
      <c r="E55" s="236" t="s">
        <v>250</v>
      </c>
      <c r="F55" s="236" t="s">
        <v>55</v>
      </c>
      <c r="G55" s="236"/>
      <c r="H55" s="366" t="s">
        <v>133</v>
      </c>
      <c r="I55" s="339" t="s">
        <v>134</v>
      </c>
      <c r="J55" s="320">
        <v>40893</v>
      </c>
      <c r="K55" s="288" t="s">
        <v>68</v>
      </c>
      <c r="L55" s="312">
        <v>131</v>
      </c>
      <c r="M55" s="382">
        <v>1814</v>
      </c>
      <c r="N55" s="383">
        <v>361</v>
      </c>
      <c r="O55" s="328">
        <f>1320389+1047397.5+530759.5+445722+254656.5+279760.5+107391.5+47477+25130+6341+19078.5+7416+6006+4427+9183+263</f>
        <v>4111398</v>
      </c>
      <c r="P55" s="344">
        <f>139659+113627+60100+49146+32088+35564+15150+6705+3672+1942+4389+1420+1179+871+1748+38</f>
        <v>467298</v>
      </c>
      <c r="Q55" s="297">
        <v>41005</v>
      </c>
    </row>
    <row r="56" spans="1:17" ht="12" customHeight="1">
      <c r="A56" s="520">
        <v>53</v>
      </c>
      <c r="B56" s="236" t="s">
        <v>193</v>
      </c>
      <c r="C56" s="236"/>
      <c r="D56" s="236">
        <v>2</v>
      </c>
      <c r="E56" s="236" t="s">
        <v>250</v>
      </c>
      <c r="F56" s="236" t="s">
        <v>55</v>
      </c>
      <c r="G56" s="236"/>
      <c r="H56" s="366" t="s">
        <v>133</v>
      </c>
      <c r="I56" s="312" t="s">
        <v>494</v>
      </c>
      <c r="J56" s="370">
        <v>40893</v>
      </c>
      <c r="K56" s="288" t="s">
        <v>68</v>
      </c>
      <c r="L56" s="312">
        <v>131</v>
      </c>
      <c r="M56" s="468">
        <v>713</v>
      </c>
      <c r="N56" s="469">
        <v>142</v>
      </c>
      <c r="O56" s="317">
        <f>1320389+1047397.5+530759.5+445722+254656.5+279760.5+107391.5+47477+25130+6341+19078.5+7416+6006+4427+9183+263+1814+713</f>
        <v>4113925</v>
      </c>
      <c r="P56" s="368">
        <f>139659+113627+60100+49146+32088+35564+15150+6705+3672+1942+4389+1420+1179+871+1748+38+361+142</f>
        <v>467801</v>
      </c>
      <c r="Q56" s="297">
        <v>41026</v>
      </c>
    </row>
    <row r="57" spans="1:17" ht="12" customHeight="1">
      <c r="A57" s="520">
        <v>54</v>
      </c>
      <c r="B57" s="236" t="s">
        <v>193</v>
      </c>
      <c r="C57" s="236"/>
      <c r="D57" s="236">
        <v>2</v>
      </c>
      <c r="E57" s="236" t="s">
        <v>250</v>
      </c>
      <c r="F57" s="236" t="s">
        <v>55</v>
      </c>
      <c r="G57" s="236"/>
      <c r="H57" s="366" t="s">
        <v>133</v>
      </c>
      <c r="I57" s="339" t="s">
        <v>134</v>
      </c>
      <c r="J57" s="370">
        <v>40893</v>
      </c>
      <c r="K57" s="288" t="s">
        <v>68</v>
      </c>
      <c r="L57" s="312">
        <v>131</v>
      </c>
      <c r="M57" s="382">
        <v>392</v>
      </c>
      <c r="N57" s="383">
        <v>28</v>
      </c>
      <c r="O57" s="328">
        <f>1320389+1047397.5+530759.5+445722+254656.5+279760.5+107391.5+47477+25130+6341+19078.5+7416+6006+4427+9183+263+1814+713+392</f>
        <v>4114317</v>
      </c>
      <c r="P57" s="344">
        <f>139659+113627+60100+49146+32088+35564+15150+6705+3672+1942+4389+1420+1179+871+1748+38+361+142+28</f>
        <v>467829</v>
      </c>
      <c r="Q57" s="297">
        <v>41040</v>
      </c>
    </row>
    <row r="58" spans="1:17" ht="12" customHeight="1">
      <c r="A58" s="520">
        <v>55</v>
      </c>
      <c r="B58" s="236" t="s">
        <v>193</v>
      </c>
      <c r="C58" s="236"/>
      <c r="D58" s="236">
        <v>2</v>
      </c>
      <c r="E58" s="236" t="s">
        <v>250</v>
      </c>
      <c r="F58" s="236" t="s">
        <v>55</v>
      </c>
      <c r="G58" s="236"/>
      <c r="H58" s="366" t="s">
        <v>133</v>
      </c>
      <c r="I58" s="339" t="s">
        <v>134</v>
      </c>
      <c r="J58" s="320">
        <v>40893</v>
      </c>
      <c r="K58" s="288" t="s">
        <v>68</v>
      </c>
      <c r="L58" s="312">
        <v>131</v>
      </c>
      <c r="M58" s="382">
        <v>263</v>
      </c>
      <c r="N58" s="383">
        <v>38</v>
      </c>
      <c r="O58" s="328">
        <f>1320389+1047397.5+530759.5+445722+254656.5+279760.5+107391.5+47477+25130+6341+19078.5+7416+6006+4427+9183+263</f>
        <v>4111398</v>
      </c>
      <c r="P58" s="344">
        <f>139659+113627+60100+49146+32088+35564+15150+6705+3672+1942+4389+1420+1179+871+1748+38</f>
        <v>467298</v>
      </c>
      <c r="Q58" s="297">
        <v>40998</v>
      </c>
    </row>
    <row r="59" spans="1:17" ht="12" customHeight="1">
      <c r="A59" s="520">
        <v>56</v>
      </c>
      <c r="B59" s="236"/>
      <c r="C59" s="236"/>
      <c r="D59" s="236"/>
      <c r="E59" s="236"/>
      <c r="F59" s="236"/>
      <c r="G59" s="236" t="s">
        <v>54</v>
      </c>
      <c r="H59" s="459" t="s">
        <v>67</v>
      </c>
      <c r="I59" s="339" t="s">
        <v>67</v>
      </c>
      <c r="J59" s="320">
        <v>40844</v>
      </c>
      <c r="K59" s="288" t="s">
        <v>68</v>
      </c>
      <c r="L59" s="312">
        <v>278</v>
      </c>
      <c r="M59" s="382">
        <v>17226.5</v>
      </c>
      <c r="N59" s="383">
        <v>2090</v>
      </c>
      <c r="O59" s="328">
        <f>2021467.25+4147826.75+1641146.5+1086471.5+837723.5+353523.5+115157+12431.5+1554+13261.5+3397.5+17222.5+17226.5</f>
        <v>10268409.5</v>
      </c>
      <c r="P59" s="344">
        <f>231121+459388+190384+130345+104513+46481+14878+1830+250+1860+737+1888+2090</f>
        <v>1185765</v>
      </c>
      <c r="Q59" s="297">
        <v>40928</v>
      </c>
    </row>
    <row r="60" spans="1:17" ht="12" customHeight="1">
      <c r="A60" s="520">
        <v>57</v>
      </c>
      <c r="B60" s="236"/>
      <c r="C60" s="236"/>
      <c r="D60" s="236"/>
      <c r="E60" s="236"/>
      <c r="F60" s="236"/>
      <c r="G60" s="236" t="s">
        <v>54</v>
      </c>
      <c r="H60" s="459" t="s">
        <v>67</v>
      </c>
      <c r="I60" s="339" t="s">
        <v>67</v>
      </c>
      <c r="J60" s="320">
        <v>40844</v>
      </c>
      <c r="K60" s="288" t="s">
        <v>68</v>
      </c>
      <c r="L60" s="312">
        <v>278</v>
      </c>
      <c r="M60" s="382">
        <v>17222.5</v>
      </c>
      <c r="N60" s="383">
        <v>1888</v>
      </c>
      <c r="O60" s="328">
        <f>2021467.25+4147826.75+1641146.5+1086471.5+837723.5+353523.5+115157+12431.5+1554+13261.5+3397.5+17222.5</f>
        <v>10251183</v>
      </c>
      <c r="P60" s="344">
        <f>231121+459388+190384+130345+104513+46481+14878+1830+250+1860+737+1888</f>
        <v>1183675</v>
      </c>
      <c r="Q60" s="297">
        <v>40921</v>
      </c>
    </row>
    <row r="61" spans="1:17" ht="12" customHeight="1">
      <c r="A61" s="520">
        <v>58</v>
      </c>
      <c r="B61" s="236"/>
      <c r="C61" s="236"/>
      <c r="D61" s="236"/>
      <c r="E61" s="236"/>
      <c r="F61" s="236"/>
      <c r="G61" s="236" t="s">
        <v>54</v>
      </c>
      <c r="H61" s="459" t="s">
        <v>67</v>
      </c>
      <c r="I61" s="339" t="s">
        <v>67</v>
      </c>
      <c r="J61" s="320">
        <v>40844</v>
      </c>
      <c r="K61" s="288" t="s">
        <v>68</v>
      </c>
      <c r="L61" s="312">
        <v>278</v>
      </c>
      <c r="M61" s="382">
        <v>13261.5</v>
      </c>
      <c r="N61" s="383">
        <v>1860</v>
      </c>
      <c r="O61" s="328">
        <f>2021467.25+4147826.75+1641146.5+1086471.5+837723.5+353523.5+115157+12431.5+1554+13261.5</f>
        <v>10230563</v>
      </c>
      <c r="P61" s="344">
        <f>231121+459388+190384+130345+104513+46481+14878+1830+250+1860</f>
        <v>1181050</v>
      </c>
      <c r="Q61" s="297">
        <v>40907</v>
      </c>
    </row>
    <row r="62" spans="1:17" ht="12" customHeight="1">
      <c r="A62" s="520">
        <v>59</v>
      </c>
      <c r="B62" s="236"/>
      <c r="C62" s="236"/>
      <c r="D62" s="236"/>
      <c r="E62" s="236"/>
      <c r="F62" s="236"/>
      <c r="G62" s="236" t="s">
        <v>54</v>
      </c>
      <c r="H62" s="459" t="s">
        <v>67</v>
      </c>
      <c r="I62" s="339" t="s">
        <v>67</v>
      </c>
      <c r="J62" s="320">
        <v>40844</v>
      </c>
      <c r="K62" s="288" t="s">
        <v>68</v>
      </c>
      <c r="L62" s="312">
        <v>278</v>
      </c>
      <c r="M62" s="382">
        <v>5821</v>
      </c>
      <c r="N62" s="383">
        <v>661</v>
      </c>
      <c r="O62" s="328">
        <f>2021467.25+4147826.75+1641146.5+1086471.5+837723.5+353523.5+115157+12431.5+1554+13261.5+3397.5+17222.5+17226.5+5821</f>
        <v>10274230.5</v>
      </c>
      <c r="P62" s="344">
        <f>231121+459388+190384+130345+104513+46481+14878+1830+250+1860+737+1888+2090+661</f>
        <v>1186426</v>
      </c>
      <c r="Q62" s="297">
        <v>40935</v>
      </c>
    </row>
    <row r="63" spans="1:17" ht="12" customHeight="1">
      <c r="A63" s="520">
        <v>60</v>
      </c>
      <c r="B63" s="236"/>
      <c r="C63" s="236"/>
      <c r="D63" s="236"/>
      <c r="E63" s="236"/>
      <c r="F63" s="236"/>
      <c r="G63" s="236" t="s">
        <v>54</v>
      </c>
      <c r="H63" s="366" t="s">
        <v>67</v>
      </c>
      <c r="I63" s="339" t="s">
        <v>67</v>
      </c>
      <c r="J63" s="320">
        <v>40844</v>
      </c>
      <c r="K63" s="288" t="s">
        <v>68</v>
      </c>
      <c r="L63" s="312">
        <v>278</v>
      </c>
      <c r="M63" s="382">
        <v>4832</v>
      </c>
      <c r="N63" s="383">
        <v>673</v>
      </c>
      <c r="O63" s="328">
        <f>2021467.25+4147826.75+1641146.5+1086471.5+837723.5+353523.5+115157+12431.5+1554+13261.5+3397.5+17222.5+17226.5+5821+1188+2851+2851+2530+4832</f>
        <v>10288482.5</v>
      </c>
      <c r="P63" s="344">
        <f>231121+459388+190384+130345+104513+46481+14878+1830+250+1860+737+1888+2090+661+238+570+284+543+673</f>
        <v>1188734</v>
      </c>
      <c r="Q63" s="297">
        <v>40970</v>
      </c>
    </row>
    <row r="64" spans="1:17" ht="12" customHeight="1">
      <c r="A64" s="520">
        <v>61</v>
      </c>
      <c r="B64" s="236"/>
      <c r="C64" s="236"/>
      <c r="D64" s="236"/>
      <c r="E64" s="236"/>
      <c r="F64" s="236"/>
      <c r="G64" s="236" t="s">
        <v>54</v>
      </c>
      <c r="H64" s="459" t="s">
        <v>67</v>
      </c>
      <c r="I64" s="339" t="s">
        <v>67</v>
      </c>
      <c r="J64" s="320">
        <v>40844</v>
      </c>
      <c r="K64" s="288" t="s">
        <v>68</v>
      </c>
      <c r="L64" s="312">
        <v>278</v>
      </c>
      <c r="M64" s="382">
        <v>3397.5</v>
      </c>
      <c r="N64" s="383">
        <v>737</v>
      </c>
      <c r="O64" s="328">
        <f>2021467.25+4147826.75+1641146.5+1086471.5+837723.5+353523.5+115157+12431.5+1554+13261.5+3397.5</f>
        <v>10233960.5</v>
      </c>
      <c r="P64" s="344">
        <f>231121+459388+190384+130345+104513+46481+14878+1830+250+1860+737</f>
        <v>1181787</v>
      </c>
      <c r="Q64" s="297">
        <v>40914</v>
      </c>
    </row>
    <row r="65" spans="1:17" ht="12" customHeight="1">
      <c r="A65" s="520">
        <v>62</v>
      </c>
      <c r="B65" s="236"/>
      <c r="C65" s="236"/>
      <c r="D65" s="236"/>
      <c r="E65" s="236"/>
      <c r="F65" s="236"/>
      <c r="G65" s="236" t="s">
        <v>54</v>
      </c>
      <c r="H65" s="366" t="s">
        <v>67</v>
      </c>
      <c r="I65" s="339" t="s">
        <v>67</v>
      </c>
      <c r="J65" s="320">
        <v>40844</v>
      </c>
      <c r="K65" s="288" t="s">
        <v>68</v>
      </c>
      <c r="L65" s="312">
        <v>278</v>
      </c>
      <c r="M65" s="382">
        <v>2851</v>
      </c>
      <c r="N65" s="383">
        <v>570</v>
      </c>
      <c r="O65" s="328">
        <f>2021467.25+4147826.75+1641146.5+1086471.5+837723.5+353523.5+115157+12431.5+1554+13261.5+3397.5+17222.5+17226.5+5821+1188+2851</f>
        <v>10278269.5</v>
      </c>
      <c r="P65" s="344">
        <f>231121+459388+190384+130345+104513+46481+14878+1830+250+1860+737+1888+2090+661+238+570</f>
        <v>1187234</v>
      </c>
      <c r="Q65" s="297">
        <v>40949</v>
      </c>
    </row>
    <row r="66" spans="1:17" ht="12" customHeight="1">
      <c r="A66" s="520">
        <v>63</v>
      </c>
      <c r="B66" s="236"/>
      <c r="C66" s="236"/>
      <c r="D66" s="236"/>
      <c r="E66" s="236"/>
      <c r="F66" s="236"/>
      <c r="G66" s="236" t="s">
        <v>54</v>
      </c>
      <c r="H66" s="366" t="s">
        <v>67</v>
      </c>
      <c r="I66" s="339" t="s">
        <v>67</v>
      </c>
      <c r="J66" s="320">
        <v>40844</v>
      </c>
      <c r="K66" s="288" t="s">
        <v>68</v>
      </c>
      <c r="L66" s="312">
        <v>278</v>
      </c>
      <c r="M66" s="382">
        <v>2530</v>
      </c>
      <c r="N66" s="383">
        <v>543</v>
      </c>
      <c r="O66" s="328">
        <f>2021467.25+4147826.75+1641146.5+1086471.5+837723.5+353523.5+115157+12431.5+1554+13261.5+3397.5+17222.5+17226.5+5821+1188+2851+2851+2530</f>
        <v>10283650.5</v>
      </c>
      <c r="P66" s="344">
        <f>231121+459388+190384+130345+104513+46481+14878+1830+250+1860+737+1888+2090+661+238+570+284+543</f>
        <v>1188061</v>
      </c>
      <c r="Q66" s="297">
        <v>40963</v>
      </c>
    </row>
    <row r="67" spans="1:17" ht="12" customHeight="1">
      <c r="A67" s="520">
        <v>64</v>
      </c>
      <c r="B67" s="236"/>
      <c r="C67" s="236"/>
      <c r="D67" s="236"/>
      <c r="E67" s="236"/>
      <c r="F67" s="236"/>
      <c r="G67" s="236" t="s">
        <v>54</v>
      </c>
      <c r="H67" s="366" t="s">
        <v>67</v>
      </c>
      <c r="I67" s="339" t="s">
        <v>67</v>
      </c>
      <c r="J67" s="370">
        <v>40844</v>
      </c>
      <c r="K67" s="288" t="s">
        <v>68</v>
      </c>
      <c r="L67" s="312">
        <v>278</v>
      </c>
      <c r="M67" s="382">
        <v>2376</v>
      </c>
      <c r="N67" s="383">
        <v>475</v>
      </c>
      <c r="O67" s="328">
        <f>2021467.25+4147826.75+1641146.5+1086471.5+837723.5+353523.5+115157+12431.5+1554+13261.5+3397.5+17222.5+17226.5+5821+1188+2851+2851+2530+4832+1188+1425.5+1425.5+2376</f>
        <v>10294897.5</v>
      </c>
      <c r="P67" s="344">
        <f>231121+459388+190384+130345+104513+46481+14878+1830+250+1860+737+1888+2090+661+238+570+284+543+673+238+285+238+475</f>
        <v>1189970</v>
      </c>
      <c r="Q67" s="297">
        <v>41040</v>
      </c>
    </row>
    <row r="68" spans="1:17" ht="12" customHeight="1">
      <c r="A68" s="520">
        <v>65</v>
      </c>
      <c r="B68" s="236"/>
      <c r="C68" s="236"/>
      <c r="D68" s="236"/>
      <c r="E68" s="236"/>
      <c r="F68" s="236"/>
      <c r="G68" s="236" t="s">
        <v>54</v>
      </c>
      <c r="H68" s="366" t="s">
        <v>67</v>
      </c>
      <c r="I68" s="339" t="s">
        <v>67</v>
      </c>
      <c r="J68" s="320">
        <v>40844</v>
      </c>
      <c r="K68" s="288" t="s">
        <v>68</v>
      </c>
      <c r="L68" s="313">
        <v>278</v>
      </c>
      <c r="M68" s="382">
        <v>1425.5</v>
      </c>
      <c r="N68" s="383">
        <v>285</v>
      </c>
      <c r="O68" s="328">
        <f>2021467.25+4147826.75+1641146.5+1086471.5+837723.5+353523.5+115157+12431.5+1554+13261.5+3397.5+17222.5+17226.5+5821+1188+2851+2851+2530+4832+1188</f>
        <v>10289670.5</v>
      </c>
      <c r="P68" s="344">
        <f>231121+459388+190384+130345+104513+46481+14878+1830+250+1860+737+1888+2090+661+238+570+284+543+673+238</f>
        <v>1188972</v>
      </c>
      <c r="Q68" s="297">
        <v>41005</v>
      </c>
    </row>
    <row r="69" spans="1:17" ht="12" customHeight="1">
      <c r="A69" s="520">
        <v>66</v>
      </c>
      <c r="B69" s="236"/>
      <c r="C69" s="236"/>
      <c r="D69" s="236"/>
      <c r="E69" s="236"/>
      <c r="F69" s="236"/>
      <c r="G69" s="236" t="s">
        <v>54</v>
      </c>
      <c r="H69" s="366" t="s">
        <v>67</v>
      </c>
      <c r="I69" s="339" t="s">
        <v>67</v>
      </c>
      <c r="J69" s="320">
        <v>40844</v>
      </c>
      <c r="K69" s="288" t="s">
        <v>68</v>
      </c>
      <c r="L69" s="312">
        <v>278</v>
      </c>
      <c r="M69" s="382">
        <v>1425.5</v>
      </c>
      <c r="N69" s="383">
        <v>238</v>
      </c>
      <c r="O69" s="328">
        <f>2021467.25+4147826.75+1641146.5+1086471.5+837723.5+353523.5+115157+12431.5+1554+13261.5+3397.5+17222.5+17226.5+5821+1188+2851+2851+2530+4832+1188+1425.5+1425.5</f>
        <v>10292521.5</v>
      </c>
      <c r="P69" s="344">
        <f>231121+459388+190384+130345+104513+46481+14878+1830+250+1860+737+1888+2090+661+238+570+284+543+673+238+285+238</f>
        <v>1189495</v>
      </c>
      <c r="Q69" s="297">
        <v>41019</v>
      </c>
    </row>
    <row r="70" spans="1:17" ht="12" customHeight="1">
      <c r="A70" s="520">
        <v>67</v>
      </c>
      <c r="B70" s="236"/>
      <c r="C70" s="236"/>
      <c r="D70" s="236"/>
      <c r="E70" s="236"/>
      <c r="F70" s="236"/>
      <c r="G70" s="236" t="s">
        <v>54</v>
      </c>
      <c r="H70" s="459" t="s">
        <v>67</v>
      </c>
      <c r="I70" s="339" t="s">
        <v>67</v>
      </c>
      <c r="J70" s="320">
        <v>40844</v>
      </c>
      <c r="K70" s="288" t="s">
        <v>68</v>
      </c>
      <c r="L70" s="312">
        <v>278</v>
      </c>
      <c r="M70" s="382">
        <v>1188</v>
      </c>
      <c r="N70" s="383">
        <v>238</v>
      </c>
      <c r="O70" s="328">
        <f>2021467.25+4147826.75+1641146.5+1086471.5+837723.5+353523.5+115157+12431.5+1554+13261.5+3397.5+17222.5+17226.5+5821+1188</f>
        <v>10275418.5</v>
      </c>
      <c r="P70" s="344">
        <f>231121+459388+190384+130345+104513+46481+14878+1830+250+1860+737+1888+2090+661+238</f>
        <v>1186664</v>
      </c>
      <c r="Q70" s="297">
        <v>40942</v>
      </c>
    </row>
    <row r="71" spans="1:17" ht="12" customHeight="1">
      <c r="A71" s="520">
        <v>68</v>
      </c>
      <c r="B71" s="236"/>
      <c r="C71" s="236"/>
      <c r="D71" s="236"/>
      <c r="E71" s="236"/>
      <c r="F71" s="236"/>
      <c r="G71" s="236" t="s">
        <v>54</v>
      </c>
      <c r="H71" s="366" t="s">
        <v>67</v>
      </c>
      <c r="I71" s="339" t="s">
        <v>67</v>
      </c>
      <c r="J71" s="320">
        <v>40844</v>
      </c>
      <c r="K71" s="288" t="s">
        <v>68</v>
      </c>
      <c r="L71" s="313">
        <v>278</v>
      </c>
      <c r="M71" s="382">
        <v>1188</v>
      </c>
      <c r="N71" s="383">
        <v>238</v>
      </c>
      <c r="O71" s="328">
        <f>2021467.25+4147826.75+1641146.5+1086471.5+837723.5+353523.5+115157+12431.5+1554+13261.5+3397.5+17222.5+17226.5+5821+1188+2851+2851+2530+4832+1188</f>
        <v>10289670.5</v>
      </c>
      <c r="P71" s="344">
        <f>231121+459388+190384+130345+104513+46481+14878+1830+250+1860+737+1888+2090+661+238+570+284+543+673+238</f>
        <v>1188972</v>
      </c>
      <c r="Q71" s="297">
        <v>40998</v>
      </c>
    </row>
    <row r="72" spans="1:17" ht="12" customHeight="1">
      <c r="A72" s="520">
        <v>69</v>
      </c>
      <c r="B72" s="236"/>
      <c r="C72" s="236"/>
      <c r="D72" s="236"/>
      <c r="E72" s="236"/>
      <c r="F72" s="236"/>
      <c r="G72" s="236"/>
      <c r="H72" s="366" t="s">
        <v>592</v>
      </c>
      <c r="I72" s="339" t="s">
        <v>593</v>
      </c>
      <c r="J72" s="320">
        <v>40704</v>
      </c>
      <c r="K72" s="288" t="s">
        <v>68</v>
      </c>
      <c r="L72" s="312">
        <v>5</v>
      </c>
      <c r="M72" s="382">
        <v>1782</v>
      </c>
      <c r="N72" s="383">
        <v>356</v>
      </c>
      <c r="O72" s="328">
        <f>20401.5+5027+2422+1135.5+4917+1138.5+597+1238.5+1934+2721.5+1965.5+798+172+1307+1782+1782</f>
        <v>49339</v>
      </c>
      <c r="P72" s="344">
        <f>1380+485+214+81+460+135+75+159+185+328+268+93+24+328+446+356</f>
        <v>5017</v>
      </c>
      <c r="Q72" s="297">
        <v>40970</v>
      </c>
    </row>
    <row r="73" spans="1:17" ht="12" customHeight="1">
      <c r="A73" s="520">
        <v>70</v>
      </c>
      <c r="B73" s="236" t="s">
        <v>193</v>
      </c>
      <c r="C73" s="293"/>
      <c r="D73" s="236"/>
      <c r="E73" s="293"/>
      <c r="F73" s="236" t="s">
        <v>55</v>
      </c>
      <c r="G73" s="293"/>
      <c r="H73" s="364" t="s">
        <v>228</v>
      </c>
      <c r="I73" s="340" t="s">
        <v>229</v>
      </c>
      <c r="J73" s="297">
        <v>39073</v>
      </c>
      <c r="K73" s="288" t="s">
        <v>53</v>
      </c>
      <c r="L73" s="346">
        <v>51</v>
      </c>
      <c r="M73" s="378">
        <v>4562</v>
      </c>
      <c r="N73" s="379">
        <v>872</v>
      </c>
      <c r="O73" s="334">
        <f>145565+155630+55982+15271+7453.5+9440+11300.5+7141.5+2772.5+2945+30+431+4621+226+400+118+79+0+1201+1802+1801.5+4562</f>
        <v>428772.5</v>
      </c>
      <c r="P73" s="338">
        <f>17748+18932+7628+2641+1317+1724+2010+1184+553+655+5+131+1001+24+110+22+13+0+240+360+360+872</f>
        <v>57530</v>
      </c>
      <c r="Q73" s="297">
        <v>41033</v>
      </c>
    </row>
    <row r="74" spans="1:17" ht="12" customHeight="1">
      <c r="A74" s="520">
        <v>71</v>
      </c>
      <c r="B74" s="236" t="s">
        <v>193</v>
      </c>
      <c r="C74" s="293"/>
      <c r="D74" s="236"/>
      <c r="E74" s="293"/>
      <c r="F74" s="236" t="s">
        <v>55</v>
      </c>
      <c r="G74" s="293"/>
      <c r="H74" s="462" t="s">
        <v>228</v>
      </c>
      <c r="I74" s="340" t="s">
        <v>229</v>
      </c>
      <c r="J74" s="297">
        <v>39073</v>
      </c>
      <c r="K74" s="288" t="s">
        <v>53</v>
      </c>
      <c r="L74" s="346">
        <v>51</v>
      </c>
      <c r="M74" s="378">
        <v>1802</v>
      </c>
      <c r="N74" s="379">
        <v>360</v>
      </c>
      <c r="O74" s="334">
        <f>145565+155630+55982+15271+7453.5+9440+11300.5+7141.5+2772.5+2945+30+431+4621+226+400+118+79+0+1201+1802</f>
        <v>422409</v>
      </c>
      <c r="P74" s="338">
        <f>17748+18932+7628+2641+1317+1724+2010+1184+553+655+5+131+1001+24+110+22+13+0+240+360</f>
        <v>56298</v>
      </c>
      <c r="Q74" s="297">
        <v>40928</v>
      </c>
    </row>
    <row r="75" spans="1:17" ht="12" customHeight="1">
      <c r="A75" s="520">
        <v>72</v>
      </c>
      <c r="B75" s="236" t="s">
        <v>193</v>
      </c>
      <c r="C75" s="293"/>
      <c r="D75" s="236"/>
      <c r="E75" s="293"/>
      <c r="F75" s="236" t="s">
        <v>55</v>
      </c>
      <c r="G75" s="293"/>
      <c r="H75" s="364" t="s">
        <v>228</v>
      </c>
      <c r="I75" s="340" t="s">
        <v>229</v>
      </c>
      <c r="J75" s="297">
        <v>39073</v>
      </c>
      <c r="K75" s="288" t="s">
        <v>53</v>
      </c>
      <c r="L75" s="346">
        <v>51</v>
      </c>
      <c r="M75" s="378">
        <v>1801.5</v>
      </c>
      <c r="N75" s="379">
        <v>360</v>
      </c>
      <c r="O75" s="334">
        <f>145565+155630+55982+15271+7453.5+9440+11300.5+7141.5+2772.5+2945+30+431+4621+226+400+118+79+0+1201+1802+1801.5</f>
        <v>424210.5</v>
      </c>
      <c r="P75" s="338">
        <f>17748+18932+7628+2641+1317+1724+2010+1184+553+655+5+131+1001+24+110+22+13+0+240+360+360</f>
        <v>56658</v>
      </c>
      <c r="Q75" s="297">
        <v>40991</v>
      </c>
    </row>
    <row r="76" spans="1:17" ht="12" customHeight="1">
      <c r="A76" s="520">
        <v>73</v>
      </c>
      <c r="B76" s="236" t="s">
        <v>193</v>
      </c>
      <c r="C76" s="293"/>
      <c r="D76" s="236"/>
      <c r="E76" s="293"/>
      <c r="F76" s="236" t="s">
        <v>55</v>
      </c>
      <c r="G76" s="293"/>
      <c r="H76" s="462" t="s">
        <v>228</v>
      </c>
      <c r="I76" s="340" t="s">
        <v>229</v>
      </c>
      <c r="J76" s="297">
        <v>39073</v>
      </c>
      <c r="K76" s="288" t="s">
        <v>53</v>
      </c>
      <c r="L76" s="346">
        <v>51</v>
      </c>
      <c r="M76" s="378">
        <v>1201</v>
      </c>
      <c r="N76" s="379">
        <v>240</v>
      </c>
      <c r="O76" s="334">
        <f>145565+155630+55982+15271+7453.5+9440+11300.5+7141.5+2772.5+2945+30+431+4621+226+400+118+79+0+1201</f>
        <v>420607</v>
      </c>
      <c r="P76" s="338">
        <f>17748+18932+7628+2641+1317+1724+2010+1184+553+655+5+131+1001+24+110+22+13+0+240</f>
        <v>55938</v>
      </c>
      <c r="Q76" s="297">
        <v>40907</v>
      </c>
    </row>
    <row r="77" spans="1:17" ht="12" customHeight="1">
      <c r="A77" s="520">
        <v>74</v>
      </c>
      <c r="B77" s="236" t="s">
        <v>193</v>
      </c>
      <c r="C77" s="293"/>
      <c r="D77" s="236"/>
      <c r="E77" s="236" t="s">
        <v>250</v>
      </c>
      <c r="F77" s="236"/>
      <c r="G77" s="293"/>
      <c r="H77" s="364" t="s">
        <v>580</v>
      </c>
      <c r="I77" s="340" t="s">
        <v>579</v>
      </c>
      <c r="J77" s="297">
        <v>37895</v>
      </c>
      <c r="K77" s="288" t="s">
        <v>53</v>
      </c>
      <c r="L77" s="312">
        <v>50</v>
      </c>
      <c r="M77" s="378">
        <v>1201</v>
      </c>
      <c r="N77" s="379">
        <v>240</v>
      </c>
      <c r="O77" s="334">
        <v>662891.75</v>
      </c>
      <c r="P77" s="338">
        <v>157386</v>
      </c>
      <c r="Q77" s="297">
        <v>40970</v>
      </c>
    </row>
    <row r="78" spans="1:17" ht="12" customHeight="1">
      <c r="A78" s="520">
        <v>75</v>
      </c>
      <c r="B78" s="236" t="s">
        <v>193</v>
      </c>
      <c r="C78" s="293"/>
      <c r="D78" s="236"/>
      <c r="E78" s="236" t="s">
        <v>250</v>
      </c>
      <c r="F78" s="236" t="s">
        <v>55</v>
      </c>
      <c r="G78" s="293"/>
      <c r="H78" s="364" t="s">
        <v>404</v>
      </c>
      <c r="I78" s="340" t="s">
        <v>405</v>
      </c>
      <c r="J78" s="297">
        <v>39192</v>
      </c>
      <c r="K78" s="288" t="s">
        <v>53</v>
      </c>
      <c r="L78" s="312">
        <v>82</v>
      </c>
      <c r="M78" s="378">
        <v>3363</v>
      </c>
      <c r="N78" s="379">
        <v>672</v>
      </c>
      <c r="O78" s="334">
        <f>407730+156171.5+87089+48964+29084+13173.5+8330+7579.5+805.5+1100+1464+3021+264+123+23+430+70+2408+0.5+234+42+54+3003+1801.5+3363</f>
        <v>776328</v>
      </c>
      <c r="P78" s="338">
        <f>48903+19527+11239+7709+5693+3389+1770+1751+250+248+325+755+88+19+3+86+14+602+39+7+9+600+360+672</f>
        <v>104058</v>
      </c>
      <c r="Q78" s="297">
        <v>41033</v>
      </c>
    </row>
    <row r="79" spans="1:17" ht="12" customHeight="1">
      <c r="A79" s="520">
        <v>76</v>
      </c>
      <c r="B79" s="236" t="s">
        <v>193</v>
      </c>
      <c r="C79" s="293"/>
      <c r="D79" s="236"/>
      <c r="E79" s="236" t="s">
        <v>250</v>
      </c>
      <c r="F79" s="236" t="s">
        <v>55</v>
      </c>
      <c r="G79" s="293"/>
      <c r="H79" s="462" t="s">
        <v>404</v>
      </c>
      <c r="I79" s="340" t="s">
        <v>405</v>
      </c>
      <c r="J79" s="297">
        <v>39192</v>
      </c>
      <c r="K79" s="288" t="s">
        <v>53</v>
      </c>
      <c r="L79" s="312">
        <v>23</v>
      </c>
      <c r="M79" s="378">
        <v>3003</v>
      </c>
      <c r="N79" s="379">
        <v>600</v>
      </c>
      <c r="O79" s="334">
        <f>407730+156171.5+87089+48964+29084+13173.5+8330+7579.5+805.5+1100+1464+3021+264+123+23+430+70+2408+0.5+234+42+54+3003</f>
        <v>771163.5</v>
      </c>
      <c r="P79" s="338">
        <f>48903+19527+11239+7709+5693+3389+1770+1751+250+248+325+755+88+19+3+86+14+602+39+7+9+600</f>
        <v>103026</v>
      </c>
      <c r="Q79" s="297">
        <v>40928</v>
      </c>
    </row>
    <row r="80" spans="1:17" ht="12" customHeight="1">
      <c r="A80" s="520">
        <v>77</v>
      </c>
      <c r="B80" s="236" t="s">
        <v>193</v>
      </c>
      <c r="C80" s="293"/>
      <c r="D80" s="236"/>
      <c r="E80" s="236" t="s">
        <v>250</v>
      </c>
      <c r="F80" s="236" t="s">
        <v>55</v>
      </c>
      <c r="G80" s="293"/>
      <c r="H80" s="364" t="s">
        <v>404</v>
      </c>
      <c r="I80" s="340" t="s">
        <v>405</v>
      </c>
      <c r="J80" s="297">
        <v>39192</v>
      </c>
      <c r="K80" s="288" t="s">
        <v>53</v>
      </c>
      <c r="L80" s="312">
        <v>82</v>
      </c>
      <c r="M80" s="378">
        <v>1801.5</v>
      </c>
      <c r="N80" s="379">
        <v>360</v>
      </c>
      <c r="O80" s="334">
        <f>407730+156171.5+87089+48964+29084+13173.5+8330+7579.5+805.5+1100+1464+3021+264+123+23+430+70+2408+0.5+234+42+54+3003+1801.5</f>
        <v>772965</v>
      </c>
      <c r="P80" s="338">
        <f>48903+19527+11239+7709+5693+3389+1770+1751+250+248+325+755+88+19+3+86+14+602+39+7+9+600+360</f>
        <v>103386</v>
      </c>
      <c r="Q80" s="297">
        <v>40991</v>
      </c>
    </row>
    <row r="81" spans="1:17" ht="12" customHeight="1">
      <c r="A81" s="520">
        <v>78</v>
      </c>
      <c r="B81" s="236"/>
      <c r="C81" s="236"/>
      <c r="D81" s="236"/>
      <c r="E81" s="236"/>
      <c r="F81" s="236"/>
      <c r="G81" s="236" t="s">
        <v>54</v>
      </c>
      <c r="H81" s="459" t="s">
        <v>132</v>
      </c>
      <c r="I81" s="339" t="s">
        <v>132</v>
      </c>
      <c r="J81" s="320">
        <v>40893</v>
      </c>
      <c r="K81" s="288" t="s">
        <v>68</v>
      </c>
      <c r="L81" s="312">
        <v>23</v>
      </c>
      <c r="M81" s="382">
        <v>20298.5</v>
      </c>
      <c r="N81" s="383">
        <v>2691</v>
      </c>
      <c r="O81" s="328">
        <f>53228.5+28585+20298.5</f>
        <v>102112</v>
      </c>
      <c r="P81" s="344">
        <f>6440+3537+2691</f>
        <v>12668</v>
      </c>
      <c r="Q81" s="297">
        <v>40907</v>
      </c>
    </row>
    <row r="82" spans="1:17" ht="12" customHeight="1">
      <c r="A82" s="520">
        <v>79</v>
      </c>
      <c r="B82" s="236"/>
      <c r="C82" s="236"/>
      <c r="D82" s="236"/>
      <c r="E82" s="236"/>
      <c r="F82" s="236"/>
      <c r="G82" s="236" t="s">
        <v>54</v>
      </c>
      <c r="H82" s="459" t="s">
        <v>132</v>
      </c>
      <c r="I82" s="339" t="s">
        <v>132</v>
      </c>
      <c r="J82" s="320">
        <v>40893</v>
      </c>
      <c r="K82" s="288" t="s">
        <v>68</v>
      </c>
      <c r="L82" s="312">
        <v>23</v>
      </c>
      <c r="M82" s="382">
        <v>8299</v>
      </c>
      <c r="N82" s="383">
        <v>1237</v>
      </c>
      <c r="O82" s="328">
        <f>53228.5+28585+20298.5+8299</f>
        <v>110411</v>
      </c>
      <c r="P82" s="344">
        <f>6440+3537+2691+1237</f>
        <v>13905</v>
      </c>
      <c r="Q82" s="297">
        <v>40914</v>
      </c>
    </row>
    <row r="83" spans="1:17" ht="12" customHeight="1">
      <c r="A83" s="520">
        <v>80</v>
      </c>
      <c r="B83" s="236"/>
      <c r="C83" s="236"/>
      <c r="D83" s="236"/>
      <c r="E83" s="236"/>
      <c r="F83" s="236"/>
      <c r="G83" s="236" t="s">
        <v>54</v>
      </c>
      <c r="H83" s="459" t="s">
        <v>132</v>
      </c>
      <c r="I83" s="339" t="s">
        <v>132</v>
      </c>
      <c r="J83" s="320">
        <v>40893</v>
      </c>
      <c r="K83" s="288" t="s">
        <v>68</v>
      </c>
      <c r="L83" s="312">
        <v>23</v>
      </c>
      <c r="M83" s="382">
        <v>6463</v>
      </c>
      <c r="N83" s="383">
        <v>1419</v>
      </c>
      <c r="O83" s="328">
        <f>53228.5+28585+20298.5+8299+5922+6463</f>
        <v>122796</v>
      </c>
      <c r="P83" s="344">
        <f>6440+3537+2691+1237+891+1419</f>
        <v>16215</v>
      </c>
      <c r="Q83" s="297">
        <v>40928</v>
      </c>
    </row>
    <row r="84" spans="1:17" ht="12" customHeight="1">
      <c r="A84" s="520">
        <v>81</v>
      </c>
      <c r="B84" s="236"/>
      <c r="C84" s="236"/>
      <c r="D84" s="236"/>
      <c r="E84" s="236"/>
      <c r="F84" s="236"/>
      <c r="G84" s="236" t="s">
        <v>54</v>
      </c>
      <c r="H84" s="459" t="s">
        <v>132</v>
      </c>
      <c r="I84" s="339" t="s">
        <v>132</v>
      </c>
      <c r="J84" s="320">
        <v>40893</v>
      </c>
      <c r="K84" s="288" t="s">
        <v>68</v>
      </c>
      <c r="L84" s="312">
        <v>23</v>
      </c>
      <c r="M84" s="382">
        <v>5922</v>
      </c>
      <c r="N84" s="383">
        <v>891</v>
      </c>
      <c r="O84" s="328">
        <f>53228.5+28585+20298.5+8299+5922</f>
        <v>116333</v>
      </c>
      <c r="P84" s="344">
        <f>6440+3537+2691+1237+891</f>
        <v>14796</v>
      </c>
      <c r="Q84" s="297">
        <v>40921</v>
      </c>
    </row>
    <row r="85" spans="1:17" ht="12" customHeight="1">
      <c r="A85" s="520">
        <v>82</v>
      </c>
      <c r="B85" s="236"/>
      <c r="C85" s="236"/>
      <c r="D85" s="236"/>
      <c r="E85" s="236"/>
      <c r="F85" s="236"/>
      <c r="G85" s="236" t="s">
        <v>54</v>
      </c>
      <c r="H85" s="366" t="s">
        <v>132</v>
      </c>
      <c r="I85" s="339" t="s">
        <v>132</v>
      </c>
      <c r="J85" s="320">
        <v>40893</v>
      </c>
      <c r="K85" s="288" t="s">
        <v>68</v>
      </c>
      <c r="L85" s="312">
        <v>23</v>
      </c>
      <c r="M85" s="382">
        <v>3801.5</v>
      </c>
      <c r="N85" s="383">
        <v>760</v>
      </c>
      <c r="O85" s="328">
        <f>53228.5+28585+20298.5+8299+5922+6463+2186.5+3291+2777+3801.5</f>
        <v>134852</v>
      </c>
      <c r="P85" s="344">
        <f>6440+3537+2691+1237+891+1419+633+570+423+760</f>
        <v>18601</v>
      </c>
      <c r="Q85" s="297">
        <v>40956</v>
      </c>
    </row>
    <row r="86" spans="1:17" ht="12" customHeight="1">
      <c r="A86" s="520">
        <v>83</v>
      </c>
      <c r="B86" s="236"/>
      <c r="C86" s="236"/>
      <c r="D86" s="236"/>
      <c r="E86" s="236"/>
      <c r="F86" s="236"/>
      <c r="G86" s="236" t="s">
        <v>54</v>
      </c>
      <c r="H86" s="459" t="s">
        <v>132</v>
      </c>
      <c r="I86" s="339" t="s">
        <v>132</v>
      </c>
      <c r="J86" s="320">
        <v>40893</v>
      </c>
      <c r="K86" s="288" t="s">
        <v>68</v>
      </c>
      <c r="L86" s="312">
        <v>23</v>
      </c>
      <c r="M86" s="382">
        <v>3291</v>
      </c>
      <c r="N86" s="383">
        <v>570</v>
      </c>
      <c r="O86" s="328">
        <f>53228.5+28585+20298.5+8299+5922+6463+2186.5+3291</f>
        <v>128273.5</v>
      </c>
      <c r="P86" s="344">
        <f>6440+3537+2691+1237+891+1419+633+570</f>
        <v>17418</v>
      </c>
      <c r="Q86" s="297">
        <v>40942</v>
      </c>
    </row>
    <row r="87" spans="1:17" ht="12" customHeight="1">
      <c r="A87" s="520">
        <v>84</v>
      </c>
      <c r="B87" s="236"/>
      <c r="C87" s="236"/>
      <c r="D87" s="236"/>
      <c r="E87" s="236"/>
      <c r="F87" s="236"/>
      <c r="G87" s="236" t="s">
        <v>54</v>
      </c>
      <c r="H87" s="366" t="s">
        <v>132</v>
      </c>
      <c r="I87" s="339" t="s">
        <v>132</v>
      </c>
      <c r="J87" s="320">
        <v>40893</v>
      </c>
      <c r="K87" s="288" t="s">
        <v>68</v>
      </c>
      <c r="L87" s="312">
        <v>23</v>
      </c>
      <c r="M87" s="382">
        <v>2777</v>
      </c>
      <c r="N87" s="383">
        <v>423</v>
      </c>
      <c r="O87" s="328">
        <f>53228.5+28585+20298.5+8299+5922+6463+2186.5+3291+2777</f>
        <v>131050.5</v>
      </c>
      <c r="P87" s="344">
        <f>6440+3537+2691+1237+891+1419+633+570+423</f>
        <v>17841</v>
      </c>
      <c r="Q87" s="297">
        <v>40949</v>
      </c>
    </row>
    <row r="88" spans="1:17" ht="12" customHeight="1">
      <c r="A88" s="520">
        <v>85</v>
      </c>
      <c r="B88" s="236"/>
      <c r="C88" s="236"/>
      <c r="D88" s="236"/>
      <c r="E88" s="236"/>
      <c r="F88" s="236"/>
      <c r="G88" s="236" t="s">
        <v>54</v>
      </c>
      <c r="H88" s="459" t="s">
        <v>132</v>
      </c>
      <c r="I88" s="339" t="s">
        <v>132</v>
      </c>
      <c r="J88" s="320">
        <v>40893</v>
      </c>
      <c r="K88" s="288" t="s">
        <v>68</v>
      </c>
      <c r="L88" s="312">
        <v>23</v>
      </c>
      <c r="M88" s="382">
        <v>2186.5</v>
      </c>
      <c r="N88" s="383">
        <v>633</v>
      </c>
      <c r="O88" s="328">
        <f>53228.5+28585+20298.5+8299+5922+6463+2186.5</f>
        <v>124982.5</v>
      </c>
      <c r="P88" s="344">
        <f>6440+3537+2691+1237+891+1419+633</f>
        <v>16848</v>
      </c>
      <c r="Q88" s="297">
        <v>40935</v>
      </c>
    </row>
    <row r="89" spans="1:17" ht="12" customHeight="1">
      <c r="A89" s="520">
        <v>86</v>
      </c>
      <c r="B89" s="236"/>
      <c r="C89" s="236"/>
      <c r="D89" s="236"/>
      <c r="E89" s="236"/>
      <c r="F89" s="236"/>
      <c r="G89" s="236" t="s">
        <v>54</v>
      </c>
      <c r="H89" s="366" t="s">
        <v>132</v>
      </c>
      <c r="I89" s="339" t="s">
        <v>132</v>
      </c>
      <c r="J89" s="320">
        <v>40893</v>
      </c>
      <c r="K89" s="288" t="s">
        <v>68</v>
      </c>
      <c r="L89" s="312">
        <v>23</v>
      </c>
      <c r="M89" s="382">
        <v>200</v>
      </c>
      <c r="N89" s="383">
        <v>24</v>
      </c>
      <c r="O89" s="328">
        <f>53228.5+28585+20298.5+8299+5922+6463+2186.5+3291+2777+3801.5+200</f>
        <v>135052</v>
      </c>
      <c r="P89" s="344">
        <f>6440+3537+2691+1237+891+1419+633+570+423+760+24</f>
        <v>18625</v>
      </c>
      <c r="Q89" s="297">
        <v>41019</v>
      </c>
    </row>
    <row r="90" spans="1:17" ht="12" customHeight="1">
      <c r="A90" s="520">
        <v>87</v>
      </c>
      <c r="B90" s="236"/>
      <c r="C90" s="236"/>
      <c r="D90" s="236"/>
      <c r="E90" s="236"/>
      <c r="F90" s="236"/>
      <c r="G90" s="236"/>
      <c r="H90" s="463" t="s">
        <v>211</v>
      </c>
      <c r="I90" s="288" t="s">
        <v>212</v>
      </c>
      <c r="J90" s="320">
        <v>40781</v>
      </c>
      <c r="K90" s="288" t="s">
        <v>13</v>
      </c>
      <c r="L90" s="312">
        <v>10</v>
      </c>
      <c r="M90" s="378">
        <v>2376</v>
      </c>
      <c r="N90" s="379">
        <v>476</v>
      </c>
      <c r="O90" s="334">
        <v>34812</v>
      </c>
      <c r="P90" s="338">
        <v>4571</v>
      </c>
      <c r="Q90" s="297">
        <v>40970</v>
      </c>
    </row>
    <row r="91" spans="1:17" ht="12" customHeight="1">
      <c r="A91" s="520">
        <v>88</v>
      </c>
      <c r="B91" s="236"/>
      <c r="C91" s="236"/>
      <c r="D91" s="236"/>
      <c r="E91" s="236"/>
      <c r="F91" s="236"/>
      <c r="G91" s="236"/>
      <c r="H91" s="463" t="s">
        <v>211</v>
      </c>
      <c r="I91" s="288" t="s">
        <v>212</v>
      </c>
      <c r="J91" s="320">
        <v>40781</v>
      </c>
      <c r="K91" s="288" t="s">
        <v>13</v>
      </c>
      <c r="L91" s="313">
        <v>10</v>
      </c>
      <c r="M91" s="378">
        <v>1188</v>
      </c>
      <c r="N91" s="379">
        <v>238</v>
      </c>
      <c r="O91" s="334">
        <v>36000</v>
      </c>
      <c r="P91" s="338">
        <v>4809</v>
      </c>
      <c r="Q91" s="297">
        <v>41005</v>
      </c>
    </row>
    <row r="92" spans="1:17" ht="12" customHeight="1">
      <c r="A92" s="520">
        <v>89</v>
      </c>
      <c r="B92" s="236"/>
      <c r="C92" s="236"/>
      <c r="D92" s="236"/>
      <c r="E92" s="236"/>
      <c r="F92" s="236"/>
      <c r="G92" s="236"/>
      <c r="H92" s="463" t="s">
        <v>211</v>
      </c>
      <c r="I92" s="288" t="s">
        <v>212</v>
      </c>
      <c r="J92" s="320">
        <v>40781</v>
      </c>
      <c r="K92" s="288" t="s">
        <v>13</v>
      </c>
      <c r="L92" s="440">
        <v>10</v>
      </c>
      <c r="M92" s="378">
        <v>1188</v>
      </c>
      <c r="N92" s="379">
        <v>237</v>
      </c>
      <c r="O92" s="334">
        <v>32436</v>
      </c>
      <c r="P92" s="338">
        <v>4095</v>
      </c>
      <c r="Q92" s="297">
        <v>40907</v>
      </c>
    </row>
    <row r="93" spans="1:17" ht="12" customHeight="1">
      <c r="A93" s="520">
        <v>90</v>
      </c>
      <c r="B93" s="293"/>
      <c r="C93" s="293"/>
      <c r="D93" s="236"/>
      <c r="E93" s="293"/>
      <c r="F93" s="236"/>
      <c r="G93" s="236" t="s">
        <v>54</v>
      </c>
      <c r="H93" s="464" t="s">
        <v>113</v>
      </c>
      <c r="I93" s="288" t="s">
        <v>113</v>
      </c>
      <c r="J93" s="320">
        <v>40886</v>
      </c>
      <c r="K93" s="288" t="s">
        <v>114</v>
      </c>
      <c r="L93" s="312">
        <v>82</v>
      </c>
      <c r="M93" s="472">
        <v>27702.5</v>
      </c>
      <c r="N93" s="473">
        <v>3949</v>
      </c>
      <c r="O93" s="450">
        <v>629561</v>
      </c>
      <c r="P93" s="451">
        <v>71923</v>
      </c>
      <c r="Q93" s="297">
        <v>40907</v>
      </c>
    </row>
    <row r="94" spans="1:17" ht="12" customHeight="1">
      <c r="A94" s="520">
        <v>91</v>
      </c>
      <c r="B94" s="293"/>
      <c r="C94" s="293"/>
      <c r="D94" s="236"/>
      <c r="E94" s="293"/>
      <c r="F94" s="236"/>
      <c r="G94" s="236" t="s">
        <v>54</v>
      </c>
      <c r="H94" s="464" t="s">
        <v>113</v>
      </c>
      <c r="I94" s="288" t="s">
        <v>113</v>
      </c>
      <c r="J94" s="320">
        <v>40886</v>
      </c>
      <c r="K94" s="288" t="s">
        <v>114</v>
      </c>
      <c r="L94" s="312">
        <v>82</v>
      </c>
      <c r="M94" s="472">
        <v>8167.5</v>
      </c>
      <c r="N94" s="473">
        <v>1300</v>
      </c>
      <c r="O94" s="450">
        <v>637877</v>
      </c>
      <c r="P94" s="451">
        <v>73245</v>
      </c>
      <c r="Q94" s="297">
        <v>40914</v>
      </c>
    </row>
    <row r="95" spans="1:17" ht="12" customHeight="1">
      <c r="A95" s="520">
        <v>92</v>
      </c>
      <c r="B95" s="293"/>
      <c r="C95" s="293"/>
      <c r="D95" s="236"/>
      <c r="E95" s="293"/>
      <c r="F95" s="236"/>
      <c r="G95" s="236" t="s">
        <v>54</v>
      </c>
      <c r="H95" s="464" t="s">
        <v>113</v>
      </c>
      <c r="I95" s="288" t="s">
        <v>113</v>
      </c>
      <c r="J95" s="320">
        <v>40886</v>
      </c>
      <c r="K95" s="288" t="s">
        <v>114</v>
      </c>
      <c r="L95" s="312">
        <v>82</v>
      </c>
      <c r="M95" s="472">
        <v>4728</v>
      </c>
      <c r="N95" s="473">
        <v>758</v>
      </c>
      <c r="O95" s="450">
        <v>642785</v>
      </c>
      <c r="P95" s="451">
        <v>74003</v>
      </c>
      <c r="Q95" s="297">
        <v>40921</v>
      </c>
    </row>
    <row r="96" spans="1:17" ht="12" customHeight="1">
      <c r="A96" s="520">
        <v>93</v>
      </c>
      <c r="B96" s="293"/>
      <c r="C96" s="293"/>
      <c r="D96" s="236"/>
      <c r="E96" s="293"/>
      <c r="F96" s="236"/>
      <c r="G96" s="236" t="s">
        <v>54</v>
      </c>
      <c r="H96" s="360" t="s">
        <v>113</v>
      </c>
      <c r="I96" s="288" t="s">
        <v>113</v>
      </c>
      <c r="J96" s="320">
        <v>40886</v>
      </c>
      <c r="K96" s="288" t="s">
        <v>114</v>
      </c>
      <c r="L96" s="312">
        <v>82</v>
      </c>
      <c r="M96" s="472">
        <v>4327</v>
      </c>
      <c r="N96" s="473">
        <v>819</v>
      </c>
      <c r="O96" s="450">
        <v>651438.9</v>
      </c>
      <c r="P96" s="451">
        <v>75523</v>
      </c>
      <c r="Q96" s="297">
        <v>40977</v>
      </c>
    </row>
    <row r="97" spans="1:17" ht="12" customHeight="1">
      <c r="A97" s="520">
        <v>94</v>
      </c>
      <c r="B97" s="293"/>
      <c r="C97" s="293"/>
      <c r="D97" s="236"/>
      <c r="E97" s="293"/>
      <c r="F97" s="236"/>
      <c r="G97" s="236" t="s">
        <v>54</v>
      </c>
      <c r="H97" s="464" t="s">
        <v>113</v>
      </c>
      <c r="I97" s="288" t="s">
        <v>113</v>
      </c>
      <c r="J97" s="320">
        <v>40886</v>
      </c>
      <c r="K97" s="288" t="s">
        <v>114</v>
      </c>
      <c r="L97" s="312">
        <v>82</v>
      </c>
      <c r="M97" s="472">
        <v>2957.9</v>
      </c>
      <c r="N97" s="473">
        <v>493</v>
      </c>
      <c r="O97" s="450">
        <v>645699.9</v>
      </c>
      <c r="P97" s="451">
        <v>74489</v>
      </c>
      <c r="Q97" s="297">
        <v>40928</v>
      </c>
    </row>
    <row r="98" spans="1:17" ht="12" customHeight="1">
      <c r="A98" s="520">
        <v>95</v>
      </c>
      <c r="B98" s="293"/>
      <c r="C98" s="293"/>
      <c r="D98" s="236"/>
      <c r="E98" s="293"/>
      <c r="F98" s="236"/>
      <c r="G98" s="236" t="s">
        <v>54</v>
      </c>
      <c r="H98" s="464" t="s">
        <v>113</v>
      </c>
      <c r="I98" s="288" t="s">
        <v>113</v>
      </c>
      <c r="J98" s="320">
        <v>40886</v>
      </c>
      <c r="K98" s="288" t="s">
        <v>114</v>
      </c>
      <c r="L98" s="312">
        <v>82</v>
      </c>
      <c r="M98" s="472">
        <v>942</v>
      </c>
      <c r="N98" s="473">
        <v>146</v>
      </c>
      <c r="O98" s="332">
        <v>647111.9</v>
      </c>
      <c r="P98" s="333">
        <v>74704</v>
      </c>
      <c r="Q98" s="297">
        <v>40942</v>
      </c>
    </row>
    <row r="99" spans="1:17" ht="12" customHeight="1">
      <c r="A99" s="520">
        <v>96</v>
      </c>
      <c r="B99" s="293"/>
      <c r="C99" s="293"/>
      <c r="D99" s="236"/>
      <c r="E99" s="293"/>
      <c r="F99" s="236"/>
      <c r="G99" s="236" t="s">
        <v>54</v>
      </c>
      <c r="H99" s="464" t="s">
        <v>113</v>
      </c>
      <c r="I99" s="288" t="s">
        <v>113</v>
      </c>
      <c r="J99" s="320">
        <v>40886</v>
      </c>
      <c r="K99" s="288" t="s">
        <v>114</v>
      </c>
      <c r="L99" s="312">
        <v>82</v>
      </c>
      <c r="M99" s="472">
        <v>470</v>
      </c>
      <c r="N99" s="473">
        <v>69</v>
      </c>
      <c r="O99" s="450">
        <v>646169.9</v>
      </c>
      <c r="P99" s="451">
        <v>74558</v>
      </c>
      <c r="Q99" s="297">
        <v>40935</v>
      </c>
    </row>
    <row r="100" spans="1:17" ht="12" customHeight="1">
      <c r="A100" s="520">
        <v>97</v>
      </c>
      <c r="B100" s="236"/>
      <c r="C100" s="236"/>
      <c r="D100" s="236"/>
      <c r="E100" s="236"/>
      <c r="F100" s="236"/>
      <c r="G100" s="236" t="s">
        <v>54</v>
      </c>
      <c r="H100" s="363" t="s">
        <v>546</v>
      </c>
      <c r="I100" s="288" t="s">
        <v>546</v>
      </c>
      <c r="J100" s="320">
        <v>40165</v>
      </c>
      <c r="K100" s="288" t="s">
        <v>52</v>
      </c>
      <c r="L100" s="331">
        <v>38</v>
      </c>
      <c r="M100" s="378">
        <v>1188</v>
      </c>
      <c r="N100" s="379">
        <v>238</v>
      </c>
      <c r="O100" s="334">
        <f>1139387+1188</f>
        <v>1140575</v>
      </c>
      <c r="P100" s="338">
        <f>139628+238</f>
        <v>139866</v>
      </c>
      <c r="Q100" s="297">
        <v>40956</v>
      </c>
    </row>
    <row r="101" spans="1:17" ht="12" customHeight="1">
      <c r="A101" s="520">
        <v>98</v>
      </c>
      <c r="B101" s="293"/>
      <c r="C101" s="293"/>
      <c r="D101" s="236"/>
      <c r="E101" s="293"/>
      <c r="F101" s="236"/>
      <c r="G101" s="236" t="s">
        <v>54</v>
      </c>
      <c r="H101" s="462" t="s">
        <v>66</v>
      </c>
      <c r="I101" s="340" t="s">
        <v>66</v>
      </c>
      <c r="J101" s="320">
        <v>40844</v>
      </c>
      <c r="K101" s="288" t="s">
        <v>53</v>
      </c>
      <c r="L101" s="340">
        <v>245</v>
      </c>
      <c r="M101" s="378">
        <v>1680</v>
      </c>
      <c r="N101" s="379">
        <v>262</v>
      </c>
      <c r="O101" s="334">
        <f>2095427.5+1865707+650031+295029.5+57559.5+69427+8354+22014.5+2923+1680</f>
        <v>5068153</v>
      </c>
      <c r="P101" s="338">
        <f>212522+189875+68849+32548+6112+10910+1695+4739+564+262</f>
        <v>528076</v>
      </c>
      <c r="Q101" s="297">
        <v>40907</v>
      </c>
    </row>
    <row r="102" spans="1:17" ht="12" customHeight="1">
      <c r="A102" s="520">
        <v>99</v>
      </c>
      <c r="B102" s="293"/>
      <c r="C102" s="293"/>
      <c r="D102" s="236"/>
      <c r="E102" s="293"/>
      <c r="F102" s="236"/>
      <c r="G102" s="236" t="s">
        <v>54</v>
      </c>
      <c r="H102" s="462" t="s">
        <v>66</v>
      </c>
      <c r="I102" s="340" t="s">
        <v>66</v>
      </c>
      <c r="J102" s="320">
        <v>40844</v>
      </c>
      <c r="K102" s="288" t="s">
        <v>53</v>
      </c>
      <c r="L102" s="340">
        <v>245</v>
      </c>
      <c r="M102" s="378">
        <v>573</v>
      </c>
      <c r="N102" s="379">
        <v>94</v>
      </c>
      <c r="O102" s="334">
        <f>2095427.5+1865707+650031+295029.5+57559.5+69427+8354+22014.5+2923+1680+573</f>
        <v>5068726</v>
      </c>
      <c r="P102" s="338">
        <f>212522+189875+68849+32548+6112+10910+1695+4739+564+262+94</f>
        <v>528170</v>
      </c>
      <c r="Q102" s="297">
        <v>40914</v>
      </c>
    </row>
    <row r="103" spans="1:17" ht="12" customHeight="1">
      <c r="A103" s="520">
        <v>100</v>
      </c>
      <c r="B103" s="293"/>
      <c r="C103" s="293"/>
      <c r="D103" s="236"/>
      <c r="E103" s="293"/>
      <c r="F103" s="236"/>
      <c r="G103" s="236" t="s">
        <v>54</v>
      </c>
      <c r="H103" s="462" t="s">
        <v>292</v>
      </c>
      <c r="I103" s="340" t="s">
        <v>292</v>
      </c>
      <c r="J103" s="320">
        <v>40830</v>
      </c>
      <c r="K103" s="288" t="s">
        <v>53</v>
      </c>
      <c r="L103" s="346">
        <v>142</v>
      </c>
      <c r="M103" s="378">
        <v>2402</v>
      </c>
      <c r="N103" s="379">
        <v>480</v>
      </c>
      <c r="O103" s="334">
        <f>248732+139942.5+41015.5+4968+2270+1973+10279+6007+1097+295+261+2402</f>
        <v>459242</v>
      </c>
      <c r="P103" s="338">
        <f>33636+19210+5940+800+378+422+1552+983+159+45+36+480</f>
        <v>63641</v>
      </c>
      <c r="Q103" s="297">
        <v>40914</v>
      </c>
    </row>
    <row r="104" spans="1:17" ht="12" customHeight="1">
      <c r="A104" s="520">
        <v>101</v>
      </c>
      <c r="B104" s="236"/>
      <c r="C104" s="236"/>
      <c r="D104" s="236"/>
      <c r="E104" s="236"/>
      <c r="F104" s="236"/>
      <c r="G104" s="236" t="s">
        <v>54</v>
      </c>
      <c r="H104" s="463" t="s">
        <v>71</v>
      </c>
      <c r="I104" s="312" t="s">
        <v>71</v>
      </c>
      <c r="J104" s="297">
        <v>40858</v>
      </c>
      <c r="K104" s="288" t="s">
        <v>53</v>
      </c>
      <c r="L104" s="312">
        <v>130</v>
      </c>
      <c r="M104" s="378">
        <v>8754</v>
      </c>
      <c r="N104" s="379">
        <v>1547</v>
      </c>
      <c r="O104" s="334">
        <f>665902+436506+215139.5+18371+13790+6539+18719+8754</f>
        <v>1383720.5</v>
      </c>
      <c r="P104" s="338">
        <f>66262+44749+24699+2311+1764+1135+3015+1547</f>
        <v>145482</v>
      </c>
      <c r="Q104" s="297">
        <v>40907</v>
      </c>
    </row>
    <row r="105" spans="1:17" ht="12" customHeight="1">
      <c r="A105" s="520">
        <v>102</v>
      </c>
      <c r="B105" s="236"/>
      <c r="C105" s="236"/>
      <c r="D105" s="236"/>
      <c r="E105" s="236"/>
      <c r="F105" s="236"/>
      <c r="G105" s="236" t="s">
        <v>54</v>
      </c>
      <c r="H105" s="463" t="s">
        <v>71</v>
      </c>
      <c r="I105" s="312" t="s">
        <v>71</v>
      </c>
      <c r="J105" s="297">
        <v>40858</v>
      </c>
      <c r="K105" s="288" t="s">
        <v>53</v>
      </c>
      <c r="L105" s="312">
        <v>130</v>
      </c>
      <c r="M105" s="378">
        <v>5914</v>
      </c>
      <c r="N105" s="379">
        <v>595</v>
      </c>
      <c r="O105" s="334">
        <f>665902+436506+215139.5+18371+13790+6539+18719+8754+1085+753+5914</f>
        <v>1391472.5</v>
      </c>
      <c r="P105" s="338">
        <f>66262+44749+24699+2311+1764+1135+3015+1547+179+111+595</f>
        <v>146367</v>
      </c>
      <c r="Q105" s="297">
        <v>40928</v>
      </c>
    </row>
    <row r="106" spans="1:17" ht="12" customHeight="1">
      <c r="A106" s="520">
        <v>103</v>
      </c>
      <c r="B106" s="236"/>
      <c r="C106" s="236"/>
      <c r="D106" s="236"/>
      <c r="E106" s="236"/>
      <c r="F106" s="236"/>
      <c r="G106" s="236" t="s">
        <v>54</v>
      </c>
      <c r="H106" s="361" t="s">
        <v>71</v>
      </c>
      <c r="I106" s="312" t="s">
        <v>71</v>
      </c>
      <c r="J106" s="297">
        <v>40858</v>
      </c>
      <c r="K106" s="288" t="s">
        <v>53</v>
      </c>
      <c r="L106" s="346">
        <v>130</v>
      </c>
      <c r="M106" s="378">
        <v>1199</v>
      </c>
      <c r="N106" s="379">
        <v>200</v>
      </c>
      <c r="O106" s="334">
        <f>665902+436506+215139.5+18371+13790+6539+18719+8754+1085+753+5914+772+1199</f>
        <v>1393443.5</v>
      </c>
      <c r="P106" s="338">
        <f>66262+44749+24699+2311+1764+1135+3015+1547+179+111+595+67+200</f>
        <v>146634</v>
      </c>
      <c r="Q106" s="297">
        <v>41033</v>
      </c>
    </row>
    <row r="107" spans="1:17" ht="12" customHeight="1">
      <c r="A107" s="520">
        <v>104</v>
      </c>
      <c r="B107" s="236"/>
      <c r="C107" s="236"/>
      <c r="D107" s="236"/>
      <c r="E107" s="236"/>
      <c r="F107" s="236"/>
      <c r="G107" s="236" t="s">
        <v>54</v>
      </c>
      <c r="H107" s="463" t="s">
        <v>71</v>
      </c>
      <c r="I107" s="312" t="s">
        <v>71</v>
      </c>
      <c r="J107" s="297">
        <v>40858</v>
      </c>
      <c r="K107" s="288" t="s">
        <v>53</v>
      </c>
      <c r="L107" s="312">
        <v>130</v>
      </c>
      <c r="M107" s="378">
        <v>1085</v>
      </c>
      <c r="N107" s="379">
        <v>179</v>
      </c>
      <c r="O107" s="334">
        <f>665902+436506+215139.5+18371+13790+6539+18719+8754+1085</f>
        <v>1384805.5</v>
      </c>
      <c r="P107" s="338">
        <f>66262+44749+24699+2311+1764+1135+3015+1547+179</f>
        <v>145661</v>
      </c>
      <c r="Q107" s="297">
        <v>40914</v>
      </c>
    </row>
    <row r="108" spans="1:17" ht="12" customHeight="1">
      <c r="A108" s="520">
        <v>105</v>
      </c>
      <c r="B108" s="236"/>
      <c r="C108" s="236"/>
      <c r="D108" s="236"/>
      <c r="E108" s="236"/>
      <c r="F108" s="236"/>
      <c r="G108" s="236" t="s">
        <v>54</v>
      </c>
      <c r="H108" s="463" t="s">
        <v>71</v>
      </c>
      <c r="I108" s="312" t="s">
        <v>71</v>
      </c>
      <c r="J108" s="297">
        <v>40858</v>
      </c>
      <c r="K108" s="288" t="s">
        <v>53</v>
      </c>
      <c r="L108" s="312">
        <v>130</v>
      </c>
      <c r="M108" s="378">
        <v>772</v>
      </c>
      <c r="N108" s="379">
        <v>67</v>
      </c>
      <c r="O108" s="334">
        <f>665902+436506+215139.5+18371+13790+6539+18719+8754+1085+753+5914+772</f>
        <v>1392244.5</v>
      </c>
      <c r="P108" s="338">
        <f>66262+44749+24699+2311+1764+1135+3015+1547+179+111+595+67</f>
        <v>146434</v>
      </c>
      <c r="Q108" s="297">
        <v>40935</v>
      </c>
    </row>
    <row r="109" spans="1:17" ht="12" customHeight="1">
      <c r="A109" s="520">
        <v>106</v>
      </c>
      <c r="B109" s="236"/>
      <c r="C109" s="236"/>
      <c r="D109" s="236"/>
      <c r="E109" s="236"/>
      <c r="F109" s="236"/>
      <c r="G109" s="236" t="s">
        <v>54</v>
      </c>
      <c r="H109" s="463" t="s">
        <v>71</v>
      </c>
      <c r="I109" s="312" t="s">
        <v>71</v>
      </c>
      <c r="J109" s="297">
        <v>40858</v>
      </c>
      <c r="K109" s="288" t="s">
        <v>53</v>
      </c>
      <c r="L109" s="312">
        <v>130</v>
      </c>
      <c r="M109" s="378">
        <v>753</v>
      </c>
      <c r="N109" s="379">
        <v>111</v>
      </c>
      <c r="O109" s="334">
        <f>665902+436506+215139.5+18371+13790+6539+18719+8754+1085+753</f>
        <v>1385558.5</v>
      </c>
      <c r="P109" s="338">
        <f>66262+44749+24699+2311+1764+1135+3015+1547+179+111</f>
        <v>145772</v>
      </c>
      <c r="Q109" s="297">
        <v>40921</v>
      </c>
    </row>
    <row r="110" spans="1:17" ht="12" customHeight="1">
      <c r="A110" s="520">
        <v>107</v>
      </c>
      <c r="B110" s="293"/>
      <c r="C110" s="293"/>
      <c r="D110" s="236"/>
      <c r="E110" s="293"/>
      <c r="F110" s="236"/>
      <c r="G110" s="236"/>
      <c r="H110" s="360" t="s">
        <v>818</v>
      </c>
      <c r="I110" s="288" t="s">
        <v>818</v>
      </c>
      <c r="J110" s="320">
        <v>40571</v>
      </c>
      <c r="K110" s="288" t="s">
        <v>324</v>
      </c>
      <c r="L110" s="312">
        <v>20</v>
      </c>
      <c r="M110" s="386">
        <v>2135</v>
      </c>
      <c r="N110" s="387">
        <v>427</v>
      </c>
      <c r="O110" s="321">
        <v>791392</v>
      </c>
      <c r="P110" s="322">
        <v>66677</v>
      </c>
      <c r="Q110" s="297">
        <v>41033</v>
      </c>
    </row>
    <row r="111" spans="1:17" ht="12" customHeight="1">
      <c r="A111" s="520">
        <v>108</v>
      </c>
      <c r="B111" s="236"/>
      <c r="C111" s="236"/>
      <c r="D111" s="236"/>
      <c r="E111" s="236"/>
      <c r="F111" s="236"/>
      <c r="G111" s="236" t="s">
        <v>54</v>
      </c>
      <c r="H111" s="459" t="s">
        <v>231</v>
      </c>
      <c r="I111" s="339" t="s">
        <v>231</v>
      </c>
      <c r="J111" s="320">
        <v>40809</v>
      </c>
      <c r="K111" s="288" t="s">
        <v>68</v>
      </c>
      <c r="L111" s="312">
        <v>66</v>
      </c>
      <c r="M111" s="382">
        <v>4669.5</v>
      </c>
      <c r="N111" s="383">
        <v>1220</v>
      </c>
      <c r="O111" s="328">
        <f>382290+386122+344313.5+244996+104138.75+43618.5+27632+12528+6812+832+1782+2257+1782+5477.5+2138.5+4669.5</f>
        <v>1571389.25</v>
      </c>
      <c r="P111" s="344">
        <f>34863+36137+32260+23896+12188+5940+2894+1417+1234+90+446+565+446+1293+535+1220</f>
        <v>155424</v>
      </c>
      <c r="Q111" s="297">
        <v>40914</v>
      </c>
    </row>
    <row r="112" spans="1:17" ht="12" customHeight="1">
      <c r="A112" s="520">
        <v>109</v>
      </c>
      <c r="B112" s="236"/>
      <c r="C112" s="236"/>
      <c r="D112" s="236"/>
      <c r="E112" s="236"/>
      <c r="F112" s="236"/>
      <c r="G112" s="236" t="s">
        <v>54</v>
      </c>
      <c r="H112" s="366" t="s">
        <v>231</v>
      </c>
      <c r="I112" s="339" t="s">
        <v>231</v>
      </c>
      <c r="J112" s="320">
        <v>40809</v>
      </c>
      <c r="K112" s="288" t="s">
        <v>68</v>
      </c>
      <c r="L112" s="312">
        <v>66</v>
      </c>
      <c r="M112" s="382">
        <v>2851.5</v>
      </c>
      <c r="N112" s="383">
        <v>571</v>
      </c>
      <c r="O112" s="328">
        <f>382290+386122+344313.5+244996+104138.75+43618.5+27632+12528+6812+832+1782+2257+1782+5477.5+2138.5+4669.5+970+2851.5</f>
        <v>1575210.75</v>
      </c>
      <c r="P112" s="344">
        <f>34863+36137+32260+23896+12188+5940+2894+1417+1234+90+446+565+446+1293+535+1220+404+571</f>
        <v>156399</v>
      </c>
      <c r="Q112" s="297">
        <v>40949</v>
      </c>
    </row>
    <row r="113" spans="1:17" ht="12" customHeight="1">
      <c r="A113" s="520">
        <v>110</v>
      </c>
      <c r="B113" s="236"/>
      <c r="C113" s="236"/>
      <c r="D113" s="236"/>
      <c r="E113" s="236"/>
      <c r="F113" s="236"/>
      <c r="G113" s="236" t="s">
        <v>54</v>
      </c>
      <c r="H113" s="366" t="s">
        <v>231</v>
      </c>
      <c r="I113" s="339" t="s">
        <v>231</v>
      </c>
      <c r="J113" s="320">
        <v>40809</v>
      </c>
      <c r="K113" s="288" t="s">
        <v>68</v>
      </c>
      <c r="L113" s="312">
        <v>66</v>
      </c>
      <c r="M113" s="382">
        <v>2732.5</v>
      </c>
      <c r="N113" s="383">
        <v>546</v>
      </c>
      <c r="O113" s="328">
        <f>382290+386122+344313.5+244996+104138.75+43618.5+27632+12528+6812+832+1782+2257+1782+5477.5+2138.5+4669.5+970+2851.5+950.5+2732.5</f>
        <v>1578893.75</v>
      </c>
      <c r="P113" s="344">
        <f>34863+36137+32260+23896+12188+5940+2894+1417+1234+90+446+565+446+1293+535+1220+404+571+190+546</f>
        <v>157135</v>
      </c>
      <c r="Q113" s="297">
        <v>40977</v>
      </c>
    </row>
    <row r="114" spans="1:17" ht="12" customHeight="1">
      <c r="A114" s="520">
        <v>111</v>
      </c>
      <c r="B114" s="236"/>
      <c r="C114" s="236"/>
      <c r="D114" s="236"/>
      <c r="E114" s="236"/>
      <c r="F114" s="236"/>
      <c r="G114" s="236" t="s">
        <v>54</v>
      </c>
      <c r="H114" s="459" t="s">
        <v>231</v>
      </c>
      <c r="I114" s="339" t="s">
        <v>231</v>
      </c>
      <c r="J114" s="320">
        <v>40809</v>
      </c>
      <c r="K114" s="288" t="s">
        <v>68</v>
      </c>
      <c r="L114" s="312">
        <v>66</v>
      </c>
      <c r="M114" s="382">
        <v>2138.5</v>
      </c>
      <c r="N114" s="383">
        <v>535</v>
      </c>
      <c r="O114" s="328">
        <f>382290+386122+344313.5+244996+104138.75+43618.5+27632+12528+6812+832+1782+2257+1782+5477.5+2138.5</f>
        <v>1566719.75</v>
      </c>
      <c r="P114" s="344">
        <f>34863+36137+32260+23896+12188+5940+2894+1417+1234+90+446+565+446+1293+535</f>
        <v>154204</v>
      </c>
      <c r="Q114" s="297">
        <v>40907</v>
      </c>
    </row>
    <row r="115" spans="1:17" ht="12" customHeight="1">
      <c r="A115" s="520">
        <v>112</v>
      </c>
      <c r="B115" s="236"/>
      <c r="C115" s="236"/>
      <c r="D115" s="236"/>
      <c r="E115" s="236"/>
      <c r="F115" s="236"/>
      <c r="G115" s="236" t="s">
        <v>54</v>
      </c>
      <c r="H115" s="366" t="s">
        <v>231</v>
      </c>
      <c r="I115" s="339" t="s">
        <v>231</v>
      </c>
      <c r="J115" s="370">
        <v>40809</v>
      </c>
      <c r="K115" s="288" t="s">
        <v>68</v>
      </c>
      <c r="L115" s="312">
        <v>66</v>
      </c>
      <c r="M115" s="382">
        <v>1782</v>
      </c>
      <c r="N115" s="383">
        <v>356</v>
      </c>
      <c r="O115" s="328">
        <f>382290+386122+344313.5+244996+104138.75+43618.5+27632+12528+6812+832+1782+2257+1782+5477.5+2138.5+4669.5+970+2851.5+950.5+2732.5+1188+1188+1425.5+1188+1188+1782</f>
        <v>1586853.25</v>
      </c>
      <c r="P115" s="344">
        <f>34863+36137+32260+23896+12188+5940+2894+1417+1234+90+446+565+446+1293+535+1220+404+571+190+546+238+238+285+238+238+356</f>
        <v>158728</v>
      </c>
      <c r="Q115" s="297">
        <v>41040</v>
      </c>
    </row>
    <row r="116" spans="1:17" ht="12" customHeight="1">
      <c r="A116" s="520">
        <v>113</v>
      </c>
      <c r="B116" s="236"/>
      <c r="C116" s="236"/>
      <c r="D116" s="236"/>
      <c r="E116" s="236"/>
      <c r="F116" s="236"/>
      <c r="G116" s="236" t="s">
        <v>54</v>
      </c>
      <c r="H116" s="366" t="s">
        <v>231</v>
      </c>
      <c r="I116" s="339" t="s">
        <v>231</v>
      </c>
      <c r="J116" s="320">
        <v>40809</v>
      </c>
      <c r="K116" s="288" t="s">
        <v>68</v>
      </c>
      <c r="L116" s="312">
        <v>66</v>
      </c>
      <c r="M116" s="382">
        <v>1425.5</v>
      </c>
      <c r="N116" s="383">
        <v>285</v>
      </c>
      <c r="O116" s="328">
        <f>382290+386122+344313.5+244996+104138.75+43618.5+27632+12528+6812+832+1782+2257+1782+5477.5+2138.5+4669.5+970+2851.5+950.5+2732.5+1188+1188+1425.5</f>
        <v>1582695.25</v>
      </c>
      <c r="P116" s="344">
        <f>34863+36137+32260+23896+12188+5940+2894+1417+1234+90+446+565+446+1293+535+1220+404+571+190+546+238+238+285</f>
        <v>157896</v>
      </c>
      <c r="Q116" s="297">
        <v>41019</v>
      </c>
    </row>
    <row r="117" spans="1:17" ht="12" customHeight="1">
      <c r="A117" s="520">
        <v>114</v>
      </c>
      <c r="B117" s="236"/>
      <c r="C117" s="236"/>
      <c r="D117" s="236"/>
      <c r="E117" s="236"/>
      <c r="F117" s="236"/>
      <c r="G117" s="236" t="s">
        <v>54</v>
      </c>
      <c r="H117" s="366" t="s">
        <v>231</v>
      </c>
      <c r="I117" s="339" t="s">
        <v>231</v>
      </c>
      <c r="J117" s="320">
        <v>40809</v>
      </c>
      <c r="K117" s="288" t="s">
        <v>68</v>
      </c>
      <c r="L117" s="312">
        <v>66</v>
      </c>
      <c r="M117" s="382">
        <v>1188</v>
      </c>
      <c r="N117" s="383">
        <v>238</v>
      </c>
      <c r="O117" s="328">
        <f>382290+386122+344313.5+244996+104138.75+43618.5+27632+12528+6812+832+1782+2257+1782+5477.5+2138.5+4669.5+970+2851.5+950.5+2732.5+1188</f>
        <v>1580081.75</v>
      </c>
      <c r="P117" s="344">
        <f>34863+36137+32260+23896+12188+5940+2894+1417+1234+90+446+565+446+1293+535+1220+404+571+190+546+238</f>
        <v>157373</v>
      </c>
      <c r="Q117" s="297">
        <v>40991</v>
      </c>
    </row>
    <row r="118" spans="1:17" ht="12" customHeight="1">
      <c r="A118" s="520">
        <v>115</v>
      </c>
      <c r="B118" s="236"/>
      <c r="C118" s="236"/>
      <c r="D118" s="236"/>
      <c r="E118" s="236"/>
      <c r="F118" s="236"/>
      <c r="G118" s="236" t="s">
        <v>54</v>
      </c>
      <c r="H118" s="366" t="s">
        <v>231</v>
      </c>
      <c r="I118" s="339" t="s">
        <v>231</v>
      </c>
      <c r="J118" s="320">
        <v>40809</v>
      </c>
      <c r="K118" s="288" t="s">
        <v>68</v>
      </c>
      <c r="L118" s="312">
        <v>66</v>
      </c>
      <c r="M118" s="382">
        <v>1188</v>
      </c>
      <c r="N118" s="383">
        <v>238</v>
      </c>
      <c r="O118" s="328">
        <f>382290+386122+344313.5+244996+104138.75+43618.5+27632+12528+6812+832+1782+2257+1782+5477.5+2138.5+4669.5+970+2851.5+950.5+2732.5+1188+1188</f>
        <v>1581269.75</v>
      </c>
      <c r="P118" s="344">
        <f>34863+36137+32260+23896+12188+5940+2894+1417+1234+90+446+565+446+1293+535+1220+404+571+190+546+238+238</f>
        <v>157611</v>
      </c>
      <c r="Q118" s="297">
        <v>41005</v>
      </c>
    </row>
    <row r="119" spans="1:17" ht="12" customHeight="1">
      <c r="A119" s="520">
        <v>116</v>
      </c>
      <c r="B119" s="236"/>
      <c r="C119" s="236"/>
      <c r="D119" s="236"/>
      <c r="E119" s="236"/>
      <c r="F119" s="236"/>
      <c r="G119" s="236" t="s">
        <v>54</v>
      </c>
      <c r="H119" s="366" t="s">
        <v>231</v>
      </c>
      <c r="I119" s="312" t="s">
        <v>813</v>
      </c>
      <c r="J119" s="370">
        <v>40809</v>
      </c>
      <c r="K119" s="288" t="s">
        <v>68</v>
      </c>
      <c r="L119" s="312">
        <v>66</v>
      </c>
      <c r="M119" s="468">
        <v>1188</v>
      </c>
      <c r="N119" s="469">
        <v>238</v>
      </c>
      <c r="O119" s="317">
        <f>382290+386122+344313.5+244996+104138.75+43618.5+27632+12528+6812+832+1782+2257+1782+5477.5+2138.5+4669.5+970+2851.5+950.5+2732.5+1188+1188+1425.5+1188</f>
        <v>1583883.25</v>
      </c>
      <c r="P119" s="368">
        <f>34863+36137+32260+23896+12188+5940+2894+1417+1234+90+446+565+446+1293+535+1220+404+571+190+546+238+238+285+238</f>
        <v>158134</v>
      </c>
      <c r="Q119" s="297">
        <v>41026</v>
      </c>
    </row>
    <row r="120" spans="1:17" ht="12" customHeight="1">
      <c r="A120" s="520">
        <v>117</v>
      </c>
      <c r="B120" s="236"/>
      <c r="C120" s="236"/>
      <c r="D120" s="236"/>
      <c r="E120" s="236"/>
      <c r="F120" s="236"/>
      <c r="G120" s="236" t="s">
        <v>54</v>
      </c>
      <c r="H120" s="366" t="s">
        <v>231</v>
      </c>
      <c r="I120" s="339" t="s">
        <v>231</v>
      </c>
      <c r="J120" s="320">
        <v>40809</v>
      </c>
      <c r="K120" s="288" t="s">
        <v>68</v>
      </c>
      <c r="L120" s="312">
        <v>66</v>
      </c>
      <c r="M120" s="382">
        <v>1188</v>
      </c>
      <c r="N120" s="383">
        <v>238</v>
      </c>
      <c r="O120" s="328">
        <f>382290+386122+344313.5+244996+104138.75+43618.5+27632+12528+6812+832+1782+2257+1782+5477.5+2138.5+4669.5+970+2851.5+950.5+2732.5+1188+1188+1425.5+1188+1188</f>
        <v>1585071.25</v>
      </c>
      <c r="P120" s="344">
        <f>34863+36137+32260+23896+12188+5940+2894+1417+1234+90+446+565+446+1293+535+1220+404+571+190+546+238+238+285+238+238</f>
        <v>158372</v>
      </c>
      <c r="Q120" s="297">
        <v>41033</v>
      </c>
    </row>
    <row r="121" spans="1:17" ht="12" customHeight="1">
      <c r="A121" s="520">
        <v>118</v>
      </c>
      <c r="B121" s="236"/>
      <c r="C121" s="236"/>
      <c r="D121" s="236"/>
      <c r="E121" s="236"/>
      <c r="F121" s="236"/>
      <c r="G121" s="236" t="s">
        <v>54</v>
      </c>
      <c r="H121" s="459" t="s">
        <v>231</v>
      </c>
      <c r="I121" s="339" t="s">
        <v>231</v>
      </c>
      <c r="J121" s="320">
        <v>40809</v>
      </c>
      <c r="K121" s="288" t="s">
        <v>68</v>
      </c>
      <c r="L121" s="312">
        <v>66</v>
      </c>
      <c r="M121" s="382">
        <v>970</v>
      </c>
      <c r="N121" s="383">
        <v>404</v>
      </c>
      <c r="O121" s="328">
        <f>382290+386122+344313.5+244996+104138.75+43618.5+27632+12528+6812+832+1782+2257+1782+5477.5+2138.5+4669.5+970</f>
        <v>1572359.25</v>
      </c>
      <c r="P121" s="344">
        <f>34863+36137+32260+23896+12188+5940+2894+1417+1234+90+446+565+446+1293+535+1220+404</f>
        <v>155828</v>
      </c>
      <c r="Q121" s="297">
        <v>40921</v>
      </c>
    </row>
    <row r="122" spans="1:17" ht="12" customHeight="1">
      <c r="A122" s="520">
        <v>119</v>
      </c>
      <c r="B122" s="236"/>
      <c r="C122" s="236"/>
      <c r="D122" s="236"/>
      <c r="E122" s="236"/>
      <c r="F122" s="236"/>
      <c r="G122" s="236" t="s">
        <v>54</v>
      </c>
      <c r="H122" s="366" t="s">
        <v>231</v>
      </c>
      <c r="I122" s="339" t="s">
        <v>231</v>
      </c>
      <c r="J122" s="320">
        <v>40809</v>
      </c>
      <c r="K122" s="288" t="s">
        <v>68</v>
      </c>
      <c r="L122" s="312">
        <v>66</v>
      </c>
      <c r="M122" s="382">
        <v>950.5</v>
      </c>
      <c r="N122" s="383">
        <v>190</v>
      </c>
      <c r="O122" s="328">
        <f>382290+386122+344313.5+244996+104138.75+43618.5+27632+12528+6812+832+1782+2257+1782+5477.5+2138.5+4669.5+970+2851.5+950.5</f>
        <v>1576161.25</v>
      </c>
      <c r="P122" s="344">
        <f>34863+36137+32260+23896+12188+5940+2894+1417+1234+90+446+565+446+1293+535+1220+404+571+190</f>
        <v>156589</v>
      </c>
      <c r="Q122" s="297">
        <v>40963</v>
      </c>
    </row>
    <row r="123" spans="1:17" ht="12" customHeight="1">
      <c r="A123" s="520">
        <v>120</v>
      </c>
      <c r="B123" s="236"/>
      <c r="C123" s="236"/>
      <c r="D123" s="236"/>
      <c r="E123" s="236"/>
      <c r="F123" s="236"/>
      <c r="G123" s="236" t="s">
        <v>54</v>
      </c>
      <c r="H123" s="366" t="s">
        <v>474</v>
      </c>
      <c r="I123" s="339" t="s">
        <v>474</v>
      </c>
      <c r="J123" s="320">
        <v>40648</v>
      </c>
      <c r="K123" s="288" t="s">
        <v>68</v>
      </c>
      <c r="L123" s="312">
        <v>28</v>
      </c>
      <c r="M123" s="382">
        <v>3801.5</v>
      </c>
      <c r="N123" s="383">
        <v>760</v>
      </c>
      <c r="O123" s="328">
        <f>67573+47761.5+14206.5+4949+3617+1080.5+492+714+1413.5+3743.5+735+1502.5+825+1147+1818+154+295+2263+179+160+3326.5+950.5+1782+1425.5+594+40+3801.5</f>
        <v>166549</v>
      </c>
      <c r="P123" s="344">
        <f>6695+4901+2068+559+504+215+178+122+205+836+119+235+131+174+400+22+45+527+35+28+831+237+446+356+149+8+760</f>
        <v>20786</v>
      </c>
      <c r="Q123" s="297">
        <v>40963</v>
      </c>
    </row>
    <row r="124" spans="1:17" ht="12" customHeight="1">
      <c r="A124" s="520">
        <v>121</v>
      </c>
      <c r="B124" s="236"/>
      <c r="C124" s="236"/>
      <c r="D124" s="236"/>
      <c r="E124" s="236"/>
      <c r="F124" s="236"/>
      <c r="G124" s="236"/>
      <c r="H124" s="366" t="s">
        <v>554</v>
      </c>
      <c r="I124" s="339" t="s">
        <v>555</v>
      </c>
      <c r="J124" s="320">
        <v>39969</v>
      </c>
      <c r="K124" s="288" t="s">
        <v>68</v>
      </c>
      <c r="L124" s="312">
        <v>20</v>
      </c>
      <c r="M124" s="382">
        <v>1780</v>
      </c>
      <c r="N124" s="383">
        <v>356</v>
      </c>
      <c r="O124" s="328">
        <f>63821.75+29583.75+16102.25+8771.25+5888+8492.5+1761+3162+5226+2267+1186.5+1122.5+1305+832+660+301+151+1780+1780+1308+1780</f>
        <v>157281.5</v>
      </c>
      <c r="P124" s="344">
        <f>6069+3045+2422+1546+1020+1313+402+594+954+378+185+151+256+78+122+64+34+445+445+327+356</f>
        <v>20206</v>
      </c>
      <c r="Q124" s="297">
        <v>40956</v>
      </c>
    </row>
    <row r="125" spans="1:17" ht="12" customHeight="1">
      <c r="A125" s="520">
        <v>122</v>
      </c>
      <c r="B125" s="236"/>
      <c r="C125" s="236"/>
      <c r="D125" s="236"/>
      <c r="E125" s="236"/>
      <c r="F125" s="236"/>
      <c r="G125" s="236"/>
      <c r="H125" s="361" t="s">
        <v>666</v>
      </c>
      <c r="I125" s="312" t="s">
        <v>667</v>
      </c>
      <c r="J125" s="320">
        <v>40732</v>
      </c>
      <c r="K125" s="288" t="s">
        <v>8</v>
      </c>
      <c r="L125" s="313">
        <v>1</v>
      </c>
      <c r="M125" s="380">
        <v>391</v>
      </c>
      <c r="N125" s="381">
        <v>65</v>
      </c>
      <c r="O125" s="342">
        <v>30429</v>
      </c>
      <c r="P125" s="343">
        <v>2895</v>
      </c>
      <c r="Q125" s="297">
        <v>40998</v>
      </c>
    </row>
    <row r="126" spans="1:17" ht="12" customHeight="1">
      <c r="A126" s="520">
        <v>123</v>
      </c>
      <c r="B126" s="293"/>
      <c r="C126" s="293"/>
      <c r="D126" s="236"/>
      <c r="E126" s="293"/>
      <c r="F126" s="236"/>
      <c r="G126" s="236" t="s">
        <v>54</v>
      </c>
      <c r="H126" s="462" t="s">
        <v>294</v>
      </c>
      <c r="I126" s="340" t="s">
        <v>294</v>
      </c>
      <c r="J126" s="320">
        <v>40914</v>
      </c>
      <c r="K126" s="288" t="s">
        <v>53</v>
      </c>
      <c r="L126" s="346">
        <v>97</v>
      </c>
      <c r="M126" s="378">
        <v>216520</v>
      </c>
      <c r="N126" s="379">
        <v>26831</v>
      </c>
      <c r="O126" s="334">
        <f>216520</f>
        <v>216520</v>
      </c>
      <c r="P126" s="338">
        <f>26831</f>
        <v>26831</v>
      </c>
      <c r="Q126" s="297">
        <v>40914</v>
      </c>
    </row>
    <row r="127" spans="1:17" ht="12" customHeight="1">
      <c r="A127" s="520">
        <v>124</v>
      </c>
      <c r="B127" s="293"/>
      <c r="C127" s="293"/>
      <c r="D127" s="236"/>
      <c r="E127" s="293"/>
      <c r="F127" s="236"/>
      <c r="G127" s="236" t="s">
        <v>54</v>
      </c>
      <c r="H127" s="462" t="s">
        <v>294</v>
      </c>
      <c r="I127" s="340" t="s">
        <v>294</v>
      </c>
      <c r="J127" s="320">
        <v>40914</v>
      </c>
      <c r="K127" s="288" t="s">
        <v>53</v>
      </c>
      <c r="L127" s="346">
        <v>97</v>
      </c>
      <c r="M127" s="378">
        <v>198358.5</v>
      </c>
      <c r="N127" s="379">
        <v>25025</v>
      </c>
      <c r="O127" s="334">
        <f>216520+198358.5</f>
        <v>414878.5</v>
      </c>
      <c r="P127" s="338">
        <f>26831+25025</f>
        <v>51856</v>
      </c>
      <c r="Q127" s="297">
        <v>40921</v>
      </c>
    </row>
    <row r="128" spans="1:17" ht="12" customHeight="1">
      <c r="A128" s="520">
        <v>125</v>
      </c>
      <c r="B128" s="236"/>
      <c r="C128" s="236"/>
      <c r="D128" s="236">
        <v>2</v>
      </c>
      <c r="E128" s="236"/>
      <c r="F128" s="236"/>
      <c r="G128" s="236"/>
      <c r="H128" s="362" t="s">
        <v>472</v>
      </c>
      <c r="I128" s="341" t="s">
        <v>473</v>
      </c>
      <c r="J128" s="320">
        <v>40788</v>
      </c>
      <c r="K128" s="288" t="s">
        <v>12</v>
      </c>
      <c r="L128" s="312">
        <v>89</v>
      </c>
      <c r="M128" s="382">
        <v>1197</v>
      </c>
      <c r="N128" s="383">
        <v>189</v>
      </c>
      <c r="O128" s="328">
        <v>2030716</v>
      </c>
      <c r="P128" s="344">
        <v>204032</v>
      </c>
      <c r="Q128" s="297">
        <v>40963</v>
      </c>
    </row>
    <row r="129" spans="1:17" ht="12" customHeight="1">
      <c r="A129" s="520">
        <v>126</v>
      </c>
      <c r="B129" s="236"/>
      <c r="C129" s="236"/>
      <c r="D129" s="236">
        <v>2</v>
      </c>
      <c r="E129" s="236"/>
      <c r="F129" s="236"/>
      <c r="G129" s="236"/>
      <c r="H129" s="362" t="s">
        <v>472</v>
      </c>
      <c r="I129" s="341" t="s">
        <v>473</v>
      </c>
      <c r="J129" s="320">
        <v>40788</v>
      </c>
      <c r="K129" s="288" t="s">
        <v>12</v>
      </c>
      <c r="L129" s="312">
        <v>89</v>
      </c>
      <c r="M129" s="378">
        <v>1197</v>
      </c>
      <c r="N129" s="379">
        <v>189</v>
      </c>
      <c r="O129" s="334">
        <v>2029519</v>
      </c>
      <c r="P129" s="338">
        <v>203843</v>
      </c>
      <c r="Q129" s="297">
        <v>40956</v>
      </c>
    </row>
    <row r="130" spans="1:17" ht="12" customHeight="1">
      <c r="A130" s="520">
        <v>127</v>
      </c>
      <c r="B130" s="293"/>
      <c r="C130" s="293"/>
      <c r="D130" s="236"/>
      <c r="E130" s="293"/>
      <c r="F130" s="294"/>
      <c r="G130" s="236"/>
      <c r="H130" s="463" t="s">
        <v>127</v>
      </c>
      <c r="I130" s="312" t="s">
        <v>129</v>
      </c>
      <c r="J130" s="320">
        <v>40893</v>
      </c>
      <c r="K130" s="288" t="s">
        <v>53</v>
      </c>
      <c r="L130" s="312">
        <v>28</v>
      </c>
      <c r="M130" s="378">
        <v>19211</v>
      </c>
      <c r="N130" s="379">
        <v>2152</v>
      </c>
      <c r="O130" s="334">
        <f>152692.5+78009+19211</f>
        <v>249912.5</v>
      </c>
      <c r="P130" s="338">
        <f>12107+6230+2152</f>
        <v>20489</v>
      </c>
      <c r="Q130" s="297">
        <v>40907</v>
      </c>
    </row>
    <row r="131" spans="1:17" ht="12" customHeight="1">
      <c r="A131" s="520">
        <v>128</v>
      </c>
      <c r="B131" s="293"/>
      <c r="C131" s="293"/>
      <c r="D131" s="236"/>
      <c r="E131" s="293"/>
      <c r="F131" s="294"/>
      <c r="G131" s="236"/>
      <c r="H131" s="463" t="s">
        <v>127</v>
      </c>
      <c r="I131" s="312" t="s">
        <v>129</v>
      </c>
      <c r="J131" s="320">
        <v>40893</v>
      </c>
      <c r="K131" s="288" t="s">
        <v>53</v>
      </c>
      <c r="L131" s="312">
        <v>28</v>
      </c>
      <c r="M131" s="378">
        <v>5878</v>
      </c>
      <c r="N131" s="379">
        <v>592</v>
      </c>
      <c r="O131" s="334">
        <f>152692.5+78009+19211+5878</f>
        <v>255790.5</v>
      </c>
      <c r="P131" s="338">
        <f>12107+6230+2152+592</f>
        <v>21081</v>
      </c>
      <c r="Q131" s="297">
        <v>40914</v>
      </c>
    </row>
    <row r="132" spans="1:17" ht="12" customHeight="1">
      <c r="A132" s="520">
        <v>129</v>
      </c>
      <c r="B132" s="293"/>
      <c r="C132" s="293"/>
      <c r="D132" s="236"/>
      <c r="E132" s="293"/>
      <c r="F132" s="294"/>
      <c r="G132" s="236"/>
      <c r="H132" s="463" t="s">
        <v>127</v>
      </c>
      <c r="I132" s="312" t="s">
        <v>129</v>
      </c>
      <c r="J132" s="320">
        <v>40893</v>
      </c>
      <c r="K132" s="288" t="s">
        <v>53</v>
      </c>
      <c r="L132" s="312">
        <v>28</v>
      </c>
      <c r="M132" s="378">
        <v>4853.5</v>
      </c>
      <c r="N132" s="379">
        <v>575</v>
      </c>
      <c r="O132" s="334">
        <f>152692.5+78009+19211+5878+4853.5</f>
        <v>260644</v>
      </c>
      <c r="P132" s="338">
        <f>12107+6230+2152+592+575</f>
        <v>21656</v>
      </c>
      <c r="Q132" s="297">
        <v>40921</v>
      </c>
    </row>
    <row r="133" spans="1:17" ht="12" customHeight="1">
      <c r="A133" s="520">
        <v>130</v>
      </c>
      <c r="B133" s="293"/>
      <c r="C133" s="293"/>
      <c r="D133" s="236"/>
      <c r="E133" s="293"/>
      <c r="F133" s="294"/>
      <c r="G133" s="236"/>
      <c r="H133" s="463" t="s">
        <v>127</v>
      </c>
      <c r="I133" s="312" t="s">
        <v>129</v>
      </c>
      <c r="J133" s="320">
        <v>40893</v>
      </c>
      <c r="K133" s="288" t="s">
        <v>53</v>
      </c>
      <c r="L133" s="312">
        <v>28</v>
      </c>
      <c r="M133" s="378">
        <v>4764</v>
      </c>
      <c r="N133" s="379">
        <v>535</v>
      </c>
      <c r="O133" s="334">
        <f>152692.5+78009+19211+5878+4853.5+4764</f>
        <v>265408</v>
      </c>
      <c r="P133" s="338">
        <f>12107+6230+2152+592+575+535</f>
        <v>22191</v>
      </c>
      <c r="Q133" s="297">
        <v>40928</v>
      </c>
    </row>
    <row r="134" spans="1:17" ht="12" customHeight="1">
      <c r="A134" s="520">
        <v>131</v>
      </c>
      <c r="B134" s="293"/>
      <c r="C134" s="293"/>
      <c r="D134" s="236"/>
      <c r="E134" s="293"/>
      <c r="F134" s="294"/>
      <c r="G134" s="236"/>
      <c r="H134" s="463" t="s">
        <v>127</v>
      </c>
      <c r="I134" s="312" t="s">
        <v>129</v>
      </c>
      <c r="J134" s="320">
        <v>40893</v>
      </c>
      <c r="K134" s="288" t="s">
        <v>53</v>
      </c>
      <c r="L134" s="312">
        <v>28</v>
      </c>
      <c r="M134" s="378">
        <v>314</v>
      </c>
      <c r="N134" s="379">
        <v>39</v>
      </c>
      <c r="O134" s="334">
        <f>152692.5+78009+19211+5878+4853.5+4764+314</f>
        <v>265722</v>
      </c>
      <c r="P134" s="338">
        <f>12107+6230+2152+592+575+535+39</f>
        <v>22230</v>
      </c>
      <c r="Q134" s="297">
        <v>40942</v>
      </c>
    </row>
    <row r="135" spans="1:17" ht="12" customHeight="1">
      <c r="A135" s="520">
        <v>132</v>
      </c>
      <c r="B135" s="236" t="s">
        <v>193</v>
      </c>
      <c r="C135" s="236"/>
      <c r="D135" s="236"/>
      <c r="E135" s="236" t="s">
        <v>250</v>
      </c>
      <c r="F135" s="236" t="s">
        <v>55</v>
      </c>
      <c r="G135" s="236"/>
      <c r="H135" s="367" t="s">
        <v>49</v>
      </c>
      <c r="I135" s="319" t="s">
        <v>59</v>
      </c>
      <c r="J135" s="320">
        <v>40774</v>
      </c>
      <c r="K135" s="288" t="s">
        <v>12</v>
      </c>
      <c r="L135" s="312">
        <v>123</v>
      </c>
      <c r="M135" s="378">
        <v>2387</v>
      </c>
      <c r="N135" s="379">
        <v>399</v>
      </c>
      <c r="O135" s="334">
        <v>7030216</v>
      </c>
      <c r="P135" s="338">
        <v>689129</v>
      </c>
      <c r="Q135" s="297">
        <v>40949</v>
      </c>
    </row>
    <row r="136" spans="1:17" ht="12" customHeight="1">
      <c r="A136" s="520">
        <v>133</v>
      </c>
      <c r="B136" s="236" t="s">
        <v>193</v>
      </c>
      <c r="C136" s="236"/>
      <c r="D136" s="236"/>
      <c r="E136" s="236" t="s">
        <v>250</v>
      </c>
      <c r="F136" s="236" t="s">
        <v>55</v>
      </c>
      <c r="G136" s="236"/>
      <c r="H136" s="465" t="s">
        <v>49</v>
      </c>
      <c r="I136" s="319" t="s">
        <v>59</v>
      </c>
      <c r="J136" s="320">
        <v>40774</v>
      </c>
      <c r="K136" s="288" t="s">
        <v>12</v>
      </c>
      <c r="L136" s="312">
        <v>123</v>
      </c>
      <c r="M136" s="378">
        <v>2279</v>
      </c>
      <c r="N136" s="379">
        <v>487</v>
      </c>
      <c r="O136" s="334">
        <v>7024385</v>
      </c>
      <c r="P136" s="338">
        <v>688120</v>
      </c>
      <c r="Q136" s="297">
        <v>40907</v>
      </c>
    </row>
    <row r="137" spans="1:17" ht="12" customHeight="1">
      <c r="A137" s="520">
        <v>134</v>
      </c>
      <c r="B137" s="236" t="s">
        <v>193</v>
      </c>
      <c r="C137" s="236"/>
      <c r="D137" s="236"/>
      <c r="E137" s="236" t="s">
        <v>250</v>
      </c>
      <c r="F137" s="236" t="s">
        <v>55</v>
      </c>
      <c r="G137" s="236"/>
      <c r="H137" s="367" t="s">
        <v>49</v>
      </c>
      <c r="I137" s="319" t="s">
        <v>59</v>
      </c>
      <c r="J137" s="320">
        <v>40774</v>
      </c>
      <c r="K137" s="288" t="s">
        <v>12</v>
      </c>
      <c r="L137" s="312">
        <v>123</v>
      </c>
      <c r="M137" s="378">
        <v>1283</v>
      </c>
      <c r="N137" s="379">
        <v>205</v>
      </c>
      <c r="O137" s="334">
        <v>7032696</v>
      </c>
      <c r="P137" s="338">
        <v>689523</v>
      </c>
      <c r="Q137" s="297">
        <v>40977</v>
      </c>
    </row>
    <row r="138" spans="1:17" ht="12" customHeight="1">
      <c r="A138" s="520">
        <v>135</v>
      </c>
      <c r="B138" s="236" t="s">
        <v>193</v>
      </c>
      <c r="C138" s="236"/>
      <c r="D138" s="236"/>
      <c r="E138" s="236" t="s">
        <v>250</v>
      </c>
      <c r="F138" s="236" t="s">
        <v>55</v>
      </c>
      <c r="G138" s="236"/>
      <c r="H138" s="367" t="s">
        <v>49</v>
      </c>
      <c r="I138" s="319" t="s">
        <v>59</v>
      </c>
      <c r="J138" s="320">
        <v>40774</v>
      </c>
      <c r="K138" s="288" t="s">
        <v>12</v>
      </c>
      <c r="L138" s="440">
        <v>123</v>
      </c>
      <c r="M138" s="466">
        <v>1197</v>
      </c>
      <c r="N138" s="467">
        <v>189</v>
      </c>
      <c r="O138" s="441">
        <v>7033893</v>
      </c>
      <c r="P138" s="442">
        <v>689712</v>
      </c>
      <c r="Q138" s="297">
        <v>40984</v>
      </c>
    </row>
    <row r="139" spans="1:17" ht="12" customHeight="1">
      <c r="A139" s="520">
        <v>136</v>
      </c>
      <c r="B139" s="236" t="s">
        <v>193</v>
      </c>
      <c r="C139" s="236"/>
      <c r="D139" s="236"/>
      <c r="E139" s="236" t="s">
        <v>250</v>
      </c>
      <c r="F139" s="236" t="s">
        <v>55</v>
      </c>
      <c r="G139" s="236"/>
      <c r="H139" s="367" t="s">
        <v>49</v>
      </c>
      <c r="I139" s="319" t="s">
        <v>59</v>
      </c>
      <c r="J139" s="320">
        <v>40774</v>
      </c>
      <c r="K139" s="288" t="s">
        <v>12</v>
      </c>
      <c r="L139" s="312">
        <v>123</v>
      </c>
      <c r="M139" s="382">
        <v>1197</v>
      </c>
      <c r="N139" s="383">
        <v>189</v>
      </c>
      <c r="O139" s="328">
        <v>7031413</v>
      </c>
      <c r="P139" s="344">
        <v>689318</v>
      </c>
      <c r="Q139" s="297">
        <v>40963</v>
      </c>
    </row>
    <row r="140" spans="1:17" ht="12" customHeight="1">
      <c r="A140" s="520">
        <v>137</v>
      </c>
      <c r="B140" s="236" t="s">
        <v>193</v>
      </c>
      <c r="C140" s="236"/>
      <c r="D140" s="236"/>
      <c r="E140" s="236" t="s">
        <v>250</v>
      </c>
      <c r="F140" s="236" t="s">
        <v>55</v>
      </c>
      <c r="G140" s="236"/>
      <c r="H140" s="465" t="s">
        <v>49</v>
      </c>
      <c r="I140" s="319" t="s">
        <v>59</v>
      </c>
      <c r="J140" s="320">
        <v>40774</v>
      </c>
      <c r="K140" s="288" t="s">
        <v>12</v>
      </c>
      <c r="L140" s="312">
        <v>123</v>
      </c>
      <c r="M140" s="378">
        <v>1197</v>
      </c>
      <c r="N140" s="379">
        <v>189</v>
      </c>
      <c r="O140" s="334">
        <v>7027231</v>
      </c>
      <c r="P140" s="338">
        <v>688631</v>
      </c>
      <c r="Q140" s="297">
        <v>40928</v>
      </c>
    </row>
    <row r="141" spans="1:17" ht="12" customHeight="1">
      <c r="A141" s="520">
        <v>138</v>
      </c>
      <c r="B141" s="236" t="s">
        <v>193</v>
      </c>
      <c r="C141" s="236"/>
      <c r="D141" s="236"/>
      <c r="E141" s="236" t="s">
        <v>250</v>
      </c>
      <c r="F141" s="236" t="s">
        <v>55</v>
      </c>
      <c r="G141" s="236"/>
      <c r="H141" s="465" t="s">
        <v>49</v>
      </c>
      <c r="I141" s="319" t="s">
        <v>59</v>
      </c>
      <c r="J141" s="320">
        <v>40774</v>
      </c>
      <c r="K141" s="288" t="s">
        <v>12</v>
      </c>
      <c r="L141" s="312">
        <v>123</v>
      </c>
      <c r="M141" s="378">
        <v>784</v>
      </c>
      <c r="N141" s="379">
        <v>153</v>
      </c>
      <c r="O141" s="334">
        <v>7025169</v>
      </c>
      <c r="P141" s="338">
        <v>688273</v>
      </c>
      <c r="Q141" s="297">
        <v>40914</v>
      </c>
    </row>
    <row r="142" spans="1:17" ht="12" customHeight="1">
      <c r="A142" s="520">
        <v>139</v>
      </c>
      <c r="B142" s="236" t="s">
        <v>193</v>
      </c>
      <c r="C142" s="236"/>
      <c r="D142" s="236"/>
      <c r="E142" s="236" t="s">
        <v>250</v>
      </c>
      <c r="F142" s="236" t="s">
        <v>55</v>
      </c>
      <c r="G142" s="236"/>
      <c r="H142" s="465" t="s">
        <v>49</v>
      </c>
      <c r="I142" s="319" t="s">
        <v>59</v>
      </c>
      <c r="J142" s="320">
        <v>40774</v>
      </c>
      <c r="K142" s="288" t="s">
        <v>12</v>
      </c>
      <c r="L142" s="312">
        <v>123</v>
      </c>
      <c r="M142" s="378">
        <v>564</v>
      </c>
      <c r="N142" s="379">
        <v>117</v>
      </c>
      <c r="O142" s="334">
        <v>7026034</v>
      </c>
      <c r="P142" s="338">
        <v>688442</v>
      </c>
      <c r="Q142" s="297">
        <v>40921</v>
      </c>
    </row>
    <row r="143" spans="1:17" ht="12" customHeight="1">
      <c r="A143" s="520">
        <v>140</v>
      </c>
      <c r="B143" s="236" t="s">
        <v>193</v>
      </c>
      <c r="C143" s="293"/>
      <c r="D143" s="236"/>
      <c r="E143" s="236" t="s">
        <v>250</v>
      </c>
      <c r="F143" s="236" t="s">
        <v>55</v>
      </c>
      <c r="G143" s="293"/>
      <c r="H143" s="364" t="s">
        <v>160</v>
      </c>
      <c r="I143" s="340" t="s">
        <v>163</v>
      </c>
      <c r="J143" s="320">
        <v>39682</v>
      </c>
      <c r="K143" s="288" t="s">
        <v>53</v>
      </c>
      <c r="L143" s="346">
        <v>60</v>
      </c>
      <c r="M143" s="378">
        <v>5044.5</v>
      </c>
      <c r="N143" s="379">
        <v>1008</v>
      </c>
      <c r="O143" s="334">
        <f>111737+37434.5+11042+9412+0.5+6921+5282+0.5+1449+105+269+162+117+442+7259+305+4320+1922+1799+1799+135+1799+3598+1201+1802+1199+1801.5+5044.5</f>
        <v>218357.5</v>
      </c>
      <c r="P143" s="338">
        <f>13345+4357+1377+1694+1346+1248+225+18+64+40+37+108+2420+61+783+385+300+300+15+300+600+240+360+200+360+1008</f>
        <v>31191</v>
      </c>
      <c r="Q143" s="297">
        <v>41033</v>
      </c>
    </row>
    <row r="144" spans="1:17" ht="12" customHeight="1">
      <c r="A144" s="520">
        <v>141</v>
      </c>
      <c r="B144" s="236" t="s">
        <v>193</v>
      </c>
      <c r="C144" s="293"/>
      <c r="D144" s="236"/>
      <c r="E144" s="236" t="s">
        <v>250</v>
      </c>
      <c r="F144" s="236" t="s">
        <v>55</v>
      </c>
      <c r="G144" s="293"/>
      <c r="H144" s="462" t="s">
        <v>160</v>
      </c>
      <c r="I144" s="340" t="s">
        <v>163</v>
      </c>
      <c r="J144" s="320">
        <v>39682</v>
      </c>
      <c r="K144" s="288" t="s">
        <v>53</v>
      </c>
      <c r="L144" s="346">
        <v>60</v>
      </c>
      <c r="M144" s="378">
        <v>1802</v>
      </c>
      <c r="N144" s="379">
        <v>360</v>
      </c>
      <c r="O144" s="334">
        <f>111737+37434.5+11042+9412+0.5+6921+5282+0.5+1449+105+269+162+117+442+7259+305+4320+1922+1799+1799+135+1799+3598+1201+1802</f>
        <v>210312.5</v>
      </c>
      <c r="P144" s="338">
        <f>13345+4357+1377+1694+1346+1248+225+18+64+40+37+108+2420+61+783+385+300+300+15+300+600+240+360</f>
        <v>29623</v>
      </c>
      <c r="Q144" s="297">
        <v>40928</v>
      </c>
    </row>
    <row r="145" spans="1:17" ht="12" customHeight="1">
      <c r="A145" s="520">
        <v>142</v>
      </c>
      <c r="B145" s="236" t="s">
        <v>193</v>
      </c>
      <c r="C145" s="293"/>
      <c r="D145" s="236"/>
      <c r="E145" s="236" t="s">
        <v>250</v>
      </c>
      <c r="F145" s="236" t="s">
        <v>55</v>
      </c>
      <c r="G145" s="293"/>
      <c r="H145" s="364" t="s">
        <v>160</v>
      </c>
      <c r="I145" s="340" t="s">
        <v>163</v>
      </c>
      <c r="J145" s="320">
        <v>39682</v>
      </c>
      <c r="K145" s="288" t="s">
        <v>53</v>
      </c>
      <c r="L145" s="452">
        <v>60</v>
      </c>
      <c r="M145" s="378">
        <v>1801.5</v>
      </c>
      <c r="N145" s="379">
        <v>360</v>
      </c>
      <c r="O145" s="334">
        <f>111737+37434.5+11042+9412+0.5+6921+5282+0.5+1449+105+269+162+117+442+7259+305+4320+1922+1799+1799+135+1799+3598+1201+1802+1199+1801.5</f>
        <v>213313</v>
      </c>
      <c r="P145" s="338">
        <f>13345+4357+1377+1694+1346+1248+225+18+64+40+37+108+2420+61+783+385+300+300+15+300+600+240+360+200+360</f>
        <v>30183</v>
      </c>
      <c r="Q145" s="297">
        <v>40991</v>
      </c>
    </row>
    <row r="146" spans="1:17" ht="12" customHeight="1">
      <c r="A146" s="520">
        <v>143</v>
      </c>
      <c r="B146" s="236" t="s">
        <v>193</v>
      </c>
      <c r="C146" s="293"/>
      <c r="D146" s="236"/>
      <c r="E146" s="236" t="s">
        <v>250</v>
      </c>
      <c r="F146" s="236" t="s">
        <v>55</v>
      </c>
      <c r="G146" s="293"/>
      <c r="H146" s="462" t="s">
        <v>160</v>
      </c>
      <c r="I146" s="340" t="s">
        <v>163</v>
      </c>
      <c r="J146" s="320">
        <v>39682</v>
      </c>
      <c r="K146" s="288" t="s">
        <v>53</v>
      </c>
      <c r="L146" s="346">
        <v>60</v>
      </c>
      <c r="M146" s="378">
        <v>1201</v>
      </c>
      <c r="N146" s="379">
        <v>240</v>
      </c>
      <c r="O146" s="334">
        <f>111737+37434.5+11042+9412+0.5+6921+5282+0.5+1449+105+269+162+117+442+7259+305+4320+1922+1799+1799+135+1799+3598+1201</f>
        <v>208510.5</v>
      </c>
      <c r="P146" s="338">
        <f>13345+4357+1377+1694+1346+1248+225+18+64+40+37+108+2420+61+783+385+300+300+15+300+600+240</f>
        <v>29263</v>
      </c>
      <c r="Q146" s="297">
        <v>40907</v>
      </c>
    </row>
    <row r="147" spans="1:17" ht="12" customHeight="1">
      <c r="A147" s="520">
        <v>144</v>
      </c>
      <c r="B147" s="236" t="s">
        <v>193</v>
      </c>
      <c r="C147" s="293"/>
      <c r="D147" s="236"/>
      <c r="E147" s="236" t="s">
        <v>250</v>
      </c>
      <c r="F147" s="236" t="s">
        <v>55</v>
      </c>
      <c r="G147" s="293"/>
      <c r="H147" s="364" t="s">
        <v>160</v>
      </c>
      <c r="I147" s="340" t="s">
        <v>163</v>
      </c>
      <c r="J147" s="320">
        <v>39682</v>
      </c>
      <c r="K147" s="288" t="s">
        <v>53</v>
      </c>
      <c r="L147" s="452">
        <v>60</v>
      </c>
      <c r="M147" s="466">
        <v>1199</v>
      </c>
      <c r="N147" s="467">
        <v>200</v>
      </c>
      <c r="O147" s="441">
        <f>111737+37434.5+11042+9412+0.5+6921+5282+0.5+1449+105+269+162+117+442+7259+305+4320+1922+1799+1799+135+1799+3598+1201+1802+1199</f>
        <v>211511.5</v>
      </c>
      <c r="P147" s="442">
        <f>13345+4357+1377+1694+1346+1248+225+18+64+40+37+108+2420+61+783+385+300+300+15+300+600+240+360+200</f>
        <v>29823</v>
      </c>
      <c r="Q147" s="297">
        <v>40984</v>
      </c>
    </row>
    <row r="148" spans="1:17" ht="12" customHeight="1">
      <c r="A148" s="520">
        <v>145</v>
      </c>
      <c r="B148" s="236"/>
      <c r="C148" s="236"/>
      <c r="D148" s="236"/>
      <c r="E148" s="236"/>
      <c r="F148" s="236"/>
      <c r="G148" s="236" t="s">
        <v>54</v>
      </c>
      <c r="H148" s="363" t="s">
        <v>77</v>
      </c>
      <c r="I148" s="288" t="s">
        <v>158</v>
      </c>
      <c r="J148" s="320">
        <v>40865</v>
      </c>
      <c r="K148" s="288" t="s">
        <v>52</v>
      </c>
      <c r="L148" s="331">
        <v>64</v>
      </c>
      <c r="M148" s="378">
        <v>3564</v>
      </c>
      <c r="N148" s="379">
        <v>712</v>
      </c>
      <c r="O148" s="334">
        <f>256046+137037.5+20115+5099+3542+3484.5+1302+1985+195+659+3564</f>
        <v>433029</v>
      </c>
      <c r="P148" s="338">
        <f>25390+13650+2140+705+587+707+246+352+31+92+712</f>
        <v>44612</v>
      </c>
      <c r="Q148" s="297">
        <v>40949</v>
      </c>
    </row>
    <row r="149" spans="1:17" ht="12" customHeight="1">
      <c r="A149" s="520">
        <v>146</v>
      </c>
      <c r="B149" s="236"/>
      <c r="C149" s="236"/>
      <c r="D149" s="236"/>
      <c r="E149" s="236"/>
      <c r="F149" s="236"/>
      <c r="G149" s="236" t="s">
        <v>54</v>
      </c>
      <c r="H149" s="461" t="s">
        <v>77</v>
      </c>
      <c r="I149" s="288" t="s">
        <v>158</v>
      </c>
      <c r="J149" s="320">
        <v>40865</v>
      </c>
      <c r="K149" s="288" t="s">
        <v>52</v>
      </c>
      <c r="L149" s="331">
        <v>64</v>
      </c>
      <c r="M149" s="474">
        <v>1985</v>
      </c>
      <c r="N149" s="475">
        <v>352</v>
      </c>
      <c r="O149" s="330">
        <f>256046+137037.5+20115+5099+3542+3484.5+1302+1985</f>
        <v>428611</v>
      </c>
      <c r="P149" s="338">
        <f>25390+13650+2140+705+587+707+246+352</f>
        <v>43777</v>
      </c>
      <c r="Q149" s="297">
        <v>40914</v>
      </c>
    </row>
    <row r="150" spans="1:17" ht="12" customHeight="1">
      <c r="A150" s="520">
        <v>147</v>
      </c>
      <c r="B150" s="236"/>
      <c r="C150" s="236"/>
      <c r="D150" s="236"/>
      <c r="E150" s="236"/>
      <c r="F150" s="236"/>
      <c r="G150" s="236" t="s">
        <v>54</v>
      </c>
      <c r="H150" s="461" t="s">
        <v>77</v>
      </c>
      <c r="I150" s="288" t="s">
        <v>158</v>
      </c>
      <c r="J150" s="320">
        <v>40865</v>
      </c>
      <c r="K150" s="288" t="s">
        <v>52</v>
      </c>
      <c r="L150" s="331">
        <v>64</v>
      </c>
      <c r="M150" s="474">
        <v>1302</v>
      </c>
      <c r="N150" s="475">
        <v>246</v>
      </c>
      <c r="O150" s="330">
        <f>256046+137037.5+20115+5099+3542+3484.5+1302</f>
        <v>426626</v>
      </c>
      <c r="P150" s="338">
        <f>25390+13650+2140+705+587+707+246</f>
        <v>43425</v>
      </c>
      <c r="Q150" s="297">
        <v>40907</v>
      </c>
    </row>
    <row r="151" spans="1:17" ht="12" customHeight="1">
      <c r="A151" s="520">
        <v>148</v>
      </c>
      <c r="B151" s="236"/>
      <c r="C151" s="236"/>
      <c r="D151" s="236"/>
      <c r="E151" s="236"/>
      <c r="F151" s="236"/>
      <c r="G151" s="236" t="s">
        <v>54</v>
      </c>
      <c r="H151" s="461" t="s">
        <v>77</v>
      </c>
      <c r="I151" s="288" t="s">
        <v>158</v>
      </c>
      <c r="J151" s="320">
        <v>40865</v>
      </c>
      <c r="K151" s="288" t="s">
        <v>52</v>
      </c>
      <c r="L151" s="331">
        <v>64</v>
      </c>
      <c r="M151" s="474">
        <v>659</v>
      </c>
      <c r="N151" s="475">
        <v>92</v>
      </c>
      <c r="O151" s="330">
        <f>256046+137037.5+20115+5099+3542+3484.5+1302+1985+195+659</f>
        <v>429465</v>
      </c>
      <c r="P151" s="338">
        <f>25390+13650+2140+705+587+707+246+352+31+92</f>
        <v>43900</v>
      </c>
      <c r="Q151" s="297">
        <v>40928</v>
      </c>
    </row>
    <row r="152" spans="1:17" ht="12" customHeight="1">
      <c r="A152" s="520">
        <v>149</v>
      </c>
      <c r="B152" s="236"/>
      <c r="C152" s="236"/>
      <c r="D152" s="236"/>
      <c r="E152" s="236"/>
      <c r="F152" s="236"/>
      <c r="G152" s="236" t="s">
        <v>54</v>
      </c>
      <c r="H152" s="461" t="s">
        <v>77</v>
      </c>
      <c r="I152" s="288" t="s">
        <v>158</v>
      </c>
      <c r="J152" s="320">
        <v>40865</v>
      </c>
      <c r="K152" s="288" t="s">
        <v>52</v>
      </c>
      <c r="L152" s="331">
        <v>64</v>
      </c>
      <c r="M152" s="476">
        <v>195</v>
      </c>
      <c r="N152" s="477">
        <v>31</v>
      </c>
      <c r="O152" s="453">
        <f>256046+137037.5+20115+5099+3542+3484.5+1302+1985+195</f>
        <v>428806</v>
      </c>
      <c r="P152" s="338">
        <f>25390+13650+2140+705+587+707+246+352+31</f>
        <v>43808</v>
      </c>
      <c r="Q152" s="297">
        <v>40921</v>
      </c>
    </row>
    <row r="153" spans="1:17" ht="12" customHeight="1">
      <c r="A153" s="520">
        <v>150</v>
      </c>
      <c r="B153" s="236"/>
      <c r="C153" s="236">
        <v>3</v>
      </c>
      <c r="D153" s="236"/>
      <c r="E153" s="236"/>
      <c r="F153" s="236"/>
      <c r="G153" s="236"/>
      <c r="H153" s="460" t="s">
        <v>179</v>
      </c>
      <c r="I153" s="341" t="s">
        <v>179</v>
      </c>
      <c r="J153" s="320">
        <v>40837</v>
      </c>
      <c r="K153" s="288" t="s">
        <v>12</v>
      </c>
      <c r="L153" s="312">
        <v>130</v>
      </c>
      <c r="M153" s="378">
        <v>983</v>
      </c>
      <c r="N153" s="379">
        <v>141</v>
      </c>
      <c r="O153" s="334">
        <v>893705</v>
      </c>
      <c r="P153" s="338">
        <v>90187</v>
      </c>
      <c r="Q153" s="297">
        <v>40907</v>
      </c>
    </row>
    <row r="154" spans="1:17" ht="12" customHeight="1">
      <c r="A154" s="520">
        <v>151</v>
      </c>
      <c r="B154" s="236"/>
      <c r="C154" s="236"/>
      <c r="D154" s="236"/>
      <c r="E154" s="236"/>
      <c r="F154" s="236"/>
      <c r="G154" s="236"/>
      <c r="H154" s="463" t="s">
        <v>700</v>
      </c>
      <c r="I154" s="339"/>
      <c r="J154" s="370">
        <v>40669</v>
      </c>
      <c r="K154" s="288" t="s">
        <v>289</v>
      </c>
      <c r="L154" s="312">
        <v>10</v>
      </c>
      <c r="M154" s="378">
        <v>2376</v>
      </c>
      <c r="N154" s="379">
        <v>475</v>
      </c>
      <c r="O154" s="334">
        <v>55058.75</v>
      </c>
      <c r="P154" s="338">
        <v>5136</v>
      </c>
      <c r="Q154" s="297">
        <v>41026</v>
      </c>
    </row>
    <row r="155" spans="1:17" ht="12" customHeight="1">
      <c r="A155" s="520">
        <v>152</v>
      </c>
      <c r="B155" s="236"/>
      <c r="C155" s="236"/>
      <c r="D155" s="236"/>
      <c r="E155" s="236"/>
      <c r="F155" s="236"/>
      <c r="G155" s="236"/>
      <c r="H155" s="463" t="s">
        <v>700</v>
      </c>
      <c r="I155" s="288" t="s">
        <v>706</v>
      </c>
      <c r="J155" s="320">
        <v>40669</v>
      </c>
      <c r="K155" s="288" t="s">
        <v>289</v>
      </c>
      <c r="L155" s="313">
        <v>10</v>
      </c>
      <c r="M155" s="378">
        <v>1188</v>
      </c>
      <c r="N155" s="379">
        <v>238</v>
      </c>
      <c r="O155" s="334">
        <v>52682.75</v>
      </c>
      <c r="P155" s="338">
        <v>4661</v>
      </c>
      <c r="Q155" s="297">
        <v>41005</v>
      </c>
    </row>
    <row r="156" spans="1:17" ht="12" customHeight="1">
      <c r="A156" s="520">
        <v>153</v>
      </c>
      <c r="B156" s="236"/>
      <c r="C156" s="236"/>
      <c r="D156" s="236"/>
      <c r="E156" s="236"/>
      <c r="F156" s="236"/>
      <c r="G156" s="236"/>
      <c r="H156" s="463" t="s">
        <v>704</v>
      </c>
      <c r="I156" s="288" t="s">
        <v>702</v>
      </c>
      <c r="J156" s="320">
        <v>40543</v>
      </c>
      <c r="K156" s="288" t="s">
        <v>289</v>
      </c>
      <c r="L156" s="313">
        <v>2</v>
      </c>
      <c r="M156" s="378">
        <v>1188</v>
      </c>
      <c r="N156" s="379">
        <v>238</v>
      </c>
      <c r="O156" s="334">
        <v>70801.5</v>
      </c>
      <c r="P156" s="338">
        <v>5878</v>
      </c>
      <c r="Q156" s="297">
        <v>41005</v>
      </c>
    </row>
    <row r="157" spans="1:17" ht="12" customHeight="1">
      <c r="A157" s="520">
        <v>154</v>
      </c>
      <c r="B157" s="236" t="s">
        <v>193</v>
      </c>
      <c r="C157" s="236">
        <v>3</v>
      </c>
      <c r="D157" s="236">
        <v>2</v>
      </c>
      <c r="E157" s="236"/>
      <c r="F157" s="236"/>
      <c r="G157" s="236"/>
      <c r="H157" s="460" t="s">
        <v>339</v>
      </c>
      <c r="I157" s="341" t="s">
        <v>342</v>
      </c>
      <c r="J157" s="320">
        <v>40802</v>
      </c>
      <c r="K157" s="288" t="s">
        <v>12</v>
      </c>
      <c r="L157" s="312">
        <v>139</v>
      </c>
      <c r="M157" s="378">
        <v>1197</v>
      </c>
      <c r="N157" s="379">
        <v>189</v>
      </c>
      <c r="O157" s="334">
        <v>867262</v>
      </c>
      <c r="P157" s="338">
        <v>93571</v>
      </c>
      <c r="Q157" s="297">
        <v>40921</v>
      </c>
    </row>
    <row r="158" spans="1:17" ht="12" customHeight="1">
      <c r="A158" s="520">
        <v>155</v>
      </c>
      <c r="B158" s="293"/>
      <c r="C158" s="293"/>
      <c r="D158" s="236"/>
      <c r="E158" s="293"/>
      <c r="F158" s="236"/>
      <c r="G158" s="236" t="s">
        <v>54</v>
      </c>
      <c r="H158" s="360" t="s">
        <v>609</v>
      </c>
      <c r="I158" s="288" t="s">
        <v>609</v>
      </c>
      <c r="J158" s="320">
        <v>40620</v>
      </c>
      <c r="K158" s="288" t="s">
        <v>52</v>
      </c>
      <c r="L158" s="331">
        <v>218</v>
      </c>
      <c r="M158" s="378">
        <v>3564</v>
      </c>
      <c r="N158" s="379">
        <v>713</v>
      </c>
      <c r="O158" s="334">
        <f>868723.5+629960.75+471670+272432+164061+97109.5+34971.5+29195+10591.5+4973+1214+25859.5+8228+5222+126+1321+161+8414+5940+170+7722+2970+242+249+16632+18847+2376+3564</f>
        <v>2692945.25</v>
      </c>
      <c r="P158" s="338">
        <f>93361+70981+54177+33865+22657+14644+6278+5343+1965+923+199+3609+1160+736+18+257+23+1598+1188+23+1386+594+42+42+3326+3498+339+713</f>
        <v>322945</v>
      </c>
      <c r="Q158" s="297">
        <v>40977</v>
      </c>
    </row>
    <row r="159" spans="1:17" ht="12" customHeight="1">
      <c r="A159" s="520">
        <v>156</v>
      </c>
      <c r="B159" s="236"/>
      <c r="C159" s="236"/>
      <c r="D159" s="236"/>
      <c r="E159" s="236"/>
      <c r="F159" s="236"/>
      <c r="G159" s="236"/>
      <c r="H159" s="366" t="s">
        <v>678</v>
      </c>
      <c r="I159" s="339" t="s">
        <v>676</v>
      </c>
      <c r="J159" s="297">
        <v>36861</v>
      </c>
      <c r="K159" s="288" t="s">
        <v>622</v>
      </c>
      <c r="L159" s="312">
        <v>8</v>
      </c>
      <c r="M159" s="380">
        <v>958</v>
      </c>
      <c r="N159" s="381">
        <v>160</v>
      </c>
      <c r="O159" s="342">
        <v>220961.5</v>
      </c>
      <c r="P159" s="343">
        <v>91128</v>
      </c>
      <c r="Q159" s="297">
        <v>40998</v>
      </c>
    </row>
    <row r="160" spans="1:17" ht="12" customHeight="1">
      <c r="A160" s="520">
        <v>157</v>
      </c>
      <c r="B160" s="236"/>
      <c r="C160" s="236"/>
      <c r="D160" s="236"/>
      <c r="E160" s="236"/>
      <c r="F160" s="236"/>
      <c r="G160" s="236"/>
      <c r="H160" s="463" t="s">
        <v>218</v>
      </c>
      <c r="I160" s="288" t="s">
        <v>216</v>
      </c>
      <c r="J160" s="320">
        <v>40564</v>
      </c>
      <c r="K160" s="288" t="s">
        <v>13</v>
      </c>
      <c r="L160" s="440">
        <v>3</v>
      </c>
      <c r="M160" s="378">
        <v>594</v>
      </c>
      <c r="N160" s="379">
        <v>118</v>
      </c>
      <c r="O160" s="334">
        <v>13140.5</v>
      </c>
      <c r="P160" s="338">
        <v>1009</v>
      </c>
      <c r="Q160" s="297">
        <v>40907</v>
      </c>
    </row>
    <row r="161" spans="1:17" ht="12" customHeight="1">
      <c r="A161" s="520">
        <v>158</v>
      </c>
      <c r="B161" s="236"/>
      <c r="C161" s="236"/>
      <c r="D161" s="236"/>
      <c r="E161" s="236"/>
      <c r="F161" s="294"/>
      <c r="G161" s="236" t="s">
        <v>54</v>
      </c>
      <c r="H161" s="464" t="s">
        <v>98</v>
      </c>
      <c r="I161" s="288" t="s">
        <v>98</v>
      </c>
      <c r="J161" s="297">
        <v>40872</v>
      </c>
      <c r="K161" s="288" t="s">
        <v>10</v>
      </c>
      <c r="L161" s="312">
        <v>277</v>
      </c>
      <c r="M161" s="382">
        <v>441941</v>
      </c>
      <c r="N161" s="383">
        <v>49345</v>
      </c>
      <c r="O161" s="328">
        <v>10697295</v>
      </c>
      <c r="P161" s="344">
        <v>1139680</v>
      </c>
      <c r="Q161" s="297">
        <v>40907</v>
      </c>
    </row>
    <row r="162" spans="1:17" ht="12" customHeight="1">
      <c r="A162" s="520">
        <v>159</v>
      </c>
      <c r="B162" s="236"/>
      <c r="C162" s="236"/>
      <c r="D162" s="236"/>
      <c r="E162" s="236"/>
      <c r="F162" s="294"/>
      <c r="G162" s="236" t="s">
        <v>54</v>
      </c>
      <c r="H162" s="460" t="s">
        <v>98</v>
      </c>
      <c r="I162" s="288" t="s">
        <v>98</v>
      </c>
      <c r="J162" s="297">
        <v>40872</v>
      </c>
      <c r="K162" s="288" t="s">
        <v>10</v>
      </c>
      <c r="L162" s="312">
        <v>277</v>
      </c>
      <c r="M162" s="382">
        <f>129529+680</f>
        <v>130209</v>
      </c>
      <c r="N162" s="383">
        <f>15613+55</f>
        <v>15668</v>
      </c>
      <c r="O162" s="328">
        <f>10697295+129529+680</f>
        <v>10827504</v>
      </c>
      <c r="P162" s="344">
        <f>1139680+15613+55</f>
        <v>1155348</v>
      </c>
      <c r="Q162" s="297">
        <v>40914</v>
      </c>
    </row>
    <row r="163" spans="1:17" ht="12" customHeight="1">
      <c r="A163" s="520">
        <v>160</v>
      </c>
      <c r="B163" s="236"/>
      <c r="C163" s="236"/>
      <c r="D163" s="236"/>
      <c r="E163" s="236"/>
      <c r="F163" s="294"/>
      <c r="G163" s="236" t="s">
        <v>54</v>
      </c>
      <c r="H163" s="460" t="s">
        <v>98</v>
      </c>
      <c r="I163" s="288" t="s">
        <v>98</v>
      </c>
      <c r="J163" s="297">
        <v>40872</v>
      </c>
      <c r="K163" s="288" t="s">
        <v>10</v>
      </c>
      <c r="L163" s="312">
        <v>277</v>
      </c>
      <c r="M163" s="382">
        <v>64482</v>
      </c>
      <c r="N163" s="383">
        <v>7909</v>
      </c>
      <c r="O163" s="328">
        <v>10891986</v>
      </c>
      <c r="P163" s="344">
        <v>1163257</v>
      </c>
      <c r="Q163" s="297">
        <v>40921</v>
      </c>
    </row>
    <row r="164" spans="1:17" ht="12" customHeight="1">
      <c r="A164" s="520">
        <v>161</v>
      </c>
      <c r="B164" s="236"/>
      <c r="C164" s="236"/>
      <c r="D164" s="236"/>
      <c r="E164" s="236"/>
      <c r="F164" s="294"/>
      <c r="G164" s="236" t="s">
        <v>54</v>
      </c>
      <c r="H164" s="460" t="s">
        <v>98</v>
      </c>
      <c r="I164" s="288" t="s">
        <v>98</v>
      </c>
      <c r="J164" s="297">
        <v>40872</v>
      </c>
      <c r="K164" s="288" t="s">
        <v>10</v>
      </c>
      <c r="L164" s="312">
        <v>277</v>
      </c>
      <c r="M164" s="382">
        <v>39245</v>
      </c>
      <c r="N164" s="383">
        <v>5888</v>
      </c>
      <c r="O164" s="328">
        <v>10931231</v>
      </c>
      <c r="P164" s="344">
        <v>1169145</v>
      </c>
      <c r="Q164" s="297">
        <v>40928</v>
      </c>
    </row>
    <row r="165" spans="1:17" ht="12" customHeight="1">
      <c r="A165" s="520">
        <v>162</v>
      </c>
      <c r="B165" s="236"/>
      <c r="C165" s="236"/>
      <c r="D165" s="236"/>
      <c r="E165" s="236"/>
      <c r="F165" s="294"/>
      <c r="G165" s="236" t="s">
        <v>54</v>
      </c>
      <c r="H165" s="362" t="s">
        <v>98</v>
      </c>
      <c r="I165" s="288" t="s">
        <v>98</v>
      </c>
      <c r="J165" s="297">
        <v>40872</v>
      </c>
      <c r="K165" s="288" t="s">
        <v>10</v>
      </c>
      <c r="L165" s="312">
        <v>277</v>
      </c>
      <c r="M165" s="382">
        <v>7140</v>
      </c>
      <c r="N165" s="383">
        <v>1666</v>
      </c>
      <c r="O165" s="328">
        <v>10945899</v>
      </c>
      <c r="P165" s="344">
        <v>1172189</v>
      </c>
      <c r="Q165" s="297">
        <v>40956</v>
      </c>
    </row>
    <row r="166" spans="1:17" ht="12" customHeight="1">
      <c r="A166" s="520">
        <v>163</v>
      </c>
      <c r="B166" s="236"/>
      <c r="C166" s="236"/>
      <c r="D166" s="236"/>
      <c r="E166" s="236"/>
      <c r="F166" s="294"/>
      <c r="G166" s="236" t="s">
        <v>54</v>
      </c>
      <c r="H166" s="362" t="s">
        <v>98</v>
      </c>
      <c r="I166" s="288" t="s">
        <v>98</v>
      </c>
      <c r="J166" s="297">
        <v>40872</v>
      </c>
      <c r="K166" s="288" t="s">
        <v>10</v>
      </c>
      <c r="L166" s="312">
        <v>277</v>
      </c>
      <c r="M166" s="380">
        <v>4760</v>
      </c>
      <c r="N166" s="381">
        <v>1071</v>
      </c>
      <c r="O166" s="342">
        <v>10960179</v>
      </c>
      <c r="P166" s="343">
        <v>1175531</v>
      </c>
      <c r="Q166" s="297">
        <v>41005</v>
      </c>
    </row>
    <row r="167" spans="1:17" ht="12" customHeight="1">
      <c r="A167" s="520">
        <v>164</v>
      </c>
      <c r="B167" s="236"/>
      <c r="C167" s="236"/>
      <c r="D167" s="236"/>
      <c r="E167" s="236"/>
      <c r="F167" s="294"/>
      <c r="G167" s="236" t="s">
        <v>54</v>
      </c>
      <c r="H167" s="362" t="s">
        <v>98</v>
      </c>
      <c r="I167" s="288" t="s">
        <v>98</v>
      </c>
      <c r="J167" s="369">
        <v>40872</v>
      </c>
      <c r="K167" s="288" t="s">
        <v>10</v>
      </c>
      <c r="L167" s="313">
        <v>277</v>
      </c>
      <c r="M167" s="468">
        <v>4760</v>
      </c>
      <c r="N167" s="469">
        <v>1071</v>
      </c>
      <c r="O167" s="317">
        <v>10964939</v>
      </c>
      <c r="P167" s="368">
        <v>1176602</v>
      </c>
      <c r="Q167" s="297">
        <v>41012</v>
      </c>
    </row>
    <row r="168" spans="1:17" ht="12" customHeight="1">
      <c r="A168" s="520">
        <v>165</v>
      </c>
      <c r="B168" s="236"/>
      <c r="C168" s="236"/>
      <c r="D168" s="236"/>
      <c r="E168" s="236"/>
      <c r="F168" s="294"/>
      <c r="G168" s="236" t="s">
        <v>54</v>
      </c>
      <c r="H168" s="362" t="s">
        <v>98</v>
      </c>
      <c r="I168" s="288" t="s">
        <v>98</v>
      </c>
      <c r="J168" s="297">
        <v>40872</v>
      </c>
      <c r="K168" s="288" t="s">
        <v>10</v>
      </c>
      <c r="L168" s="312">
        <v>277</v>
      </c>
      <c r="M168" s="382">
        <v>3968</v>
      </c>
      <c r="N168" s="383">
        <v>738</v>
      </c>
      <c r="O168" s="328">
        <v>10938759</v>
      </c>
      <c r="P168" s="344">
        <v>1170523</v>
      </c>
      <c r="Q168" s="297">
        <v>40949</v>
      </c>
    </row>
    <row r="169" spans="1:17" ht="12" customHeight="1">
      <c r="A169" s="520">
        <v>166</v>
      </c>
      <c r="B169" s="236"/>
      <c r="C169" s="236"/>
      <c r="D169" s="236"/>
      <c r="E169" s="236"/>
      <c r="F169" s="294"/>
      <c r="G169" s="236" t="s">
        <v>54</v>
      </c>
      <c r="H169" s="362" t="s">
        <v>98</v>
      </c>
      <c r="I169" s="288" t="s">
        <v>98</v>
      </c>
      <c r="J169" s="297">
        <v>40872</v>
      </c>
      <c r="K169" s="288" t="s">
        <v>10</v>
      </c>
      <c r="L169" s="312">
        <v>277</v>
      </c>
      <c r="M169" s="382">
        <v>2380</v>
      </c>
      <c r="N169" s="383">
        <v>605</v>
      </c>
      <c r="O169" s="328">
        <v>10950659</v>
      </c>
      <c r="P169" s="344">
        <v>1173389</v>
      </c>
      <c r="Q169" s="297">
        <v>40970</v>
      </c>
    </row>
    <row r="170" spans="1:17" ht="12" customHeight="1">
      <c r="A170" s="520">
        <v>167</v>
      </c>
      <c r="B170" s="236"/>
      <c r="C170" s="236"/>
      <c r="D170" s="236"/>
      <c r="E170" s="236"/>
      <c r="F170" s="294"/>
      <c r="G170" s="236" t="s">
        <v>54</v>
      </c>
      <c r="H170" s="362" t="s">
        <v>98</v>
      </c>
      <c r="I170" s="288" t="s">
        <v>98</v>
      </c>
      <c r="J170" s="297">
        <v>40872</v>
      </c>
      <c r="K170" s="288" t="s">
        <v>10</v>
      </c>
      <c r="L170" s="440">
        <v>277</v>
      </c>
      <c r="M170" s="470">
        <v>2380</v>
      </c>
      <c r="N170" s="471">
        <v>595</v>
      </c>
      <c r="O170" s="448">
        <v>10955419</v>
      </c>
      <c r="P170" s="449">
        <v>1174460</v>
      </c>
      <c r="Q170" s="297">
        <v>40984</v>
      </c>
    </row>
    <row r="171" spans="1:17" ht="12" customHeight="1">
      <c r="A171" s="520">
        <v>168</v>
      </c>
      <c r="B171" s="236"/>
      <c r="C171" s="236"/>
      <c r="D171" s="236"/>
      <c r="E171" s="236"/>
      <c r="F171" s="294"/>
      <c r="G171" s="236" t="s">
        <v>54</v>
      </c>
      <c r="H171" s="362" t="s">
        <v>98</v>
      </c>
      <c r="I171" s="288" t="s">
        <v>98</v>
      </c>
      <c r="J171" s="297">
        <v>40872</v>
      </c>
      <c r="K171" s="288" t="s">
        <v>10</v>
      </c>
      <c r="L171" s="312">
        <v>277</v>
      </c>
      <c r="M171" s="382">
        <v>2380</v>
      </c>
      <c r="N171" s="383">
        <v>595</v>
      </c>
      <c r="O171" s="328">
        <f>10945899+2380</f>
        <v>10948279</v>
      </c>
      <c r="P171" s="344">
        <f>1172189+595</f>
        <v>1172784</v>
      </c>
      <c r="Q171" s="297">
        <v>40963</v>
      </c>
    </row>
    <row r="172" spans="1:17" ht="12" customHeight="1">
      <c r="A172" s="520">
        <v>169</v>
      </c>
      <c r="B172" s="236"/>
      <c r="C172" s="236"/>
      <c r="D172" s="236"/>
      <c r="E172" s="236"/>
      <c r="F172" s="294"/>
      <c r="G172" s="236" t="s">
        <v>54</v>
      </c>
      <c r="H172" s="362" t="s">
        <v>98</v>
      </c>
      <c r="I172" s="288" t="s">
        <v>98</v>
      </c>
      <c r="J172" s="297">
        <v>40872</v>
      </c>
      <c r="K172" s="288" t="s">
        <v>10</v>
      </c>
      <c r="L172" s="312">
        <v>277</v>
      </c>
      <c r="M172" s="382">
        <v>2380</v>
      </c>
      <c r="N172" s="383">
        <v>476</v>
      </c>
      <c r="O172" s="328">
        <v>10953039</v>
      </c>
      <c r="P172" s="344">
        <v>1173865</v>
      </c>
      <c r="Q172" s="297">
        <v>40977</v>
      </c>
    </row>
    <row r="173" spans="1:17" ht="12" customHeight="1">
      <c r="A173" s="520">
        <v>170</v>
      </c>
      <c r="B173" s="236"/>
      <c r="C173" s="236"/>
      <c r="D173" s="236"/>
      <c r="E173" s="236"/>
      <c r="F173" s="294"/>
      <c r="G173" s="236" t="s">
        <v>54</v>
      </c>
      <c r="H173" s="460" t="s">
        <v>98</v>
      </c>
      <c r="I173" s="288" t="s">
        <v>98</v>
      </c>
      <c r="J173" s="297">
        <v>40872</v>
      </c>
      <c r="K173" s="288" t="s">
        <v>10</v>
      </c>
      <c r="L173" s="312">
        <v>277</v>
      </c>
      <c r="M173" s="382">
        <v>2354</v>
      </c>
      <c r="N173" s="383">
        <v>410</v>
      </c>
      <c r="O173" s="328">
        <v>10933585</v>
      </c>
      <c r="P173" s="344">
        <v>1169555</v>
      </c>
      <c r="Q173" s="297">
        <v>40935</v>
      </c>
    </row>
    <row r="174" spans="1:17" ht="12" customHeight="1">
      <c r="A174" s="520">
        <v>171</v>
      </c>
      <c r="B174" s="236"/>
      <c r="C174" s="236"/>
      <c r="D174" s="236"/>
      <c r="E174" s="236"/>
      <c r="F174" s="294"/>
      <c r="G174" s="236" t="s">
        <v>54</v>
      </c>
      <c r="H174" s="460" t="s">
        <v>98</v>
      </c>
      <c r="I174" s="288" t="s">
        <v>98</v>
      </c>
      <c r="J174" s="297">
        <v>40872</v>
      </c>
      <c r="K174" s="288" t="s">
        <v>10</v>
      </c>
      <c r="L174" s="312">
        <v>277</v>
      </c>
      <c r="M174" s="382">
        <v>1206</v>
      </c>
      <c r="N174" s="383">
        <v>230</v>
      </c>
      <c r="O174" s="328">
        <v>10934791</v>
      </c>
      <c r="P174" s="344">
        <v>1169785</v>
      </c>
      <c r="Q174" s="297">
        <v>40942</v>
      </c>
    </row>
    <row r="175" spans="1:17" ht="12" customHeight="1">
      <c r="A175" s="520">
        <v>172</v>
      </c>
      <c r="B175" s="236"/>
      <c r="C175" s="236"/>
      <c r="D175" s="236"/>
      <c r="E175" s="236"/>
      <c r="F175" s="236"/>
      <c r="G175" s="236"/>
      <c r="H175" s="366" t="s">
        <v>724</v>
      </c>
      <c r="I175" s="339" t="s">
        <v>723</v>
      </c>
      <c r="J175" s="369">
        <v>40725</v>
      </c>
      <c r="K175" s="288" t="s">
        <v>68</v>
      </c>
      <c r="L175" s="313">
        <v>5</v>
      </c>
      <c r="M175" s="468">
        <v>1782</v>
      </c>
      <c r="N175" s="469">
        <v>356</v>
      </c>
      <c r="O175" s="317">
        <f>10816+3994+1279+2322+578+830+1180+2743+123+84+986+423+430+345+1782</f>
        <v>27915</v>
      </c>
      <c r="P175" s="368">
        <f>727+361+121+270+90+111+287+293+22+14+147+66+71+56+356</f>
        <v>2992</v>
      </c>
      <c r="Q175" s="297">
        <v>41012</v>
      </c>
    </row>
    <row r="176" spans="1:17" ht="12" customHeight="1">
      <c r="A176" s="520">
        <v>173</v>
      </c>
      <c r="B176" s="236"/>
      <c r="C176" s="236"/>
      <c r="D176" s="236">
        <v>2</v>
      </c>
      <c r="E176" s="236"/>
      <c r="F176" s="236"/>
      <c r="G176" s="236" t="s">
        <v>54</v>
      </c>
      <c r="H176" s="366" t="s">
        <v>570</v>
      </c>
      <c r="I176" s="339" t="s">
        <v>570</v>
      </c>
      <c r="J176" s="320">
        <v>40669</v>
      </c>
      <c r="K176" s="288" t="s">
        <v>68</v>
      </c>
      <c r="L176" s="312">
        <v>31</v>
      </c>
      <c r="M176" s="382">
        <v>950.5</v>
      </c>
      <c r="N176" s="383">
        <v>190</v>
      </c>
      <c r="O176" s="328">
        <f>175019+105176.5+33821+39610.5+24959.5+21794.5+6227+4449+362+706+2230+1369.5+1342.5+950.5+240+2366+3801.5+950.5</f>
        <v>425375.5</v>
      </c>
      <c r="P176" s="344">
        <f>19673+11998+4200+5352+3807+3790+1054+773+55+128+469+229+219+157+30+429+950+190</f>
        <v>53503</v>
      </c>
      <c r="Q176" s="297">
        <v>40963</v>
      </c>
    </row>
    <row r="177" spans="1:17" ht="12" customHeight="1">
      <c r="A177" s="520">
        <v>174</v>
      </c>
      <c r="B177" s="236"/>
      <c r="C177" s="236"/>
      <c r="D177" s="236"/>
      <c r="E177" s="236"/>
      <c r="F177" s="236"/>
      <c r="G177" s="236"/>
      <c r="H177" s="366" t="s">
        <v>625</v>
      </c>
      <c r="I177" s="339" t="s">
        <v>632</v>
      </c>
      <c r="J177" s="297">
        <v>38296</v>
      </c>
      <c r="K177" s="288" t="s">
        <v>622</v>
      </c>
      <c r="L177" s="440">
        <v>20</v>
      </c>
      <c r="M177" s="470">
        <v>2158</v>
      </c>
      <c r="N177" s="471">
        <v>361</v>
      </c>
      <c r="O177" s="448">
        <v>334800</v>
      </c>
      <c r="P177" s="449">
        <v>51303</v>
      </c>
      <c r="Q177" s="297">
        <v>40984</v>
      </c>
    </row>
    <row r="178" spans="1:17" ht="12" customHeight="1">
      <c r="A178" s="520">
        <v>175</v>
      </c>
      <c r="B178" s="236"/>
      <c r="C178" s="236"/>
      <c r="D178" s="236"/>
      <c r="E178" s="236"/>
      <c r="F178" s="236"/>
      <c r="G178" s="236"/>
      <c r="H178" s="366" t="s">
        <v>625</v>
      </c>
      <c r="I178" s="339" t="s">
        <v>632</v>
      </c>
      <c r="J178" s="297">
        <v>38296</v>
      </c>
      <c r="K178" s="288" t="s">
        <v>622</v>
      </c>
      <c r="L178" s="312">
        <v>20</v>
      </c>
      <c r="M178" s="380">
        <v>958</v>
      </c>
      <c r="N178" s="381">
        <v>160</v>
      </c>
      <c r="O178" s="342">
        <v>335758</v>
      </c>
      <c r="P178" s="343">
        <v>51463</v>
      </c>
      <c r="Q178" s="297">
        <v>40998</v>
      </c>
    </row>
    <row r="179" spans="1:17" ht="12" customHeight="1">
      <c r="A179" s="520">
        <v>176</v>
      </c>
      <c r="B179" s="236"/>
      <c r="C179" s="236"/>
      <c r="D179" s="236"/>
      <c r="E179" s="236"/>
      <c r="F179" s="236"/>
      <c r="G179" s="236"/>
      <c r="H179" s="366" t="s">
        <v>635</v>
      </c>
      <c r="I179" s="339" t="s">
        <v>637</v>
      </c>
      <c r="J179" s="320">
        <v>41161</v>
      </c>
      <c r="K179" s="288" t="s">
        <v>68</v>
      </c>
      <c r="L179" s="312">
        <v>57</v>
      </c>
      <c r="M179" s="470">
        <v>1425.5</v>
      </c>
      <c r="N179" s="471">
        <v>285</v>
      </c>
      <c r="O179" s="448">
        <f>15818.5+150711.5+75138.5+33591.5+30249.5+17415.5+8294.5+10566+6016+6121.5+888.5+2484+322+4243.5+950.5+1782+1782+4752+1425.5</f>
        <v>372553</v>
      </c>
      <c r="P179" s="449">
        <f>1512+15643+7345+4634+4073+2646+1136+2027+1109+1483+117+572+47+1041+237+445+446+1188+285</f>
        <v>45986</v>
      </c>
      <c r="Q179" s="297">
        <v>40984</v>
      </c>
    </row>
    <row r="180" spans="1:17" ht="12" customHeight="1">
      <c r="A180" s="520">
        <v>177</v>
      </c>
      <c r="B180" s="236" t="s">
        <v>193</v>
      </c>
      <c r="C180" s="236"/>
      <c r="D180" s="236"/>
      <c r="E180" s="236"/>
      <c r="F180" s="236"/>
      <c r="G180" s="236"/>
      <c r="H180" s="462" t="s">
        <v>301</v>
      </c>
      <c r="I180" s="340" t="s">
        <v>307</v>
      </c>
      <c r="J180" s="297">
        <v>40914</v>
      </c>
      <c r="K180" s="288" t="s">
        <v>68</v>
      </c>
      <c r="L180" s="312">
        <v>56</v>
      </c>
      <c r="M180" s="382">
        <v>212792</v>
      </c>
      <c r="N180" s="383">
        <v>19942</v>
      </c>
      <c r="O180" s="328">
        <f>212792</f>
        <v>212792</v>
      </c>
      <c r="P180" s="344">
        <f>19942</f>
        <v>19942</v>
      </c>
      <c r="Q180" s="297">
        <v>40914</v>
      </c>
    </row>
    <row r="181" spans="1:17" ht="12" customHeight="1">
      <c r="A181" s="520">
        <v>178</v>
      </c>
      <c r="B181" s="236" t="s">
        <v>193</v>
      </c>
      <c r="C181" s="236"/>
      <c r="D181" s="236"/>
      <c r="E181" s="236"/>
      <c r="F181" s="236"/>
      <c r="G181" s="236"/>
      <c r="H181" s="462" t="s">
        <v>301</v>
      </c>
      <c r="I181" s="340" t="s">
        <v>307</v>
      </c>
      <c r="J181" s="297">
        <v>40914</v>
      </c>
      <c r="K181" s="288" t="s">
        <v>68</v>
      </c>
      <c r="L181" s="312">
        <v>56</v>
      </c>
      <c r="M181" s="382">
        <v>162247.5</v>
      </c>
      <c r="N181" s="383">
        <v>16768</v>
      </c>
      <c r="O181" s="328">
        <f>212792+162247.5</f>
        <v>375039.5</v>
      </c>
      <c r="P181" s="344">
        <f>19942+16768</f>
        <v>36710</v>
      </c>
      <c r="Q181" s="297">
        <v>40921</v>
      </c>
    </row>
    <row r="182" spans="1:17" ht="12" customHeight="1">
      <c r="A182" s="520">
        <v>179</v>
      </c>
      <c r="B182" s="293"/>
      <c r="C182" s="236"/>
      <c r="D182" s="236"/>
      <c r="E182" s="236"/>
      <c r="F182" s="236"/>
      <c r="G182" s="236"/>
      <c r="H182" s="360" t="s">
        <v>741</v>
      </c>
      <c r="I182" s="341" t="s">
        <v>742</v>
      </c>
      <c r="J182" s="320">
        <v>40319</v>
      </c>
      <c r="K182" s="288" t="s">
        <v>53</v>
      </c>
      <c r="L182" s="312">
        <v>55</v>
      </c>
      <c r="M182" s="382">
        <v>2036</v>
      </c>
      <c r="N182" s="383">
        <v>407</v>
      </c>
      <c r="O182" s="334">
        <v>162513</v>
      </c>
      <c r="P182" s="338">
        <v>19048</v>
      </c>
      <c r="Q182" s="297">
        <v>41019</v>
      </c>
    </row>
    <row r="183" spans="1:17" ht="12" customHeight="1">
      <c r="A183" s="520">
        <v>180</v>
      </c>
      <c r="B183" s="236" t="s">
        <v>193</v>
      </c>
      <c r="C183" s="293"/>
      <c r="D183" s="236"/>
      <c r="E183" s="293"/>
      <c r="F183" s="236"/>
      <c r="G183" s="236"/>
      <c r="H183" s="364" t="s">
        <v>293</v>
      </c>
      <c r="I183" s="340" t="s">
        <v>297</v>
      </c>
      <c r="J183" s="320">
        <v>39472</v>
      </c>
      <c r="K183" s="288" t="s">
        <v>53</v>
      </c>
      <c r="L183" s="346">
        <v>59</v>
      </c>
      <c r="M183" s="378">
        <v>5044.5</v>
      </c>
      <c r="N183" s="379">
        <v>1008</v>
      </c>
      <c r="O183" s="334">
        <f>395290.5+262822+75939+23709.5+4083+1327+9321+1445+1267+2173+4575+201+1748+3343+728+28+948+1329+163+182+173+15521.5+171+40+110+75+183.5+127+124.5+1976+312+180+12+2398+1799+1799+1799+3598+1201+1802+2402+1801.5+1201+5044.5</f>
        <v>834472.5</v>
      </c>
      <c r="P183" s="338">
        <f>47426+32442+9866+4010+887+225+2185+263+226+460+1077+33+367+887+230+4+139+355+32+35+32+3859+49+8+22+15+68+46+45+659+52+30+2+399+300+300+300+600+240+360+480+360+240+1008</f>
        <v>110623</v>
      </c>
      <c r="Q183" s="297">
        <v>41033</v>
      </c>
    </row>
    <row r="184" spans="1:17" ht="12" customHeight="1">
      <c r="A184" s="520">
        <v>181</v>
      </c>
      <c r="B184" s="236" t="s">
        <v>193</v>
      </c>
      <c r="C184" s="293"/>
      <c r="D184" s="236"/>
      <c r="E184" s="293"/>
      <c r="F184" s="236"/>
      <c r="G184" s="236"/>
      <c r="H184" s="462" t="s">
        <v>293</v>
      </c>
      <c r="I184" s="340" t="s">
        <v>297</v>
      </c>
      <c r="J184" s="320">
        <v>39472</v>
      </c>
      <c r="K184" s="288" t="s">
        <v>53</v>
      </c>
      <c r="L184" s="346">
        <v>59</v>
      </c>
      <c r="M184" s="378">
        <v>1802</v>
      </c>
      <c r="N184" s="379">
        <v>360</v>
      </c>
      <c r="O184" s="334">
        <f>395290.5+262822+75939+23709.5+4083+1327+9321+1445+1267+2173+4575+201+1748+3343+728+28+948+1329+163+182+173+15521.5+171+40+110+75+183.5+127+124.5+1976+312+180+12+2398+1799+1799+1799+3598+1201+1802</f>
        <v>824023.5</v>
      </c>
      <c r="P184" s="338">
        <f>47426+32442+9866+4010+887+225+2185+263+226+460+1077+33+367+887+230+4+139+355+32+35+32+3859+49+8+22+15+68+46+45+659+52+30+2+399+300+300+300+600+240+360</f>
        <v>108535</v>
      </c>
      <c r="Q184" s="297">
        <v>40928</v>
      </c>
    </row>
    <row r="185" spans="1:17" ht="12" customHeight="1">
      <c r="A185" s="520">
        <v>182</v>
      </c>
      <c r="B185" s="236" t="s">
        <v>193</v>
      </c>
      <c r="C185" s="293"/>
      <c r="D185" s="236"/>
      <c r="E185" s="293"/>
      <c r="F185" s="236"/>
      <c r="G185" s="236"/>
      <c r="H185" s="364" t="s">
        <v>293</v>
      </c>
      <c r="I185" s="340" t="s">
        <v>297</v>
      </c>
      <c r="J185" s="320">
        <v>39472</v>
      </c>
      <c r="K185" s="288" t="s">
        <v>53</v>
      </c>
      <c r="L185" s="346">
        <v>59</v>
      </c>
      <c r="M185" s="378">
        <v>1801.5</v>
      </c>
      <c r="N185" s="379">
        <v>360</v>
      </c>
      <c r="O185" s="334">
        <f>395290.5+262822+75939+23709.5+4083+1327+9321+1445+1267+2173+4575+201+1748+3343+728+28+948+1329+163+182+173+15521.5+171+40+110+75+183.5+127+124.5+1976+312+180+12+2398+1799+1799+1799+3598+1201+1802+2402+1801.5</f>
        <v>828227</v>
      </c>
      <c r="P185" s="338">
        <f>47426+32442+9866+4010+887+225+2185+263+226+460+1077+33+367+887+230+4+139+355+32+35+32+3859+49+8+22+15+68+46+45+659+52+30+2+399+300+300+300+600+240+360+480+360</f>
        <v>109375</v>
      </c>
      <c r="Q185" s="297">
        <v>40991</v>
      </c>
    </row>
    <row r="186" spans="1:17" ht="12" customHeight="1">
      <c r="A186" s="520">
        <v>183</v>
      </c>
      <c r="B186" s="236" t="s">
        <v>193</v>
      </c>
      <c r="C186" s="293"/>
      <c r="D186" s="236"/>
      <c r="E186" s="293"/>
      <c r="F186" s="236"/>
      <c r="G186" s="236"/>
      <c r="H186" s="462" t="s">
        <v>293</v>
      </c>
      <c r="I186" s="340" t="s">
        <v>297</v>
      </c>
      <c r="J186" s="320">
        <v>39472</v>
      </c>
      <c r="K186" s="288" t="s">
        <v>53</v>
      </c>
      <c r="L186" s="346">
        <v>59</v>
      </c>
      <c r="M186" s="378">
        <v>1201</v>
      </c>
      <c r="N186" s="379">
        <v>240</v>
      </c>
      <c r="O186" s="334">
        <f>395290.5+262822+75939+23709.5+4083+1327+9321+1445+1267+2173+4575+201+1748+3343+728+28+948+1329+163+182+173+15521.5+171+40+110+75+183.5+127+124.5+1976+312+180+12+2398+1799+1799+1799+3598+1201</f>
        <v>822221.5</v>
      </c>
      <c r="P186" s="338">
        <f>47426+32442+9866+4010+887+225+2185+263+226+460+1077+33+367+887+230+4+139+355+32+35+32+3859+49+8+22+15+68+46+45+659+52+30+2+399+300+300+300+600+240</f>
        <v>108175</v>
      </c>
      <c r="Q186" s="297">
        <v>40914</v>
      </c>
    </row>
    <row r="187" spans="1:17" ht="12" customHeight="1">
      <c r="A187" s="520">
        <v>184</v>
      </c>
      <c r="B187" s="236" t="s">
        <v>193</v>
      </c>
      <c r="C187" s="293"/>
      <c r="D187" s="236"/>
      <c r="E187" s="293"/>
      <c r="F187" s="236"/>
      <c r="G187" s="236"/>
      <c r="H187" s="364" t="s">
        <v>293</v>
      </c>
      <c r="I187" s="340" t="s">
        <v>297</v>
      </c>
      <c r="J187" s="320">
        <v>39472</v>
      </c>
      <c r="K187" s="288" t="s">
        <v>53</v>
      </c>
      <c r="L187" s="345">
        <v>59</v>
      </c>
      <c r="M187" s="378">
        <v>1201</v>
      </c>
      <c r="N187" s="379">
        <v>240</v>
      </c>
      <c r="O187" s="334">
        <f>395290.5+262822+75939+23709.5+4083+1327+9321+1445+1267+2173+4575+201+1748+3343+728+28+948+1329+163+182+173+15521.5+171+40+110+75+183.5+127+124.5+1976+312+180+12+2398+1799+1799+1799+3598+1201+1802+2402+1801.5+1201</f>
        <v>829428</v>
      </c>
      <c r="P187" s="338">
        <f>47426+32442+9866+4010+887+225+2185+263+226+460+1077+33+367+887+230+4+139+355+32+35+32+3859+49+8+22+15+68+46+45+659+52+30+2+399+300+300+300+600+240+360+480+360+240</f>
        <v>109615</v>
      </c>
      <c r="Q187" s="297">
        <v>40998</v>
      </c>
    </row>
    <row r="188" spans="1:17" ht="12" customHeight="1">
      <c r="A188" s="520">
        <v>185</v>
      </c>
      <c r="B188" s="236"/>
      <c r="C188" s="236"/>
      <c r="D188" s="236"/>
      <c r="E188" s="236"/>
      <c r="F188" s="236"/>
      <c r="G188" s="236"/>
      <c r="H188" s="459" t="s">
        <v>352</v>
      </c>
      <c r="I188" s="339" t="s">
        <v>353</v>
      </c>
      <c r="J188" s="320">
        <v>40746</v>
      </c>
      <c r="K188" s="288" t="s">
        <v>68</v>
      </c>
      <c r="L188" s="312">
        <v>5</v>
      </c>
      <c r="M188" s="382">
        <v>264</v>
      </c>
      <c r="N188" s="383">
        <v>44</v>
      </c>
      <c r="O188" s="328">
        <f>15287.5+10909.5+3453.5+1267.5+1495+5972+1476+196+990+2893+1323+722+1782+684+264</f>
        <v>48715</v>
      </c>
      <c r="P188" s="344">
        <f>1370+1093+336+155+192+663+166+28+134+385+183+184+446+80+44</f>
        <v>5459</v>
      </c>
      <c r="Q188" s="297">
        <v>40921</v>
      </c>
    </row>
    <row r="189" spans="1:17" ht="12" customHeight="1">
      <c r="A189" s="520">
        <v>186</v>
      </c>
      <c r="B189" s="293"/>
      <c r="C189" s="293"/>
      <c r="D189" s="236"/>
      <c r="E189" s="293"/>
      <c r="F189" s="293"/>
      <c r="G189" s="236" t="s">
        <v>54</v>
      </c>
      <c r="H189" s="459" t="s">
        <v>101</v>
      </c>
      <c r="I189" s="339" t="s">
        <v>101</v>
      </c>
      <c r="J189" s="320">
        <v>40879</v>
      </c>
      <c r="K189" s="288" t="s">
        <v>68</v>
      </c>
      <c r="L189" s="312">
        <v>202</v>
      </c>
      <c r="M189" s="382">
        <v>299977</v>
      </c>
      <c r="N189" s="383">
        <v>39696</v>
      </c>
      <c r="O189" s="328">
        <f>1080241.5+1088121+871543+502064+299977</f>
        <v>3841946.5</v>
      </c>
      <c r="P189" s="344">
        <f>121812+123965+100674+61096+39696</f>
        <v>447243</v>
      </c>
      <c r="Q189" s="297">
        <v>40907</v>
      </c>
    </row>
    <row r="190" spans="1:17" ht="12" customHeight="1">
      <c r="A190" s="520">
        <v>187</v>
      </c>
      <c r="B190" s="293"/>
      <c r="C190" s="293"/>
      <c r="D190" s="236"/>
      <c r="E190" s="293"/>
      <c r="F190" s="293"/>
      <c r="G190" s="236" t="s">
        <v>54</v>
      </c>
      <c r="H190" s="459" t="s">
        <v>101</v>
      </c>
      <c r="I190" s="339" t="s">
        <v>101</v>
      </c>
      <c r="J190" s="320">
        <v>40879</v>
      </c>
      <c r="K190" s="288" t="s">
        <v>68</v>
      </c>
      <c r="L190" s="312">
        <v>202</v>
      </c>
      <c r="M190" s="382">
        <v>131358.5</v>
      </c>
      <c r="N190" s="383">
        <v>19116</v>
      </c>
      <c r="O190" s="328">
        <f>1080241.5+1088121+871543+502064+300294.5+131358.5</f>
        <v>3973622.5</v>
      </c>
      <c r="P190" s="344">
        <f>121812+123965+100674+61096+39726+19116</f>
        <v>466389</v>
      </c>
      <c r="Q190" s="297">
        <v>40914</v>
      </c>
    </row>
    <row r="191" spans="1:17" ht="12" customHeight="1">
      <c r="A191" s="520">
        <v>188</v>
      </c>
      <c r="B191" s="293"/>
      <c r="C191" s="293"/>
      <c r="D191" s="236"/>
      <c r="E191" s="293"/>
      <c r="F191" s="293"/>
      <c r="G191" s="236" t="s">
        <v>54</v>
      </c>
      <c r="H191" s="459" t="s">
        <v>101</v>
      </c>
      <c r="I191" s="339" t="s">
        <v>101</v>
      </c>
      <c r="J191" s="320">
        <v>40879</v>
      </c>
      <c r="K191" s="288" t="s">
        <v>68</v>
      </c>
      <c r="L191" s="312">
        <v>202</v>
      </c>
      <c r="M191" s="382">
        <v>96969.5</v>
      </c>
      <c r="N191" s="383">
        <v>14898</v>
      </c>
      <c r="O191" s="328">
        <f>1080241.5+1088121+871543+502064+300294.5+131358.5+96969.5</f>
        <v>4070592</v>
      </c>
      <c r="P191" s="344">
        <f>121812+123965+100674+61096+39726+19116+14898</f>
        <v>481287</v>
      </c>
      <c r="Q191" s="297">
        <v>40921</v>
      </c>
    </row>
    <row r="192" spans="1:17" ht="12" customHeight="1">
      <c r="A192" s="520">
        <v>189</v>
      </c>
      <c r="B192" s="293"/>
      <c r="C192" s="293"/>
      <c r="D192" s="236"/>
      <c r="E192" s="293"/>
      <c r="F192" s="293"/>
      <c r="G192" s="236" t="s">
        <v>54</v>
      </c>
      <c r="H192" s="459" t="s">
        <v>101</v>
      </c>
      <c r="I192" s="339" t="s">
        <v>101</v>
      </c>
      <c r="J192" s="320">
        <v>40879</v>
      </c>
      <c r="K192" s="288" t="s">
        <v>68</v>
      </c>
      <c r="L192" s="312">
        <v>202</v>
      </c>
      <c r="M192" s="382">
        <v>68985</v>
      </c>
      <c r="N192" s="383">
        <v>10338</v>
      </c>
      <c r="O192" s="328">
        <f>1080241.5+1088121+871543+502064+300294.5+131358.5+96969.5+68985</f>
        <v>4139577</v>
      </c>
      <c r="P192" s="344">
        <f>121812+123965+100674+61096+39726+19116+14898+10338</f>
        <v>491625</v>
      </c>
      <c r="Q192" s="297">
        <v>40928</v>
      </c>
    </row>
    <row r="193" spans="1:17" ht="12" customHeight="1">
      <c r="A193" s="520">
        <v>190</v>
      </c>
      <c r="B193" s="293"/>
      <c r="C193" s="293"/>
      <c r="D193" s="236"/>
      <c r="E193" s="293"/>
      <c r="F193" s="293"/>
      <c r="G193" s="236" t="s">
        <v>54</v>
      </c>
      <c r="H193" s="366" t="s">
        <v>101</v>
      </c>
      <c r="I193" s="339" t="s">
        <v>101</v>
      </c>
      <c r="J193" s="320">
        <v>40879</v>
      </c>
      <c r="K193" s="288" t="s">
        <v>68</v>
      </c>
      <c r="L193" s="312">
        <v>202</v>
      </c>
      <c r="M193" s="382">
        <v>21051.01</v>
      </c>
      <c r="N193" s="383">
        <v>5321</v>
      </c>
      <c r="O193" s="328">
        <f>1080241.5+1088121+871543+502064+300294.5+131358.5+96969.5+68985+9253.5+5204.5+1760.5+2732.5+950.5+21051.01</f>
        <v>4180529.51</v>
      </c>
      <c r="P193" s="344">
        <f>121812+123965+100674+61096+39726+19116+14898+10338+1416+922+322+523+190+5321</f>
        <v>500319</v>
      </c>
      <c r="Q193" s="297">
        <v>40977</v>
      </c>
    </row>
    <row r="194" spans="1:17" ht="12" customHeight="1">
      <c r="A194" s="520">
        <v>191</v>
      </c>
      <c r="B194" s="293"/>
      <c r="C194" s="293"/>
      <c r="D194" s="236"/>
      <c r="E194" s="293"/>
      <c r="F194" s="293"/>
      <c r="G194" s="236" t="s">
        <v>54</v>
      </c>
      <c r="H194" s="459" t="s">
        <v>101</v>
      </c>
      <c r="I194" s="339" t="s">
        <v>101</v>
      </c>
      <c r="J194" s="320">
        <v>40879</v>
      </c>
      <c r="K194" s="288" t="s">
        <v>68</v>
      </c>
      <c r="L194" s="312">
        <v>202</v>
      </c>
      <c r="M194" s="382">
        <v>9253.5</v>
      </c>
      <c r="N194" s="383">
        <v>1416</v>
      </c>
      <c r="O194" s="328">
        <f>1080241.5+1088121+871543+502064+300294.5+131358.5+96969.5+68985+9253.5</f>
        <v>4148830.5</v>
      </c>
      <c r="P194" s="344">
        <f>121812+123965+100674+61096+39726+19116+14898+10338+1416</f>
        <v>493041</v>
      </c>
      <c r="Q194" s="297">
        <v>40935</v>
      </c>
    </row>
    <row r="195" spans="1:17" ht="12" customHeight="1">
      <c r="A195" s="520">
        <v>192</v>
      </c>
      <c r="B195" s="293"/>
      <c r="C195" s="293"/>
      <c r="D195" s="236"/>
      <c r="E195" s="293"/>
      <c r="F195" s="293"/>
      <c r="G195" s="236" t="s">
        <v>54</v>
      </c>
      <c r="H195" s="459" t="s">
        <v>101</v>
      </c>
      <c r="I195" s="339" t="s">
        <v>101</v>
      </c>
      <c r="J195" s="320">
        <v>40879</v>
      </c>
      <c r="K195" s="288" t="s">
        <v>68</v>
      </c>
      <c r="L195" s="312">
        <v>202</v>
      </c>
      <c r="M195" s="382">
        <v>5204.5</v>
      </c>
      <c r="N195" s="383">
        <v>922</v>
      </c>
      <c r="O195" s="328">
        <f>1080241.5+1088121+871543+502064+300294.5+131358.5+96969.5+68985+9253.5+5204.5</f>
        <v>4154035</v>
      </c>
      <c r="P195" s="344">
        <f>121812+123965+100674+61096+39726+19116+14898+10338+1416+922</f>
        <v>493963</v>
      </c>
      <c r="Q195" s="297">
        <v>40942</v>
      </c>
    </row>
    <row r="196" spans="1:17" ht="12" customHeight="1">
      <c r="A196" s="520">
        <v>193</v>
      </c>
      <c r="B196" s="293"/>
      <c r="C196" s="293"/>
      <c r="D196" s="236"/>
      <c r="E196" s="293"/>
      <c r="F196" s="293"/>
      <c r="G196" s="236" t="s">
        <v>54</v>
      </c>
      <c r="H196" s="366" t="s">
        <v>101</v>
      </c>
      <c r="I196" s="339" t="s">
        <v>101</v>
      </c>
      <c r="J196" s="320">
        <v>40879</v>
      </c>
      <c r="K196" s="288" t="s">
        <v>68</v>
      </c>
      <c r="L196" s="312">
        <v>202</v>
      </c>
      <c r="M196" s="382">
        <v>2732.5</v>
      </c>
      <c r="N196" s="383">
        <v>523</v>
      </c>
      <c r="O196" s="328">
        <f>1080241.5+1088121+871543+502064+300294.5+131358.5+96969.5+68985+9253.5+5204.5+1760.5+2732.5</f>
        <v>4158528</v>
      </c>
      <c r="P196" s="344">
        <f>121812+123965+100674+61096+39726+19116+14898+10338+1416+922+322+523</f>
        <v>494808</v>
      </c>
      <c r="Q196" s="297">
        <v>40963</v>
      </c>
    </row>
    <row r="197" spans="1:17" ht="12" customHeight="1">
      <c r="A197" s="520">
        <v>194</v>
      </c>
      <c r="B197" s="293"/>
      <c r="C197" s="293"/>
      <c r="D197" s="236"/>
      <c r="E197" s="293"/>
      <c r="F197" s="293"/>
      <c r="G197" s="236" t="s">
        <v>54</v>
      </c>
      <c r="H197" s="366" t="s">
        <v>101</v>
      </c>
      <c r="I197" s="339" t="s">
        <v>101</v>
      </c>
      <c r="J197" s="320">
        <v>40879</v>
      </c>
      <c r="K197" s="288" t="s">
        <v>68</v>
      </c>
      <c r="L197" s="312">
        <v>202</v>
      </c>
      <c r="M197" s="382">
        <v>1760.5</v>
      </c>
      <c r="N197" s="383">
        <v>322</v>
      </c>
      <c r="O197" s="328">
        <f>1080241.5+1088121+871543+502064+300294.5+131358.5+96969.5+68985+9253.5+5204.5+1760.5</f>
        <v>4155795.5</v>
      </c>
      <c r="P197" s="344">
        <f>121812+123965+100674+61096+39726+19116+14898+10338+1416+922+322</f>
        <v>494285</v>
      </c>
      <c r="Q197" s="297">
        <v>40949</v>
      </c>
    </row>
    <row r="198" spans="1:17" ht="12" customHeight="1">
      <c r="A198" s="520">
        <v>195</v>
      </c>
      <c r="B198" s="293"/>
      <c r="C198" s="293"/>
      <c r="D198" s="236"/>
      <c r="E198" s="293"/>
      <c r="F198" s="293"/>
      <c r="G198" s="236" t="s">
        <v>54</v>
      </c>
      <c r="H198" s="366" t="s">
        <v>101</v>
      </c>
      <c r="I198" s="339" t="s">
        <v>101</v>
      </c>
      <c r="J198" s="370">
        <v>40879</v>
      </c>
      <c r="K198" s="288" t="s">
        <v>68</v>
      </c>
      <c r="L198" s="312">
        <v>202</v>
      </c>
      <c r="M198" s="382">
        <v>1425.5</v>
      </c>
      <c r="N198" s="383">
        <v>285</v>
      </c>
      <c r="O198" s="328">
        <f>1080241.5+1088121+871543+502064+300294.5+131358.5+96969.5+68985+9253.5+5204.5+1760.5+2732.5+950.5+21051.01+1308+788+950.5+1188+1425.5</f>
        <v>4186189.51</v>
      </c>
      <c r="P198" s="344">
        <f>121812+123965+100674+61096+39726+19116+14898+10338+1416+922+322+523+190+5321+312+187+190+238+285</f>
        <v>501531</v>
      </c>
      <c r="Q198" s="297">
        <v>41040</v>
      </c>
    </row>
    <row r="199" spans="1:17" ht="12" customHeight="1">
      <c r="A199" s="520">
        <v>196</v>
      </c>
      <c r="B199" s="293"/>
      <c r="C199" s="293"/>
      <c r="D199" s="236"/>
      <c r="E199" s="293"/>
      <c r="F199" s="293"/>
      <c r="G199" s="236" t="s">
        <v>54</v>
      </c>
      <c r="H199" s="366" t="s">
        <v>101</v>
      </c>
      <c r="I199" s="339" t="s">
        <v>101</v>
      </c>
      <c r="J199" s="320">
        <v>40879</v>
      </c>
      <c r="K199" s="288" t="s">
        <v>68</v>
      </c>
      <c r="L199" s="312">
        <v>202</v>
      </c>
      <c r="M199" s="382">
        <v>950.5</v>
      </c>
      <c r="N199" s="383">
        <v>190</v>
      </c>
      <c r="O199" s="328">
        <f>1080241.5+1088121+871543+502064+300294.5+131358.5+96969.5+68985+9253.5+5204.5+1760.5+2732.5+950.5</f>
        <v>4159478.5</v>
      </c>
      <c r="P199" s="344">
        <f>121812+123965+100674+61096+39726+19116+14898+10338+1416+922+322+523+190</f>
        <v>494998</v>
      </c>
      <c r="Q199" s="297">
        <v>40970</v>
      </c>
    </row>
    <row r="200" spans="1:17" ht="12" customHeight="1">
      <c r="A200" s="520">
        <v>197</v>
      </c>
      <c r="B200" s="293"/>
      <c r="C200" s="293"/>
      <c r="D200" s="236"/>
      <c r="E200" s="293"/>
      <c r="F200" s="293"/>
      <c r="G200" s="236" t="s">
        <v>54</v>
      </c>
      <c r="H200" s="366" t="s">
        <v>101</v>
      </c>
      <c r="I200" s="339" t="s">
        <v>116</v>
      </c>
      <c r="J200" s="370">
        <v>40879</v>
      </c>
      <c r="K200" s="288" t="s">
        <v>68</v>
      </c>
      <c r="L200" s="312">
        <v>202</v>
      </c>
      <c r="M200" s="468">
        <v>950.5</v>
      </c>
      <c r="N200" s="469">
        <v>190</v>
      </c>
      <c r="O200" s="317">
        <f>1080241.5+1088121+871543+502064+300294.5+131358.5+96969.5+68985+9253.5+5204.5+1760.5+2732.5+950.5+21051.01+1308+788+950.5</f>
        <v>4183576.01</v>
      </c>
      <c r="P200" s="368">
        <f>121812+123965+100674+61096+39726+19116+14898+10338+1416+922+322+523+190+5321+312+187+190</f>
        <v>501008</v>
      </c>
      <c r="Q200" s="297">
        <v>41026</v>
      </c>
    </row>
    <row r="201" spans="1:17" ht="12" customHeight="1">
      <c r="A201" s="520">
        <v>198</v>
      </c>
      <c r="B201" s="293"/>
      <c r="C201" s="293"/>
      <c r="D201" s="236"/>
      <c r="E201" s="293"/>
      <c r="F201" s="293"/>
      <c r="G201" s="236" t="s">
        <v>54</v>
      </c>
      <c r="H201" s="366" t="s">
        <v>101</v>
      </c>
      <c r="I201" s="339" t="s">
        <v>101</v>
      </c>
      <c r="J201" s="320">
        <v>40879</v>
      </c>
      <c r="K201" s="288" t="s">
        <v>68</v>
      </c>
      <c r="L201" s="312">
        <v>202</v>
      </c>
      <c r="M201" s="382">
        <v>788</v>
      </c>
      <c r="N201" s="383">
        <v>187</v>
      </c>
      <c r="O201" s="328">
        <f>1080241.5+1088121+871543+502064+300294.5+131358.5+96969.5+68985+9253.5+5204.5+1760.5+2732.5+950.5+21051.01+1308+788</f>
        <v>4182625.51</v>
      </c>
      <c r="P201" s="344">
        <f>121812+123965+100674+61096+39726+19116+14898+10338+1416+922+322+523+190+5321+312+187</f>
        <v>500818</v>
      </c>
      <c r="Q201" s="297">
        <v>40991</v>
      </c>
    </row>
    <row r="202" spans="1:17" ht="12" customHeight="1">
      <c r="A202" s="520">
        <v>199</v>
      </c>
      <c r="B202" s="293"/>
      <c r="C202" s="293"/>
      <c r="D202" s="236"/>
      <c r="E202" s="293"/>
      <c r="F202" s="293"/>
      <c r="G202" s="236" t="s">
        <v>54</v>
      </c>
      <c r="H202" s="366" t="s">
        <v>101</v>
      </c>
      <c r="I202" s="339" t="s">
        <v>101</v>
      </c>
      <c r="J202" s="320">
        <v>40879</v>
      </c>
      <c r="K202" s="288" t="s">
        <v>68</v>
      </c>
      <c r="L202" s="312">
        <v>202</v>
      </c>
      <c r="M202" s="382">
        <v>788</v>
      </c>
      <c r="N202" s="383">
        <v>187</v>
      </c>
      <c r="O202" s="328">
        <f>1080241.5+1088121+871543+502064+300294.5+131358.5+96969.5+68985+9253.5+5204.5+1760.5+2732.5+950.5+21051.01+1308+788+950.5+1188</f>
        <v>4184764.01</v>
      </c>
      <c r="P202" s="344">
        <f>121812+123965+100674+61096+39726+19116+14898+10338+1416+922+322+523+190+5321+312+187+190+238</f>
        <v>501246</v>
      </c>
      <c r="Q202" s="297">
        <v>41033</v>
      </c>
    </row>
    <row r="203" spans="1:17" ht="12" customHeight="1">
      <c r="A203" s="520">
        <v>200</v>
      </c>
      <c r="B203" s="236"/>
      <c r="C203" s="236"/>
      <c r="D203" s="236"/>
      <c r="E203" s="236"/>
      <c r="F203" s="236"/>
      <c r="G203" s="236"/>
      <c r="H203" s="459" t="s">
        <v>233</v>
      </c>
      <c r="I203" s="339" t="s">
        <v>247</v>
      </c>
      <c r="J203" s="320">
        <v>40823</v>
      </c>
      <c r="K203" s="288" t="s">
        <v>68</v>
      </c>
      <c r="L203" s="312">
        <v>10</v>
      </c>
      <c r="M203" s="382">
        <v>3784</v>
      </c>
      <c r="N203" s="383">
        <v>612</v>
      </c>
      <c r="O203" s="328">
        <f>31458.5+18316.5+9973.5+2181+7429+3551+2891+512+313+372+806+3784</f>
        <v>81587.5</v>
      </c>
      <c r="P203" s="344">
        <f>2922+2132+1224+343+1097+635+770+85+39+50+137+612</f>
        <v>10046</v>
      </c>
      <c r="Q203" s="297">
        <v>40921</v>
      </c>
    </row>
    <row r="204" spans="1:17" ht="12" customHeight="1">
      <c r="A204" s="520">
        <v>201</v>
      </c>
      <c r="B204" s="236"/>
      <c r="C204" s="236"/>
      <c r="D204" s="236"/>
      <c r="E204" s="236"/>
      <c r="F204" s="236"/>
      <c r="G204" s="236"/>
      <c r="H204" s="459" t="s">
        <v>233</v>
      </c>
      <c r="I204" s="339" t="s">
        <v>247</v>
      </c>
      <c r="J204" s="320">
        <v>40823</v>
      </c>
      <c r="K204" s="288" t="s">
        <v>68</v>
      </c>
      <c r="L204" s="312">
        <v>10</v>
      </c>
      <c r="M204" s="382">
        <v>1099</v>
      </c>
      <c r="N204" s="383">
        <v>158</v>
      </c>
      <c r="O204" s="328">
        <f>31458.5+18316.5+9973.5+2181+7429+3551+2891+512+313+372+806+3784+1705</f>
        <v>83292.5</v>
      </c>
      <c r="P204" s="344">
        <f>2922+2132+1224+343+1097+635+770+85+39+50+137+612+248</f>
        <v>10294</v>
      </c>
      <c r="Q204" s="297">
        <v>40928</v>
      </c>
    </row>
    <row r="205" spans="1:17" ht="12" customHeight="1">
      <c r="A205" s="520">
        <v>202</v>
      </c>
      <c r="B205" s="236"/>
      <c r="C205" s="236"/>
      <c r="D205" s="236"/>
      <c r="E205" s="236"/>
      <c r="F205" s="236"/>
      <c r="G205" s="236"/>
      <c r="H205" s="366" t="s">
        <v>233</v>
      </c>
      <c r="I205" s="339" t="s">
        <v>247</v>
      </c>
      <c r="J205" s="320">
        <v>40823</v>
      </c>
      <c r="K205" s="288" t="s">
        <v>68</v>
      </c>
      <c r="L205" s="312">
        <v>10</v>
      </c>
      <c r="M205" s="382">
        <v>1087.5</v>
      </c>
      <c r="N205" s="383">
        <v>153</v>
      </c>
      <c r="O205" s="328">
        <f>31458.5+18316.5+9973.5+2181+7429+3551+2891+512+313+372+806+3784+1705+1087.5</f>
        <v>84380</v>
      </c>
      <c r="P205" s="344">
        <f>2922+2132+1224+343+1097+635+770+85+39+50+137+612+248+153</f>
        <v>10447</v>
      </c>
      <c r="Q205" s="297">
        <v>40949</v>
      </c>
    </row>
    <row r="206" spans="1:17" ht="12" customHeight="1">
      <c r="A206" s="520">
        <v>203</v>
      </c>
      <c r="B206" s="236"/>
      <c r="C206" s="236"/>
      <c r="D206" s="236"/>
      <c r="E206" s="236"/>
      <c r="F206" s="236"/>
      <c r="G206" s="236"/>
      <c r="H206" s="459" t="s">
        <v>233</v>
      </c>
      <c r="I206" s="339" t="s">
        <v>247</v>
      </c>
      <c r="J206" s="320">
        <v>40823</v>
      </c>
      <c r="K206" s="288" t="s">
        <v>68</v>
      </c>
      <c r="L206" s="312">
        <v>10</v>
      </c>
      <c r="M206" s="382">
        <v>806</v>
      </c>
      <c r="N206" s="383">
        <v>137</v>
      </c>
      <c r="O206" s="328">
        <f>31458.5+18316.5+9973.5+2181+7429+3551+2891+512+313+372+806</f>
        <v>77803.5</v>
      </c>
      <c r="P206" s="344">
        <f>2922+2132+1224+343+1097+635+770+85+39+50+137</f>
        <v>9434</v>
      </c>
      <c r="Q206" s="297">
        <v>40914</v>
      </c>
    </row>
    <row r="207" spans="1:17" ht="12" customHeight="1">
      <c r="A207" s="520">
        <v>204</v>
      </c>
      <c r="B207" s="236"/>
      <c r="C207" s="236"/>
      <c r="D207" s="236"/>
      <c r="E207" s="236"/>
      <c r="F207" s="236"/>
      <c r="G207" s="236"/>
      <c r="H207" s="459" t="s">
        <v>233</v>
      </c>
      <c r="I207" s="339" t="s">
        <v>247</v>
      </c>
      <c r="J207" s="320">
        <v>40823</v>
      </c>
      <c r="K207" s="288" t="s">
        <v>68</v>
      </c>
      <c r="L207" s="312">
        <v>10</v>
      </c>
      <c r="M207" s="382">
        <v>372</v>
      </c>
      <c r="N207" s="383">
        <v>50</v>
      </c>
      <c r="O207" s="328">
        <f>31458.5+18316.5+9973.5+2181+7429+3551+2891+512+313+372</f>
        <v>76997.5</v>
      </c>
      <c r="P207" s="344">
        <f>2922+2132+1224+343+1097+635+770+85+39+50</f>
        <v>9297</v>
      </c>
      <c r="Q207" s="297">
        <v>40907</v>
      </c>
    </row>
    <row r="208" spans="1:17" ht="12" customHeight="1">
      <c r="A208" s="520">
        <v>205</v>
      </c>
      <c r="B208" s="293"/>
      <c r="C208" s="236">
        <v>3</v>
      </c>
      <c r="D208" s="236"/>
      <c r="E208" s="236" t="s">
        <v>250</v>
      </c>
      <c r="F208" s="236"/>
      <c r="G208" s="236"/>
      <c r="H208" s="464" t="s">
        <v>57</v>
      </c>
      <c r="I208" s="288" t="s">
        <v>58</v>
      </c>
      <c r="J208" s="297">
        <v>40795</v>
      </c>
      <c r="K208" s="288" t="s">
        <v>10</v>
      </c>
      <c r="L208" s="340">
        <v>142</v>
      </c>
      <c r="M208" s="382">
        <v>3430</v>
      </c>
      <c r="N208" s="383">
        <v>385</v>
      </c>
      <c r="O208" s="328">
        <f>4013616+3430</f>
        <v>4017046</v>
      </c>
      <c r="P208" s="344">
        <f>390462+385</f>
        <v>390847</v>
      </c>
      <c r="Q208" s="297">
        <v>40914</v>
      </c>
    </row>
    <row r="209" spans="1:17" ht="12" customHeight="1">
      <c r="A209" s="520">
        <v>206</v>
      </c>
      <c r="B209" s="293"/>
      <c r="C209" s="293"/>
      <c r="D209" s="236"/>
      <c r="E209" s="236" t="s">
        <v>250</v>
      </c>
      <c r="F209" s="236"/>
      <c r="G209" s="236"/>
      <c r="H209" s="464" t="s">
        <v>57</v>
      </c>
      <c r="I209" s="288" t="s">
        <v>58</v>
      </c>
      <c r="J209" s="297">
        <v>40795</v>
      </c>
      <c r="K209" s="288" t="s">
        <v>10</v>
      </c>
      <c r="L209" s="340">
        <v>142</v>
      </c>
      <c r="M209" s="382">
        <v>948</v>
      </c>
      <c r="N209" s="383">
        <v>133</v>
      </c>
      <c r="O209" s="328">
        <v>4013616</v>
      </c>
      <c r="P209" s="344">
        <v>390462</v>
      </c>
      <c r="Q209" s="297">
        <v>40907</v>
      </c>
    </row>
    <row r="210" spans="1:17" ht="12" customHeight="1">
      <c r="A210" s="520">
        <v>207</v>
      </c>
      <c r="B210" s="293"/>
      <c r="C210" s="236">
        <v>3</v>
      </c>
      <c r="D210" s="236"/>
      <c r="E210" s="236" t="s">
        <v>250</v>
      </c>
      <c r="F210" s="236"/>
      <c r="G210" s="236"/>
      <c r="H210" s="464" t="s">
        <v>57</v>
      </c>
      <c r="I210" s="288" t="s">
        <v>58</v>
      </c>
      <c r="J210" s="297">
        <v>40795</v>
      </c>
      <c r="K210" s="288" t="s">
        <v>10</v>
      </c>
      <c r="L210" s="340">
        <v>142</v>
      </c>
      <c r="M210" s="382">
        <v>180</v>
      </c>
      <c r="N210" s="383">
        <v>30</v>
      </c>
      <c r="O210" s="328">
        <v>4017226</v>
      </c>
      <c r="P210" s="344">
        <v>390877</v>
      </c>
      <c r="Q210" s="297">
        <v>40921</v>
      </c>
    </row>
    <row r="211" spans="1:17" ht="12" customHeight="1">
      <c r="A211" s="520">
        <v>208</v>
      </c>
      <c r="B211" s="236" t="s">
        <v>193</v>
      </c>
      <c r="C211" s="236"/>
      <c r="D211" s="236"/>
      <c r="E211" s="236"/>
      <c r="F211" s="236" t="s">
        <v>55</v>
      </c>
      <c r="G211" s="236"/>
      <c r="H211" s="364" t="s">
        <v>745</v>
      </c>
      <c r="I211" s="312" t="s">
        <v>814</v>
      </c>
      <c r="J211" s="369">
        <v>40025</v>
      </c>
      <c r="K211" s="288" t="s">
        <v>68</v>
      </c>
      <c r="L211" s="340">
        <v>10</v>
      </c>
      <c r="M211" s="468">
        <v>7130</v>
      </c>
      <c r="N211" s="469">
        <v>1426</v>
      </c>
      <c r="O211" s="317">
        <f>6157+1979.5+2138+815+825+343+114+159+952+7125+7130</f>
        <v>27737.5</v>
      </c>
      <c r="P211" s="368">
        <f>452+147+247+163+165+40+19+36+238+1425+1426</f>
        <v>4358</v>
      </c>
      <c r="Q211" s="297">
        <v>41026</v>
      </c>
    </row>
    <row r="212" spans="1:17" ht="12" customHeight="1">
      <c r="A212" s="520">
        <v>209</v>
      </c>
      <c r="B212" s="236" t="s">
        <v>193</v>
      </c>
      <c r="C212" s="236"/>
      <c r="D212" s="236"/>
      <c r="E212" s="236"/>
      <c r="F212" s="236" t="s">
        <v>55</v>
      </c>
      <c r="G212" s="236"/>
      <c r="H212" s="364" t="s">
        <v>745</v>
      </c>
      <c r="I212" s="340" t="s">
        <v>746</v>
      </c>
      <c r="J212" s="297">
        <v>40025</v>
      </c>
      <c r="K212" s="288" t="s">
        <v>68</v>
      </c>
      <c r="L212" s="340">
        <v>10</v>
      </c>
      <c r="M212" s="382">
        <v>7125</v>
      </c>
      <c r="N212" s="383">
        <v>1425</v>
      </c>
      <c r="O212" s="328">
        <f>6157+1979.5+2138+815+825+343+114+159+952+7125</f>
        <v>20607.5</v>
      </c>
      <c r="P212" s="344">
        <f>452+147+247+163+165+40+19+36+238+1425</f>
        <v>2932</v>
      </c>
      <c r="Q212" s="297">
        <v>41019</v>
      </c>
    </row>
    <row r="213" spans="1:17" ht="12" customHeight="1">
      <c r="A213" s="520">
        <v>210</v>
      </c>
      <c r="B213" s="236"/>
      <c r="C213" s="236"/>
      <c r="D213" s="236"/>
      <c r="E213" s="236"/>
      <c r="F213" s="236"/>
      <c r="G213" s="236" t="s">
        <v>54</v>
      </c>
      <c r="H213" s="459" t="s">
        <v>73</v>
      </c>
      <c r="I213" s="339" t="s">
        <v>73</v>
      </c>
      <c r="J213" s="320">
        <v>40858</v>
      </c>
      <c r="K213" s="288" t="s">
        <v>68</v>
      </c>
      <c r="L213" s="312">
        <v>32</v>
      </c>
      <c r="M213" s="382">
        <v>5519</v>
      </c>
      <c r="N213" s="383">
        <v>782</v>
      </c>
      <c r="O213" s="328">
        <f>119417+74006.5+30939.5+15734+17682+7740+3814.5+5519</f>
        <v>274852.5</v>
      </c>
      <c r="P213" s="344">
        <f>12383+8559+4204+1986+2778+1301+707+782</f>
        <v>32700</v>
      </c>
      <c r="Q213" s="297">
        <v>40907</v>
      </c>
    </row>
    <row r="214" spans="1:17" ht="12" customHeight="1">
      <c r="A214" s="520">
        <v>211</v>
      </c>
      <c r="B214" s="236"/>
      <c r="C214" s="236"/>
      <c r="D214" s="236"/>
      <c r="E214" s="236"/>
      <c r="F214" s="236"/>
      <c r="G214" s="236" t="s">
        <v>54</v>
      </c>
      <c r="H214" s="366" t="s">
        <v>73</v>
      </c>
      <c r="I214" s="339" t="s">
        <v>73</v>
      </c>
      <c r="J214" s="320">
        <v>40858</v>
      </c>
      <c r="K214" s="288" t="s">
        <v>68</v>
      </c>
      <c r="L214" s="312">
        <v>32</v>
      </c>
      <c r="M214" s="382">
        <v>3801.5</v>
      </c>
      <c r="N214" s="383">
        <v>760</v>
      </c>
      <c r="O214" s="328">
        <f>119417+74006.5+30939.5+15734+17682+7740+3814.5+5519+937+732+479+1782+1188+713+96+745+3801.5</f>
        <v>285326</v>
      </c>
      <c r="P214" s="344">
        <f>12383+8559+4204+1986+2778+1301+707+782+165+115+82+325+238+143+32+132+760</f>
        <v>34692</v>
      </c>
      <c r="Q214" s="297">
        <v>40991</v>
      </c>
    </row>
    <row r="215" spans="1:17" ht="12" customHeight="1">
      <c r="A215" s="520">
        <v>212</v>
      </c>
      <c r="B215" s="236"/>
      <c r="C215" s="236"/>
      <c r="D215" s="236"/>
      <c r="E215" s="236"/>
      <c r="F215" s="236"/>
      <c r="G215" s="236" t="s">
        <v>54</v>
      </c>
      <c r="H215" s="459" t="s">
        <v>73</v>
      </c>
      <c r="I215" s="339" t="s">
        <v>73</v>
      </c>
      <c r="J215" s="320">
        <v>40858</v>
      </c>
      <c r="K215" s="288" t="s">
        <v>68</v>
      </c>
      <c r="L215" s="312">
        <v>32</v>
      </c>
      <c r="M215" s="382">
        <v>1782</v>
      </c>
      <c r="N215" s="383">
        <v>325</v>
      </c>
      <c r="O215" s="328">
        <f>119417+74006.5+30939.5+15734+17682+7740+3814.5+5519+937+732+479+1782</f>
        <v>278782.5</v>
      </c>
      <c r="P215" s="344">
        <f>12383+8559+4204+1986+2778+1301+707+782+165+115+82+325</f>
        <v>33387</v>
      </c>
      <c r="Q215" s="297">
        <v>40935</v>
      </c>
    </row>
    <row r="216" spans="1:17" ht="12" customHeight="1">
      <c r="A216" s="520">
        <v>213</v>
      </c>
      <c r="B216" s="236"/>
      <c r="C216" s="236"/>
      <c r="D216" s="236"/>
      <c r="E216" s="236"/>
      <c r="F216" s="236"/>
      <c r="G216" s="236" t="s">
        <v>54</v>
      </c>
      <c r="H216" s="459" t="s">
        <v>73</v>
      </c>
      <c r="I216" s="339" t="s">
        <v>73</v>
      </c>
      <c r="J216" s="320">
        <v>40858</v>
      </c>
      <c r="K216" s="288" t="s">
        <v>68</v>
      </c>
      <c r="L216" s="312">
        <v>32</v>
      </c>
      <c r="M216" s="382">
        <v>1188</v>
      </c>
      <c r="N216" s="383">
        <v>238</v>
      </c>
      <c r="O216" s="328">
        <f>119417+74006.5+30939.5+15734+17682+7740+3814.5+5519+937+732+479+1782+1188</f>
        <v>279970.5</v>
      </c>
      <c r="P216" s="344">
        <f>12383+8559+4204+1986+2778+1301+707+782+165+115+82+325+238</f>
        <v>33625</v>
      </c>
      <c r="Q216" s="297">
        <v>40942</v>
      </c>
    </row>
    <row r="217" spans="1:17" ht="12" customHeight="1">
      <c r="A217" s="520">
        <v>214</v>
      </c>
      <c r="B217" s="236"/>
      <c r="C217" s="236"/>
      <c r="D217" s="236"/>
      <c r="E217" s="236"/>
      <c r="F217" s="236"/>
      <c r="G217" s="236" t="s">
        <v>54</v>
      </c>
      <c r="H217" s="366" t="s">
        <v>73</v>
      </c>
      <c r="I217" s="339" t="s">
        <v>73</v>
      </c>
      <c r="J217" s="320">
        <v>40858</v>
      </c>
      <c r="K217" s="288" t="s">
        <v>68</v>
      </c>
      <c r="L217" s="312">
        <v>32</v>
      </c>
      <c r="M217" s="382">
        <v>1188</v>
      </c>
      <c r="N217" s="383">
        <v>238</v>
      </c>
      <c r="O217" s="328">
        <f>119417+74006.5+30939.5+15734+17682+7740+3814.5+5519+937+732+479+1782+1188+713+96+745+3801.5+1188</f>
        <v>286514</v>
      </c>
      <c r="P217" s="344">
        <f>12383+8559+4204+1986+2778+1301+707+782+165+115+82+325+238+143+32+132+760+238</f>
        <v>34930</v>
      </c>
      <c r="Q217" s="297">
        <v>41033</v>
      </c>
    </row>
    <row r="218" spans="1:17" ht="12" customHeight="1">
      <c r="A218" s="520">
        <v>215</v>
      </c>
      <c r="B218" s="236"/>
      <c r="C218" s="236"/>
      <c r="D218" s="236"/>
      <c r="E218" s="236"/>
      <c r="F218" s="236"/>
      <c r="G218" s="236" t="s">
        <v>54</v>
      </c>
      <c r="H218" s="459" t="s">
        <v>73</v>
      </c>
      <c r="I218" s="339" t="s">
        <v>73</v>
      </c>
      <c r="J218" s="320">
        <v>40858</v>
      </c>
      <c r="K218" s="288" t="s">
        <v>68</v>
      </c>
      <c r="L218" s="312">
        <v>32</v>
      </c>
      <c r="M218" s="382">
        <v>937</v>
      </c>
      <c r="N218" s="383">
        <v>165</v>
      </c>
      <c r="O218" s="328">
        <f>119417+74006.5+30939.5+15734+17682+7740+3814.5+5519+937</f>
        <v>275789.5</v>
      </c>
      <c r="P218" s="344">
        <f>12383+8559+4204+1986+2778+1301+707+782+165</f>
        <v>32865</v>
      </c>
      <c r="Q218" s="297">
        <v>40914</v>
      </c>
    </row>
    <row r="219" spans="1:17" ht="12" customHeight="1">
      <c r="A219" s="520">
        <v>216</v>
      </c>
      <c r="B219" s="236"/>
      <c r="C219" s="236"/>
      <c r="D219" s="236"/>
      <c r="E219" s="236"/>
      <c r="F219" s="236"/>
      <c r="G219" s="236" t="s">
        <v>54</v>
      </c>
      <c r="H219" s="366" t="s">
        <v>73</v>
      </c>
      <c r="I219" s="339" t="s">
        <v>73</v>
      </c>
      <c r="J219" s="320">
        <v>40858</v>
      </c>
      <c r="K219" s="288" t="s">
        <v>68</v>
      </c>
      <c r="L219" s="312">
        <v>32</v>
      </c>
      <c r="M219" s="382">
        <v>745</v>
      </c>
      <c r="N219" s="383">
        <v>132</v>
      </c>
      <c r="O219" s="328">
        <f>119417+74006.5+30939.5+15734+17682+7740+3814.5+5519+937+732+479+1782+1188+713+96+745</f>
        <v>281524.5</v>
      </c>
      <c r="P219" s="344">
        <f>12383+8559+4204+1986+2778+1301+707+782+165+115+82+325+238+143+32+132</f>
        <v>33932</v>
      </c>
      <c r="Q219" s="297">
        <v>40963</v>
      </c>
    </row>
    <row r="220" spans="1:17" ht="12" customHeight="1">
      <c r="A220" s="520">
        <v>217</v>
      </c>
      <c r="B220" s="236"/>
      <c r="C220" s="236"/>
      <c r="D220" s="236"/>
      <c r="E220" s="236"/>
      <c r="F220" s="236"/>
      <c r="G220" s="236" t="s">
        <v>54</v>
      </c>
      <c r="H220" s="459" t="s">
        <v>73</v>
      </c>
      <c r="I220" s="339" t="s">
        <v>73</v>
      </c>
      <c r="J220" s="320">
        <v>40858</v>
      </c>
      <c r="K220" s="288" t="s">
        <v>68</v>
      </c>
      <c r="L220" s="312">
        <v>32</v>
      </c>
      <c r="M220" s="382">
        <v>732</v>
      </c>
      <c r="N220" s="383">
        <v>115</v>
      </c>
      <c r="O220" s="328">
        <f>119417+74006.5+30939.5+15734+17682+7740+3814.5+5519+937+732</f>
        <v>276521.5</v>
      </c>
      <c r="P220" s="344">
        <f>12383+8559+4204+1986+2778+1301+707+782+165+115</f>
        <v>32980</v>
      </c>
      <c r="Q220" s="297">
        <v>40921</v>
      </c>
    </row>
    <row r="221" spans="1:17" ht="12" customHeight="1">
      <c r="A221" s="520">
        <v>218</v>
      </c>
      <c r="B221" s="236"/>
      <c r="C221" s="236"/>
      <c r="D221" s="236"/>
      <c r="E221" s="236"/>
      <c r="F221" s="236"/>
      <c r="G221" s="236" t="s">
        <v>54</v>
      </c>
      <c r="H221" s="366" t="s">
        <v>73</v>
      </c>
      <c r="I221" s="339" t="s">
        <v>73</v>
      </c>
      <c r="J221" s="320">
        <v>40858</v>
      </c>
      <c r="K221" s="288" t="s">
        <v>68</v>
      </c>
      <c r="L221" s="312">
        <v>32</v>
      </c>
      <c r="M221" s="382">
        <v>713</v>
      </c>
      <c r="N221" s="383">
        <v>143</v>
      </c>
      <c r="O221" s="328">
        <f>119417+74006.5+30939.5+15734+17682+7740+3814.5+5519+937+732+479+1782+1188+713</f>
        <v>280683.5</v>
      </c>
      <c r="P221" s="344">
        <f>12383+8559+4204+1986+2778+1301+707+782+165+115+82+325+238+143</f>
        <v>33768</v>
      </c>
      <c r="Q221" s="297">
        <v>40949</v>
      </c>
    </row>
    <row r="222" spans="1:17" ht="12" customHeight="1">
      <c r="A222" s="520">
        <v>219</v>
      </c>
      <c r="B222" s="236"/>
      <c r="C222" s="236"/>
      <c r="D222" s="236"/>
      <c r="E222" s="236"/>
      <c r="F222" s="236"/>
      <c r="G222" s="236" t="s">
        <v>54</v>
      </c>
      <c r="H222" s="459" t="s">
        <v>73</v>
      </c>
      <c r="I222" s="339" t="s">
        <v>73</v>
      </c>
      <c r="J222" s="320">
        <v>40858</v>
      </c>
      <c r="K222" s="288" t="s">
        <v>68</v>
      </c>
      <c r="L222" s="312">
        <v>32</v>
      </c>
      <c r="M222" s="382">
        <v>479</v>
      </c>
      <c r="N222" s="383">
        <v>82</v>
      </c>
      <c r="O222" s="328">
        <f>119417+74006.5+30939.5+15734+17682+7740+3814.5+5519+937+732+479</f>
        <v>277000.5</v>
      </c>
      <c r="P222" s="344">
        <f>12383+8559+4204+1986+2778+1301+707+782+165+115+82</f>
        <v>33062</v>
      </c>
      <c r="Q222" s="297">
        <v>40928</v>
      </c>
    </row>
    <row r="223" spans="1:17" ht="12" customHeight="1">
      <c r="A223" s="520">
        <v>220</v>
      </c>
      <c r="B223" s="236"/>
      <c r="C223" s="236"/>
      <c r="D223" s="236"/>
      <c r="E223" s="236"/>
      <c r="F223" s="236"/>
      <c r="G223" s="236" t="s">
        <v>54</v>
      </c>
      <c r="H223" s="366" t="s">
        <v>73</v>
      </c>
      <c r="I223" s="339" t="s">
        <v>73</v>
      </c>
      <c r="J223" s="320">
        <v>40858</v>
      </c>
      <c r="K223" s="288" t="s">
        <v>68</v>
      </c>
      <c r="L223" s="312">
        <v>32</v>
      </c>
      <c r="M223" s="382">
        <v>96</v>
      </c>
      <c r="N223" s="383">
        <v>32</v>
      </c>
      <c r="O223" s="328">
        <f>119417+74006.5+30939.5+15734+17682+7740+3814.5+5519+937+732+479+1782+1188+713+96</f>
        <v>280779.5</v>
      </c>
      <c r="P223" s="344">
        <f>12383+8559+4204+1986+2778+1301+707+782+165+115+82+325+238+143+32</f>
        <v>33800</v>
      </c>
      <c r="Q223" s="297">
        <v>40956</v>
      </c>
    </row>
    <row r="224" spans="1:17" ht="12" customHeight="1">
      <c r="A224" s="520">
        <v>221</v>
      </c>
      <c r="B224" s="236"/>
      <c r="C224" s="236"/>
      <c r="D224" s="236"/>
      <c r="E224" s="236"/>
      <c r="F224" s="236"/>
      <c r="G224" s="236" t="s">
        <v>54</v>
      </c>
      <c r="H224" s="360" t="s">
        <v>633</v>
      </c>
      <c r="I224" s="288" t="s">
        <v>633</v>
      </c>
      <c r="J224" s="297">
        <v>38429</v>
      </c>
      <c r="K224" s="288" t="s">
        <v>53</v>
      </c>
      <c r="L224" s="440">
        <v>95</v>
      </c>
      <c r="M224" s="478">
        <v>1199</v>
      </c>
      <c r="N224" s="479">
        <v>200</v>
      </c>
      <c r="O224" s="454">
        <v>3584745.62</v>
      </c>
      <c r="P224" s="455">
        <v>677738</v>
      </c>
      <c r="Q224" s="297">
        <v>40984</v>
      </c>
    </row>
    <row r="225" spans="1:17" ht="12" customHeight="1">
      <c r="A225" s="520">
        <v>222</v>
      </c>
      <c r="B225" s="236" t="s">
        <v>193</v>
      </c>
      <c r="C225" s="236"/>
      <c r="D225" s="293"/>
      <c r="E225" s="236" t="s">
        <v>250</v>
      </c>
      <c r="F225" s="236" t="s">
        <v>55</v>
      </c>
      <c r="G225" s="236"/>
      <c r="H225" s="459" t="s">
        <v>387</v>
      </c>
      <c r="I225" s="339" t="s">
        <v>406</v>
      </c>
      <c r="J225" s="320">
        <v>40697</v>
      </c>
      <c r="K225" s="288" t="s">
        <v>68</v>
      </c>
      <c r="L225" s="312">
        <v>71</v>
      </c>
      <c r="M225" s="382">
        <v>7128</v>
      </c>
      <c r="N225" s="383">
        <v>1783</v>
      </c>
      <c r="O225" s="328">
        <f>204018.5+92011.75+38624.5+27400+22817+12697.5+8373+8455.5+6781+2290+2830+1048+3163+3005+2166+6840+1490+14+6415.5+3721.5+7267.5+3007+701.5+608.5+3931+316+1244+768+1787+1197+7128</f>
        <v>482117.25</v>
      </c>
      <c r="P225" s="344">
        <f>20915+10991+4900+3855+3433+1986+1329+1415+1032+399+409+237+591+657+312+1653+293+7+1605+687+1458+678+106+95+900+62+202+109+514+390+1783</f>
        <v>63003</v>
      </c>
      <c r="Q225" s="297">
        <v>40928</v>
      </c>
    </row>
    <row r="226" spans="1:17" ht="12" customHeight="1">
      <c r="A226" s="520">
        <v>223</v>
      </c>
      <c r="B226" s="236" t="s">
        <v>193</v>
      </c>
      <c r="C226" s="236"/>
      <c r="D226" s="293"/>
      <c r="E226" s="236" t="s">
        <v>250</v>
      </c>
      <c r="F226" s="236" t="s">
        <v>55</v>
      </c>
      <c r="G226" s="236"/>
      <c r="H226" s="459" t="s">
        <v>387</v>
      </c>
      <c r="I226" s="339" t="s">
        <v>406</v>
      </c>
      <c r="J226" s="320">
        <v>40697</v>
      </c>
      <c r="K226" s="288" t="s">
        <v>68</v>
      </c>
      <c r="L226" s="312">
        <v>71</v>
      </c>
      <c r="M226" s="382">
        <v>3008</v>
      </c>
      <c r="N226" s="383">
        <v>720</v>
      </c>
      <c r="O226" s="328">
        <f>204018.5+92011.75+38624.5+27400+22817+12697.5+8373+8455.5+6781+2290+2830+1048+3163+3005+2166+6840+1490+14+6415.5+3721.5+7267.5+3007+701.5+608.5+3931+316+1244+768+1787+1197+7128+1188+3008</f>
        <v>486313.25</v>
      </c>
      <c r="P226" s="344">
        <f>20915+10991+4900+3855+3433+1986+1329+1415+1032+399+409+237+591+657+312+1653+293+7+1605+687+1458+678+106+95+900+62+202+109+514+390+1783+238+720</f>
        <v>63961</v>
      </c>
      <c r="Q226" s="297">
        <v>40942</v>
      </c>
    </row>
    <row r="227" spans="1:17" ht="12" customHeight="1">
      <c r="A227" s="520">
        <v>224</v>
      </c>
      <c r="B227" s="236" t="s">
        <v>193</v>
      </c>
      <c r="C227" s="236"/>
      <c r="D227" s="293"/>
      <c r="E227" s="236" t="s">
        <v>250</v>
      </c>
      <c r="F227" s="236" t="s">
        <v>55</v>
      </c>
      <c r="G227" s="236"/>
      <c r="H227" s="366" t="s">
        <v>387</v>
      </c>
      <c r="I227" s="339" t="s">
        <v>406</v>
      </c>
      <c r="J227" s="320">
        <v>40697</v>
      </c>
      <c r="K227" s="288" t="s">
        <v>68</v>
      </c>
      <c r="L227" s="312">
        <v>71</v>
      </c>
      <c r="M227" s="382">
        <v>1425.5</v>
      </c>
      <c r="N227" s="383">
        <v>285</v>
      </c>
      <c r="O227" s="328">
        <f>204018.5+92011.75+38624.5+27400+22817+12697.5+8373+8455.5+6781+2290+2830+1048+3163+3005+2166+6840+1490+14+6415.5+3721.5+7267.5+3007+701.5+608.5+3931+316+1244+768+1787+1197+7128+1188+3008+2446+1425.5+1425.5</f>
        <v>491610.25</v>
      </c>
      <c r="P227" s="344">
        <f>20915+10991+4900+3855+3433+1986+1329+1415+1032+399+409+237+591+657+312+1653+293+7+1605+687+1458+678+106+95+900+62+202+109+514+390+1783+238+720+1164+285+285</f>
        <v>65695</v>
      </c>
      <c r="Q227" s="297">
        <v>40963</v>
      </c>
    </row>
    <row r="228" spans="1:17" ht="12" customHeight="1">
      <c r="A228" s="520">
        <v>225</v>
      </c>
      <c r="B228" s="236" t="s">
        <v>193</v>
      </c>
      <c r="C228" s="236"/>
      <c r="D228" s="293"/>
      <c r="E228" s="236" t="s">
        <v>250</v>
      </c>
      <c r="F228" s="236" t="s">
        <v>55</v>
      </c>
      <c r="G228" s="236"/>
      <c r="H228" s="366" t="s">
        <v>387</v>
      </c>
      <c r="I228" s="339" t="s">
        <v>406</v>
      </c>
      <c r="J228" s="370">
        <v>40697</v>
      </c>
      <c r="K228" s="288" t="s">
        <v>68</v>
      </c>
      <c r="L228" s="313">
        <v>71</v>
      </c>
      <c r="M228" s="468">
        <v>1425.5</v>
      </c>
      <c r="N228" s="469">
        <v>285</v>
      </c>
      <c r="O228" s="317">
        <f>204018.5+92011.75+38624.5+27400+22817+12697.5+8373+8455.5+6781+2290+2830+1048+3163+3005+2166+6840+1490+14+6415.5+3721.5+7267.5+3007+701.5+608.5+3931+316+1244+768+1787+1197+7128+1188+3008+2446+1425.5+1425.5+1030.5+1425.5</f>
        <v>494066.25</v>
      </c>
      <c r="P228" s="368">
        <f>20915+10991+4900+3855+3433+1986+1329+1415+1032+399+409+237+591+657+312+1653+293+7+1605+687+1458+678+106+95+900+62+202+109+514+390+1783+238+720+1164+285+285+199+285</f>
        <v>66179</v>
      </c>
      <c r="Q228" s="297">
        <v>41012</v>
      </c>
    </row>
    <row r="229" spans="1:17" ht="12" customHeight="1">
      <c r="A229" s="520">
        <v>226</v>
      </c>
      <c r="B229" s="236" t="s">
        <v>193</v>
      </c>
      <c r="C229" s="236"/>
      <c r="D229" s="293"/>
      <c r="E229" s="236" t="s">
        <v>250</v>
      </c>
      <c r="F229" s="236" t="s">
        <v>55</v>
      </c>
      <c r="G229" s="236"/>
      <c r="H229" s="459" t="s">
        <v>387</v>
      </c>
      <c r="I229" s="339" t="s">
        <v>406</v>
      </c>
      <c r="J229" s="320">
        <v>40697</v>
      </c>
      <c r="K229" s="288" t="s">
        <v>68</v>
      </c>
      <c r="L229" s="312">
        <v>71</v>
      </c>
      <c r="M229" s="382">
        <v>1188</v>
      </c>
      <c r="N229" s="383">
        <v>238</v>
      </c>
      <c r="O229" s="328">
        <f>204018.5+92011.75+38624.5+27400+22817+12697.5+8373+8455.5+6781+2290+2830+1048+3163+3005+2166+6840+1490+14+6415.5+3721.5+7267.5+3007+701.5+608.5+3931+316+1244+768+1787+1197+7128+1188</f>
        <v>483305.25</v>
      </c>
      <c r="P229" s="344">
        <f>20915+10991+4900+3855+3433+1986+1329+1415+1032+399+409+237+591+657+312+1653+293+7+1605+687+1458+678+106+95+900+62+202+109+514+390+1783+238</f>
        <v>63241</v>
      </c>
      <c r="Q229" s="297">
        <v>40935</v>
      </c>
    </row>
    <row r="230" spans="1:17" ht="12" customHeight="1">
      <c r="A230" s="520">
        <v>227</v>
      </c>
      <c r="B230" s="236" t="s">
        <v>193</v>
      </c>
      <c r="C230" s="236"/>
      <c r="D230" s="293"/>
      <c r="E230" s="236" t="s">
        <v>250</v>
      </c>
      <c r="F230" s="236" t="s">
        <v>55</v>
      </c>
      <c r="G230" s="236"/>
      <c r="H230" s="366" t="s">
        <v>387</v>
      </c>
      <c r="I230" s="339" t="s">
        <v>406</v>
      </c>
      <c r="J230" s="320">
        <v>40697</v>
      </c>
      <c r="K230" s="288" t="s">
        <v>68</v>
      </c>
      <c r="L230" s="312">
        <v>71</v>
      </c>
      <c r="M230" s="382">
        <v>1030.5</v>
      </c>
      <c r="N230" s="383">
        <v>199</v>
      </c>
      <c r="O230" s="328">
        <f>204018.5+92011.75+38624.5+27400+22817+12697.5+8373+8455.5+6781+2290+2830+1048+3163+3005+2166+6840+1490+14+6415.5+3721.5+7267.5+3007+701.5+608.5+3931+316+1244+768+1787+1197+7128+1188+3008+2446+1425.5+1425.5+1030.5</f>
        <v>492640.75</v>
      </c>
      <c r="P230" s="344">
        <f>20915+10991+4900+3855+3433+1986+1329+1415+1032+399+409+237+591+657+312+1653+293+7+1605+687+1458+678+106+95+900+62+202+109+514+390+1783+238+720+1164+285+285+199</f>
        <v>65894</v>
      </c>
      <c r="Q230" s="297">
        <v>40970</v>
      </c>
    </row>
    <row r="231" spans="1:17" ht="12" customHeight="1">
      <c r="A231" s="520">
        <v>228</v>
      </c>
      <c r="B231" s="236" t="s">
        <v>193</v>
      </c>
      <c r="C231" s="236"/>
      <c r="D231" s="293"/>
      <c r="E231" s="236" t="s">
        <v>250</v>
      </c>
      <c r="F231" s="236" t="s">
        <v>55</v>
      </c>
      <c r="G231" s="236"/>
      <c r="H231" s="366" t="s">
        <v>392</v>
      </c>
      <c r="I231" s="339" t="s">
        <v>398</v>
      </c>
      <c r="J231" s="320">
        <v>39878</v>
      </c>
      <c r="K231" s="288" t="s">
        <v>68</v>
      </c>
      <c r="L231" s="312">
        <v>39</v>
      </c>
      <c r="M231" s="382">
        <v>8550</v>
      </c>
      <c r="N231" s="383">
        <v>1710</v>
      </c>
      <c r="O231" s="328">
        <f>143992.5+82756.5+42509+41229+27290.5+16668+27602+17675+4710+8504.5+2403+4164+2272+3469+1997+135+299+674+178+30+240+1413+1006+209+393+680+1780+4040+1780+1780+952+745+2376+2376+2376+4752+2376+708+2852+1780+8550</f>
        <v>471722</v>
      </c>
      <c r="P231" s="344">
        <f>15320+9228+5096+5970+4485+3115+5134+3946+1139+2307+509+879+411+637+472+29+62+165+32+6+48+348+139+43+54+68+445+1010+445+445+238+149+594+594+594+1188+594+164+713+356+1710</f>
        <v>68881</v>
      </c>
      <c r="Q231" s="297">
        <v>41033</v>
      </c>
    </row>
    <row r="232" spans="1:17" ht="12" customHeight="1">
      <c r="A232" s="520">
        <v>229</v>
      </c>
      <c r="B232" s="236" t="s">
        <v>193</v>
      </c>
      <c r="C232" s="236"/>
      <c r="D232" s="293"/>
      <c r="E232" s="236" t="s">
        <v>250</v>
      </c>
      <c r="F232" s="236" t="s">
        <v>55</v>
      </c>
      <c r="G232" s="236"/>
      <c r="H232" s="459" t="s">
        <v>392</v>
      </c>
      <c r="I232" s="339" t="s">
        <v>398</v>
      </c>
      <c r="J232" s="320">
        <v>39878</v>
      </c>
      <c r="K232" s="288" t="s">
        <v>68</v>
      </c>
      <c r="L232" s="312">
        <v>39</v>
      </c>
      <c r="M232" s="382">
        <v>2852</v>
      </c>
      <c r="N232" s="383">
        <v>713</v>
      </c>
      <c r="O232" s="328">
        <f>143992.5+82756.5+42509+41229+27290.5+16668+27602+17675+4710+8504.5+2403+4164+2272+3469+1997+135+299+674+178+30+240+1413+1006+209+393+680+1780+4040+1780+1780+952+745+2376+2376+2376+4752+2376+708+2852</f>
        <v>461392</v>
      </c>
      <c r="P232" s="344">
        <f>15320+9228+5096+5970+4485+3115+5134+3946+1139+2307+509+879+411+637+472+29+62+165+32+6+48+348+139+43+54+68+445+1010+445+445+238+149+594+594+594+1188+594+164+713</f>
        <v>66815</v>
      </c>
      <c r="Q232" s="297">
        <v>40928</v>
      </c>
    </row>
    <row r="233" spans="1:17" ht="12" customHeight="1">
      <c r="A233" s="520">
        <v>230</v>
      </c>
      <c r="B233" s="236" t="s">
        <v>193</v>
      </c>
      <c r="C233" s="236"/>
      <c r="D233" s="293"/>
      <c r="E233" s="236" t="s">
        <v>250</v>
      </c>
      <c r="F233" s="236" t="s">
        <v>55</v>
      </c>
      <c r="G233" s="236"/>
      <c r="H233" s="366" t="s">
        <v>392</v>
      </c>
      <c r="I233" s="339" t="s">
        <v>398</v>
      </c>
      <c r="J233" s="320">
        <v>39878</v>
      </c>
      <c r="K233" s="288" t="s">
        <v>68</v>
      </c>
      <c r="L233" s="312">
        <v>39</v>
      </c>
      <c r="M233" s="382">
        <v>2446</v>
      </c>
      <c r="N233" s="383">
        <v>1164</v>
      </c>
      <c r="O233" s="328">
        <f>204018.5+92011.75+38624.5+27400+22817+12697.5+8373+8455.5+6781+2290+2830+1048+3163+3005+2166+6840+1490+14+6415.5+3721.5+7267.5+3007+701.5+608.5+3931+316+1244+768+1787+1197+7128+1188+3008+2446</f>
        <v>488759.25</v>
      </c>
      <c r="P233" s="344">
        <f>20915+10991+4900+3855+3433+1986+1329+1415+1032+399+409+237+591+657+312+1653+293+7+1605+687+1458+678+106+95+900+62+202+109+514+390+1783+238+720+1164</f>
        <v>65125</v>
      </c>
      <c r="Q233" s="297">
        <v>40949</v>
      </c>
    </row>
    <row r="234" spans="1:17" ht="12" customHeight="1">
      <c r="A234" s="520">
        <v>231</v>
      </c>
      <c r="B234" s="236" t="s">
        <v>193</v>
      </c>
      <c r="C234" s="236"/>
      <c r="D234" s="293"/>
      <c r="E234" s="236" t="s">
        <v>250</v>
      </c>
      <c r="F234" s="236" t="s">
        <v>55</v>
      </c>
      <c r="G234" s="236"/>
      <c r="H234" s="366" t="s">
        <v>392</v>
      </c>
      <c r="I234" s="339" t="s">
        <v>398</v>
      </c>
      <c r="J234" s="320">
        <v>39878</v>
      </c>
      <c r="K234" s="288" t="s">
        <v>68</v>
      </c>
      <c r="L234" s="312">
        <v>39</v>
      </c>
      <c r="M234" s="382">
        <v>1780</v>
      </c>
      <c r="N234" s="383">
        <v>356</v>
      </c>
      <c r="O234" s="328">
        <f>143992.5+82756.5+42509+41229+27290.5+16668+27602+17675+4710+8504.5+2403+4164+2272+3469+1997+135+299+674+178+30+240+1413+1006+209+393+680+1780+4040+1780+1780+952+745+2376+2376+2376+4752+2376+708+2852+1780</f>
        <v>463172</v>
      </c>
      <c r="P234" s="344">
        <f>15320+9228+5096+5970+4485+3115+5134+3946+1139+2307+509+879+411+637+472+29+62+165+32+6+48+348+139+43+54+68+445+1010+445+445+238+149+594+594+594+1188+594+164+713+356</f>
        <v>67171</v>
      </c>
      <c r="Q234" s="297">
        <v>40963</v>
      </c>
    </row>
    <row r="235" spans="1:17" ht="12" customHeight="1">
      <c r="A235" s="520">
        <v>232</v>
      </c>
      <c r="B235" s="236"/>
      <c r="C235" s="236"/>
      <c r="D235" s="236"/>
      <c r="E235" s="236"/>
      <c r="F235" s="236"/>
      <c r="G235" s="236"/>
      <c r="H235" s="463" t="s">
        <v>219</v>
      </c>
      <c r="I235" s="288" t="s">
        <v>220</v>
      </c>
      <c r="J235" s="320">
        <v>40802</v>
      </c>
      <c r="K235" s="288" t="s">
        <v>13</v>
      </c>
      <c r="L235" s="440">
        <v>8</v>
      </c>
      <c r="M235" s="378">
        <v>302.5</v>
      </c>
      <c r="N235" s="379">
        <v>67</v>
      </c>
      <c r="O235" s="334">
        <v>73390</v>
      </c>
      <c r="P235" s="338">
        <v>8093</v>
      </c>
      <c r="Q235" s="297">
        <v>40907</v>
      </c>
    </row>
    <row r="236" spans="1:17" ht="12" customHeight="1">
      <c r="A236" s="520">
        <v>233</v>
      </c>
      <c r="B236" s="236"/>
      <c r="C236" s="236"/>
      <c r="D236" s="236"/>
      <c r="E236" s="236"/>
      <c r="F236" s="236"/>
      <c r="G236" s="236" t="s">
        <v>54</v>
      </c>
      <c r="H236" s="463" t="s">
        <v>207</v>
      </c>
      <c r="I236" s="288" t="s">
        <v>207</v>
      </c>
      <c r="J236" s="320">
        <v>40613</v>
      </c>
      <c r="K236" s="288" t="s">
        <v>13</v>
      </c>
      <c r="L236" s="312">
        <v>25</v>
      </c>
      <c r="M236" s="378">
        <v>605</v>
      </c>
      <c r="N236" s="379">
        <v>121</v>
      </c>
      <c r="O236" s="334">
        <v>212148.5</v>
      </c>
      <c r="P236" s="442">
        <v>28587</v>
      </c>
      <c r="Q236" s="297">
        <v>40935</v>
      </c>
    </row>
    <row r="237" spans="1:17" ht="12" customHeight="1">
      <c r="A237" s="520">
        <v>234</v>
      </c>
      <c r="B237" s="236"/>
      <c r="C237" s="236"/>
      <c r="D237" s="236"/>
      <c r="E237" s="236"/>
      <c r="F237" s="236"/>
      <c r="G237" s="236" t="s">
        <v>54</v>
      </c>
      <c r="H237" s="463" t="s">
        <v>207</v>
      </c>
      <c r="I237" s="288" t="s">
        <v>207</v>
      </c>
      <c r="J237" s="320">
        <v>40613</v>
      </c>
      <c r="K237" s="288" t="s">
        <v>13</v>
      </c>
      <c r="L237" s="440">
        <v>25</v>
      </c>
      <c r="M237" s="378">
        <v>594</v>
      </c>
      <c r="N237" s="379">
        <v>118</v>
      </c>
      <c r="O237" s="334">
        <v>211543.5</v>
      </c>
      <c r="P237" s="338">
        <v>28466</v>
      </c>
      <c r="Q237" s="297">
        <v>40907</v>
      </c>
    </row>
    <row r="238" spans="1:17" ht="12" customHeight="1">
      <c r="A238" s="520">
        <v>235</v>
      </c>
      <c r="B238" s="236"/>
      <c r="C238" s="236"/>
      <c r="D238" s="236"/>
      <c r="E238" s="236"/>
      <c r="F238" s="236"/>
      <c r="G238" s="236"/>
      <c r="H238" s="366" t="s">
        <v>828</v>
      </c>
      <c r="I238" s="339" t="s">
        <v>827</v>
      </c>
      <c r="J238" s="320">
        <v>40753</v>
      </c>
      <c r="K238" s="288" t="s">
        <v>68</v>
      </c>
      <c r="L238" s="312">
        <v>1</v>
      </c>
      <c r="M238" s="382">
        <v>3801.5</v>
      </c>
      <c r="N238" s="383">
        <v>780</v>
      </c>
      <c r="O238" s="328">
        <f>8466+542+128+932+1064+258+188+332+3801.5</f>
        <v>15711.5</v>
      </c>
      <c r="P238" s="344">
        <f>472+64+13+122+133+38+26+48+780</f>
        <v>1696</v>
      </c>
      <c r="Q238" s="297">
        <v>41033</v>
      </c>
    </row>
    <row r="239" spans="1:17" ht="12" customHeight="1">
      <c r="A239" s="520">
        <v>236</v>
      </c>
      <c r="B239" s="236" t="s">
        <v>193</v>
      </c>
      <c r="C239" s="236"/>
      <c r="D239" s="236"/>
      <c r="E239" s="236"/>
      <c r="F239" s="236" t="s">
        <v>55</v>
      </c>
      <c r="G239" s="236"/>
      <c r="H239" s="459" t="s">
        <v>351</v>
      </c>
      <c r="I239" s="339" t="s">
        <v>354</v>
      </c>
      <c r="J239" s="320">
        <v>40543</v>
      </c>
      <c r="K239" s="288" t="s">
        <v>68</v>
      </c>
      <c r="L239" s="312">
        <v>99</v>
      </c>
      <c r="M239" s="382">
        <v>1425.5</v>
      </c>
      <c r="N239" s="383">
        <v>356</v>
      </c>
      <c r="O239" s="328">
        <f>74157.5+721285.5+410076+112730.5+28262.5+6646+19483.5+940+1245+2674.5+7128+1782+331+245+6545.5+694+1782+1782+1782+1188+306+1188+3340+316+713+2376+1425.5</f>
        <v>1410425</v>
      </c>
      <c r="P239" s="344">
        <f>7361+62279+35611+10987+4077+689+3901+125+178+502+1781+445+78+59+1496+114+446+446+446+297+61+297+668+53+178+594+356</f>
        <v>133525</v>
      </c>
      <c r="Q239" s="297">
        <v>40921</v>
      </c>
    </row>
    <row r="240" spans="1:17" ht="12" customHeight="1">
      <c r="A240" s="520">
        <v>237</v>
      </c>
      <c r="B240" s="236"/>
      <c r="C240" s="236">
        <v>3</v>
      </c>
      <c r="D240" s="236"/>
      <c r="E240" s="236"/>
      <c r="F240" s="236"/>
      <c r="G240" s="236"/>
      <c r="H240" s="459" t="s">
        <v>242</v>
      </c>
      <c r="I240" s="339" t="s">
        <v>241</v>
      </c>
      <c r="J240" s="320">
        <v>40767</v>
      </c>
      <c r="K240" s="288" t="s">
        <v>68</v>
      </c>
      <c r="L240" s="312">
        <v>39</v>
      </c>
      <c r="M240" s="382">
        <v>754.5</v>
      </c>
      <c r="N240" s="383">
        <v>110</v>
      </c>
      <c r="O240" s="328">
        <f>227782+93706+36180+21819+14718.5+11547.5+9757.5+8598+8681+8538+4936.5+48+662+5495+26+1437+754.5</f>
        <v>454686.5</v>
      </c>
      <c r="P240" s="344">
        <f>21125+9522+4298+2881+1947+1746+1401+1176+1202+1176+682+7+103+939+4+204+110</f>
        <v>48523</v>
      </c>
      <c r="Q240" s="297">
        <v>40907</v>
      </c>
    </row>
    <row r="241" spans="1:17" ht="12" customHeight="1">
      <c r="A241" s="520">
        <v>238</v>
      </c>
      <c r="B241" s="236"/>
      <c r="C241" s="236">
        <v>3</v>
      </c>
      <c r="D241" s="236"/>
      <c r="E241" s="236"/>
      <c r="F241" s="236"/>
      <c r="G241" s="236"/>
      <c r="H241" s="459" t="s">
        <v>242</v>
      </c>
      <c r="I241" s="339" t="s">
        <v>241</v>
      </c>
      <c r="J241" s="320">
        <v>40767</v>
      </c>
      <c r="K241" s="288" t="s">
        <v>68</v>
      </c>
      <c r="L241" s="312">
        <v>39</v>
      </c>
      <c r="M241" s="382">
        <v>389.5</v>
      </c>
      <c r="N241" s="383">
        <v>56</v>
      </c>
      <c r="O241" s="328">
        <f>227782+93706+36180+21819+14718.5+11547.5+9757.5+8598+8681+8538+4936.5+48+662+5495+26+1437+754.5+389.5</f>
        <v>455076</v>
      </c>
      <c r="P241" s="344">
        <f>21125+9522+4298+2881+1947+1746+1401+1176+1202+1176+682+7+103+939+4+204+110+56</f>
        <v>48579</v>
      </c>
      <c r="Q241" s="297">
        <v>40914</v>
      </c>
    </row>
    <row r="242" spans="1:17" ht="12" customHeight="1">
      <c r="A242" s="520">
        <v>239</v>
      </c>
      <c r="B242" s="236"/>
      <c r="C242" s="236"/>
      <c r="D242" s="236"/>
      <c r="E242" s="236"/>
      <c r="F242" s="236" t="s">
        <v>55</v>
      </c>
      <c r="G242" s="236"/>
      <c r="H242" s="464" t="s">
        <v>146</v>
      </c>
      <c r="I242" s="288" t="s">
        <v>149</v>
      </c>
      <c r="J242" s="320">
        <v>40907</v>
      </c>
      <c r="K242" s="288" t="s">
        <v>13</v>
      </c>
      <c r="L242" s="312">
        <v>2</v>
      </c>
      <c r="M242" s="378">
        <v>2845</v>
      </c>
      <c r="N242" s="379">
        <v>437</v>
      </c>
      <c r="O242" s="334">
        <v>2845</v>
      </c>
      <c r="P242" s="338">
        <v>437</v>
      </c>
      <c r="Q242" s="297">
        <v>40907</v>
      </c>
    </row>
    <row r="243" spans="1:17" ht="12" customHeight="1">
      <c r="A243" s="520">
        <v>240</v>
      </c>
      <c r="B243" s="236" t="s">
        <v>193</v>
      </c>
      <c r="C243" s="236">
        <v>3</v>
      </c>
      <c r="D243" s="236"/>
      <c r="E243" s="236"/>
      <c r="F243" s="236" t="s">
        <v>55</v>
      </c>
      <c r="G243" s="236"/>
      <c r="H243" s="462" t="s">
        <v>480</v>
      </c>
      <c r="I243" s="340" t="s">
        <v>481</v>
      </c>
      <c r="J243" s="320">
        <v>40669</v>
      </c>
      <c r="K243" s="288" t="s">
        <v>8</v>
      </c>
      <c r="L243" s="354">
        <v>51</v>
      </c>
      <c r="M243" s="384">
        <v>129</v>
      </c>
      <c r="N243" s="385">
        <v>20</v>
      </c>
      <c r="O243" s="332">
        <v>479058</v>
      </c>
      <c r="P243" s="333">
        <v>49174</v>
      </c>
      <c r="Q243" s="297">
        <v>40935</v>
      </c>
    </row>
    <row r="244" spans="1:17" ht="12" customHeight="1">
      <c r="A244" s="520">
        <v>241</v>
      </c>
      <c r="B244" s="236" t="s">
        <v>193</v>
      </c>
      <c r="C244" s="236">
        <v>3</v>
      </c>
      <c r="D244" s="236"/>
      <c r="E244" s="236"/>
      <c r="F244" s="236" t="s">
        <v>55</v>
      </c>
      <c r="G244" s="236"/>
      <c r="H244" s="462" t="s">
        <v>480</v>
      </c>
      <c r="I244" s="340" t="s">
        <v>481</v>
      </c>
      <c r="J244" s="320">
        <v>40669</v>
      </c>
      <c r="K244" s="288" t="s">
        <v>8</v>
      </c>
      <c r="L244" s="354">
        <v>51</v>
      </c>
      <c r="M244" s="382">
        <v>46</v>
      </c>
      <c r="N244" s="383">
        <v>6</v>
      </c>
      <c r="O244" s="328">
        <v>479104</v>
      </c>
      <c r="P244" s="344">
        <v>49180</v>
      </c>
      <c r="Q244" s="297">
        <v>40942</v>
      </c>
    </row>
    <row r="245" spans="1:17" ht="12" customHeight="1">
      <c r="A245" s="520">
        <v>242</v>
      </c>
      <c r="B245" s="236" t="s">
        <v>193</v>
      </c>
      <c r="C245" s="236"/>
      <c r="D245" s="236"/>
      <c r="E245" s="236"/>
      <c r="F245" s="236" t="s">
        <v>55</v>
      </c>
      <c r="G245" s="236"/>
      <c r="H245" s="464" t="s">
        <v>141</v>
      </c>
      <c r="I245" s="288" t="s">
        <v>141</v>
      </c>
      <c r="J245" s="320">
        <v>40676</v>
      </c>
      <c r="K245" s="288" t="s">
        <v>12</v>
      </c>
      <c r="L245" s="312">
        <v>100</v>
      </c>
      <c r="M245" s="378">
        <v>372</v>
      </c>
      <c r="N245" s="379">
        <v>46</v>
      </c>
      <c r="O245" s="334">
        <v>1184752</v>
      </c>
      <c r="P245" s="338">
        <v>129821</v>
      </c>
      <c r="Q245" s="297">
        <v>40907</v>
      </c>
    </row>
    <row r="246" spans="1:17" ht="12" customHeight="1">
      <c r="A246" s="520">
        <v>243</v>
      </c>
      <c r="B246" s="236" t="s">
        <v>193</v>
      </c>
      <c r="C246" s="293"/>
      <c r="D246" s="236"/>
      <c r="E246" s="293"/>
      <c r="F246" s="236"/>
      <c r="G246" s="293"/>
      <c r="H246" s="462" t="s">
        <v>161</v>
      </c>
      <c r="I246" s="340" t="s">
        <v>164</v>
      </c>
      <c r="J246" s="320">
        <v>40837</v>
      </c>
      <c r="K246" s="288" t="s">
        <v>53</v>
      </c>
      <c r="L246" s="346">
        <v>33</v>
      </c>
      <c r="M246" s="378">
        <v>511</v>
      </c>
      <c r="N246" s="379">
        <v>50</v>
      </c>
      <c r="O246" s="325">
        <v>307870</v>
      </c>
      <c r="P246" s="355">
        <v>23173</v>
      </c>
      <c r="Q246" s="297">
        <v>40907</v>
      </c>
    </row>
    <row r="247" spans="1:17" ht="12" customHeight="1">
      <c r="A247" s="520">
        <v>244</v>
      </c>
      <c r="B247" s="236"/>
      <c r="C247" s="236">
        <v>3</v>
      </c>
      <c r="D247" s="236">
        <v>2</v>
      </c>
      <c r="E247" s="293"/>
      <c r="F247" s="236"/>
      <c r="G247" s="293"/>
      <c r="H247" s="364" t="s">
        <v>564</v>
      </c>
      <c r="I247" s="340" t="s">
        <v>563</v>
      </c>
      <c r="J247" s="297">
        <v>40586</v>
      </c>
      <c r="K247" s="288" t="s">
        <v>8</v>
      </c>
      <c r="L247" s="346">
        <v>90</v>
      </c>
      <c r="M247" s="382">
        <v>98096</v>
      </c>
      <c r="N247" s="383">
        <v>7734</v>
      </c>
      <c r="O247" s="328">
        <v>1295712</v>
      </c>
      <c r="P247" s="344">
        <v>103299</v>
      </c>
      <c r="Q247" s="297">
        <v>40963</v>
      </c>
    </row>
    <row r="248" spans="1:17" ht="12" customHeight="1">
      <c r="A248" s="520">
        <v>245</v>
      </c>
      <c r="B248" s="236"/>
      <c r="C248" s="236">
        <v>3</v>
      </c>
      <c r="D248" s="236">
        <v>2</v>
      </c>
      <c r="E248" s="293"/>
      <c r="F248" s="236"/>
      <c r="G248" s="293"/>
      <c r="H248" s="364" t="s">
        <v>564</v>
      </c>
      <c r="I248" s="340" t="s">
        <v>563</v>
      </c>
      <c r="J248" s="297">
        <v>40586</v>
      </c>
      <c r="K248" s="288" t="s">
        <v>8</v>
      </c>
      <c r="L248" s="346">
        <v>90</v>
      </c>
      <c r="M248" s="382">
        <v>60768</v>
      </c>
      <c r="N248" s="383">
        <v>4270</v>
      </c>
      <c r="O248" s="328">
        <v>1356480</v>
      </c>
      <c r="P248" s="344">
        <v>107569</v>
      </c>
      <c r="Q248" s="297">
        <v>40970</v>
      </c>
    </row>
    <row r="249" spans="1:17" ht="12" customHeight="1">
      <c r="A249" s="520">
        <v>246</v>
      </c>
      <c r="B249" s="236"/>
      <c r="C249" s="236">
        <v>3</v>
      </c>
      <c r="D249" s="236">
        <v>2</v>
      </c>
      <c r="E249" s="293"/>
      <c r="F249" s="236"/>
      <c r="G249" s="293"/>
      <c r="H249" s="364" t="s">
        <v>564</v>
      </c>
      <c r="I249" s="340" t="s">
        <v>563</v>
      </c>
      <c r="J249" s="297">
        <v>40586</v>
      </c>
      <c r="K249" s="288" t="s">
        <v>8</v>
      </c>
      <c r="L249" s="346">
        <v>90</v>
      </c>
      <c r="M249" s="382">
        <v>19569</v>
      </c>
      <c r="N249" s="383">
        <v>1214</v>
      </c>
      <c r="O249" s="328">
        <v>1376049</v>
      </c>
      <c r="P249" s="344">
        <v>108783</v>
      </c>
      <c r="Q249" s="297">
        <v>40977</v>
      </c>
    </row>
    <row r="250" spans="1:17" ht="12" customHeight="1">
      <c r="A250" s="520">
        <v>247</v>
      </c>
      <c r="B250" s="236"/>
      <c r="C250" s="236">
        <v>3</v>
      </c>
      <c r="D250" s="236">
        <v>2</v>
      </c>
      <c r="E250" s="293"/>
      <c r="F250" s="236"/>
      <c r="G250" s="293"/>
      <c r="H250" s="364" t="s">
        <v>564</v>
      </c>
      <c r="I250" s="340" t="s">
        <v>563</v>
      </c>
      <c r="J250" s="297">
        <v>40586</v>
      </c>
      <c r="K250" s="288" t="s">
        <v>8</v>
      </c>
      <c r="L250" s="452">
        <v>90</v>
      </c>
      <c r="M250" s="470">
        <v>4431</v>
      </c>
      <c r="N250" s="471">
        <v>281</v>
      </c>
      <c r="O250" s="448">
        <v>1380479</v>
      </c>
      <c r="P250" s="449">
        <v>109064</v>
      </c>
      <c r="Q250" s="297">
        <v>40984</v>
      </c>
    </row>
    <row r="251" spans="1:17" ht="12" customHeight="1">
      <c r="A251" s="520">
        <v>248</v>
      </c>
      <c r="B251" s="236"/>
      <c r="C251" s="236">
        <v>3</v>
      </c>
      <c r="D251" s="236">
        <v>2</v>
      </c>
      <c r="E251" s="293"/>
      <c r="F251" s="236"/>
      <c r="G251" s="293"/>
      <c r="H251" s="364" t="s">
        <v>564</v>
      </c>
      <c r="I251" s="340" t="s">
        <v>563</v>
      </c>
      <c r="J251" s="297">
        <v>40586</v>
      </c>
      <c r="K251" s="288" t="s">
        <v>8</v>
      </c>
      <c r="L251" s="346">
        <v>90</v>
      </c>
      <c r="M251" s="380">
        <v>1639</v>
      </c>
      <c r="N251" s="381">
        <v>114</v>
      </c>
      <c r="O251" s="342">
        <v>1383279</v>
      </c>
      <c r="P251" s="343">
        <v>109250</v>
      </c>
      <c r="Q251" s="297">
        <v>40998</v>
      </c>
    </row>
    <row r="252" spans="1:17" ht="12" customHeight="1">
      <c r="A252" s="520">
        <v>249</v>
      </c>
      <c r="B252" s="236"/>
      <c r="C252" s="236">
        <v>3</v>
      </c>
      <c r="D252" s="236">
        <v>2</v>
      </c>
      <c r="E252" s="293"/>
      <c r="F252" s="236"/>
      <c r="G252" s="293"/>
      <c r="H252" s="364" t="s">
        <v>564</v>
      </c>
      <c r="I252" s="340" t="s">
        <v>563</v>
      </c>
      <c r="J252" s="297">
        <v>40586</v>
      </c>
      <c r="K252" s="288" t="s">
        <v>8</v>
      </c>
      <c r="L252" s="452">
        <v>90</v>
      </c>
      <c r="M252" s="382">
        <v>1161</v>
      </c>
      <c r="N252" s="383">
        <v>72</v>
      </c>
      <c r="O252" s="328">
        <v>1381640</v>
      </c>
      <c r="P252" s="344">
        <v>109136</v>
      </c>
      <c r="Q252" s="297">
        <v>40991</v>
      </c>
    </row>
    <row r="253" spans="1:17" ht="12" customHeight="1">
      <c r="A253" s="520">
        <v>250</v>
      </c>
      <c r="B253" s="293"/>
      <c r="C253" s="293"/>
      <c r="D253" s="236"/>
      <c r="E253" s="293"/>
      <c r="F253" s="293"/>
      <c r="G253" s="236" t="s">
        <v>54</v>
      </c>
      <c r="H253" s="363" t="s">
        <v>660</v>
      </c>
      <c r="I253" s="331" t="s">
        <v>660</v>
      </c>
      <c r="J253" s="320">
        <v>40550</v>
      </c>
      <c r="K253" s="288" t="s">
        <v>53</v>
      </c>
      <c r="L253" s="346">
        <v>243</v>
      </c>
      <c r="M253" s="378">
        <v>2402</v>
      </c>
      <c r="N253" s="379">
        <v>481</v>
      </c>
      <c r="O253" s="334">
        <f>3050831.5+2178855.5+1196710.5+496983-200+210922.5+72277.5+4+43197.5+17348.5+5963-21+911+2090+3211+288+13851+660+6810+66+156+103+3603+1201+2402</f>
        <v>7308224.5</v>
      </c>
      <c r="P253" s="338">
        <f>393137+282255+156413+64920+60+27548+10641+7089+3227+1196+161+455+643+72+2547+132+1127+11+26+25+720+240+481</f>
        <v>953126</v>
      </c>
      <c r="Q253" s="297">
        <v>41033</v>
      </c>
    </row>
    <row r="254" spans="1:17" ht="12" customHeight="1">
      <c r="A254" s="520">
        <v>251</v>
      </c>
      <c r="B254" s="293"/>
      <c r="C254" s="293"/>
      <c r="D254" s="236"/>
      <c r="E254" s="293"/>
      <c r="F254" s="293"/>
      <c r="G254" s="236" t="s">
        <v>54</v>
      </c>
      <c r="H254" s="363" t="s">
        <v>660</v>
      </c>
      <c r="I254" s="331" t="s">
        <v>660</v>
      </c>
      <c r="J254" s="320">
        <v>40550</v>
      </c>
      <c r="K254" s="288" t="s">
        <v>53</v>
      </c>
      <c r="L254" s="340">
        <v>243</v>
      </c>
      <c r="M254" s="378">
        <v>1201</v>
      </c>
      <c r="N254" s="379">
        <v>240</v>
      </c>
      <c r="O254" s="334">
        <f>3050831.5+2178855.5+1196710.5+496983-200+210922.5+72277.5+4+43197.5+17348.5+5963-21+911+2090+3211+288+13851+660+6810+66+156+103+3603+1201</f>
        <v>7305822.5</v>
      </c>
      <c r="P254" s="338">
        <f>393137+282255+156413+64920+60+27548+10641+7089+3227+1196+161+455+643+72+2547+132+1127+11+26+25+720+240</f>
        <v>952645</v>
      </c>
      <c r="Q254" s="297">
        <v>40998</v>
      </c>
    </row>
    <row r="255" spans="1:17" ht="12" customHeight="1">
      <c r="A255" s="520">
        <v>252</v>
      </c>
      <c r="B255" s="236"/>
      <c r="C255" s="236"/>
      <c r="D255" s="236"/>
      <c r="E255" s="236"/>
      <c r="F255" s="236"/>
      <c r="G255" s="236"/>
      <c r="H255" s="463" t="s">
        <v>586</v>
      </c>
      <c r="I255" s="288" t="s">
        <v>587</v>
      </c>
      <c r="J255" s="320">
        <v>40922</v>
      </c>
      <c r="K255" s="288" t="s">
        <v>289</v>
      </c>
      <c r="L255" s="312">
        <v>7</v>
      </c>
      <c r="M255" s="378">
        <v>2376</v>
      </c>
      <c r="N255" s="379">
        <v>476</v>
      </c>
      <c r="O255" s="334">
        <v>108609</v>
      </c>
      <c r="P255" s="338">
        <v>8894</v>
      </c>
      <c r="Q255" s="297">
        <v>40970</v>
      </c>
    </row>
    <row r="256" spans="1:17" ht="12" customHeight="1">
      <c r="A256" s="520">
        <v>253</v>
      </c>
      <c r="B256" s="236"/>
      <c r="C256" s="236"/>
      <c r="D256" s="236"/>
      <c r="E256" s="236"/>
      <c r="F256" s="236"/>
      <c r="G256" s="236"/>
      <c r="H256" s="463" t="s">
        <v>586</v>
      </c>
      <c r="I256" s="288" t="s">
        <v>587</v>
      </c>
      <c r="J256" s="320">
        <v>40922</v>
      </c>
      <c r="K256" s="288" t="s">
        <v>289</v>
      </c>
      <c r="L256" s="313">
        <v>7</v>
      </c>
      <c r="M256" s="378">
        <v>2376</v>
      </c>
      <c r="N256" s="379">
        <v>476</v>
      </c>
      <c r="O256" s="334">
        <v>110985</v>
      </c>
      <c r="P256" s="338">
        <v>9370</v>
      </c>
      <c r="Q256" s="297">
        <v>41005</v>
      </c>
    </row>
    <row r="257" spans="1:17" ht="12" customHeight="1">
      <c r="A257" s="520">
        <v>254</v>
      </c>
      <c r="B257" s="236"/>
      <c r="C257" s="236"/>
      <c r="D257" s="236"/>
      <c r="E257" s="236"/>
      <c r="F257" s="236"/>
      <c r="G257" s="236"/>
      <c r="H257" s="463" t="s">
        <v>586</v>
      </c>
      <c r="I257" s="312"/>
      <c r="J257" s="370">
        <v>40922</v>
      </c>
      <c r="K257" s="288" t="s">
        <v>289</v>
      </c>
      <c r="L257" s="312">
        <v>7</v>
      </c>
      <c r="M257" s="378">
        <v>2376</v>
      </c>
      <c r="N257" s="379">
        <v>475</v>
      </c>
      <c r="O257" s="334">
        <v>113361</v>
      </c>
      <c r="P257" s="338">
        <v>9845</v>
      </c>
      <c r="Q257" s="297">
        <v>41026</v>
      </c>
    </row>
    <row r="258" spans="1:17" ht="12" customHeight="1">
      <c r="A258" s="520">
        <v>255</v>
      </c>
      <c r="B258" s="236"/>
      <c r="C258" s="236"/>
      <c r="D258" s="236"/>
      <c r="E258" s="236"/>
      <c r="F258" s="236"/>
      <c r="G258" s="236"/>
      <c r="H258" s="464" t="s">
        <v>148</v>
      </c>
      <c r="I258" s="288" t="s">
        <v>153</v>
      </c>
      <c r="J258" s="297">
        <v>40886</v>
      </c>
      <c r="K258" s="288" t="s">
        <v>13</v>
      </c>
      <c r="L258" s="312">
        <v>3</v>
      </c>
      <c r="M258" s="378">
        <v>3735</v>
      </c>
      <c r="N258" s="379">
        <v>565</v>
      </c>
      <c r="O258" s="334">
        <v>14161</v>
      </c>
      <c r="P258" s="338">
        <v>2041</v>
      </c>
      <c r="Q258" s="297">
        <v>40921</v>
      </c>
    </row>
    <row r="259" spans="1:17" ht="12" customHeight="1">
      <c r="A259" s="520">
        <v>256</v>
      </c>
      <c r="B259" s="236"/>
      <c r="C259" s="236"/>
      <c r="D259" s="236"/>
      <c r="E259" s="236"/>
      <c r="F259" s="236"/>
      <c r="G259" s="236"/>
      <c r="H259" s="360" t="s">
        <v>148</v>
      </c>
      <c r="I259" s="288" t="s">
        <v>153</v>
      </c>
      <c r="J259" s="297">
        <v>40886</v>
      </c>
      <c r="K259" s="288" t="s">
        <v>13</v>
      </c>
      <c r="L259" s="312">
        <v>3</v>
      </c>
      <c r="M259" s="378">
        <v>2376</v>
      </c>
      <c r="N259" s="379">
        <v>476</v>
      </c>
      <c r="O259" s="334">
        <v>24341</v>
      </c>
      <c r="P259" s="338">
        <v>3690</v>
      </c>
      <c r="Q259" s="297">
        <v>40970</v>
      </c>
    </row>
    <row r="260" spans="1:17" ht="12" customHeight="1">
      <c r="A260" s="520">
        <v>257</v>
      </c>
      <c r="B260" s="236"/>
      <c r="C260" s="236"/>
      <c r="D260" s="236"/>
      <c r="E260" s="236"/>
      <c r="F260" s="236"/>
      <c r="G260" s="236"/>
      <c r="H260" s="360" t="s">
        <v>148</v>
      </c>
      <c r="I260" s="288" t="s">
        <v>153</v>
      </c>
      <c r="J260" s="297">
        <v>40886</v>
      </c>
      <c r="K260" s="288" t="s">
        <v>13</v>
      </c>
      <c r="L260" s="312">
        <v>3</v>
      </c>
      <c r="M260" s="378">
        <v>2127</v>
      </c>
      <c r="N260" s="379">
        <v>377</v>
      </c>
      <c r="O260" s="334">
        <v>21965</v>
      </c>
      <c r="P260" s="338">
        <v>3214</v>
      </c>
      <c r="Q260" s="297">
        <v>40949</v>
      </c>
    </row>
    <row r="261" spans="1:17" ht="12" customHeight="1">
      <c r="A261" s="520">
        <v>258</v>
      </c>
      <c r="B261" s="236"/>
      <c r="C261" s="236"/>
      <c r="D261" s="236"/>
      <c r="E261" s="236"/>
      <c r="F261" s="236"/>
      <c r="G261" s="236"/>
      <c r="H261" s="464" t="s">
        <v>148</v>
      </c>
      <c r="I261" s="288" t="s">
        <v>153</v>
      </c>
      <c r="J261" s="297">
        <v>40886</v>
      </c>
      <c r="K261" s="288" t="s">
        <v>13</v>
      </c>
      <c r="L261" s="312">
        <v>3</v>
      </c>
      <c r="M261" s="378">
        <v>2071</v>
      </c>
      <c r="N261" s="379">
        <v>307</v>
      </c>
      <c r="O261" s="334">
        <v>18615</v>
      </c>
      <c r="P261" s="442">
        <v>2718</v>
      </c>
      <c r="Q261" s="297">
        <v>40935</v>
      </c>
    </row>
    <row r="262" spans="1:17" ht="12" customHeight="1">
      <c r="A262" s="520">
        <v>259</v>
      </c>
      <c r="B262" s="236"/>
      <c r="C262" s="236"/>
      <c r="D262" s="236"/>
      <c r="E262" s="236"/>
      <c r="F262" s="236"/>
      <c r="G262" s="236"/>
      <c r="H262" s="464" t="s">
        <v>148</v>
      </c>
      <c r="I262" s="288" t="s">
        <v>153</v>
      </c>
      <c r="J262" s="297">
        <v>40886</v>
      </c>
      <c r="K262" s="288" t="s">
        <v>13</v>
      </c>
      <c r="L262" s="312">
        <v>3</v>
      </c>
      <c r="M262" s="378">
        <v>1223</v>
      </c>
      <c r="N262" s="379">
        <v>119</v>
      </c>
      <c r="O262" s="334">
        <v>19838</v>
      </c>
      <c r="P262" s="442">
        <v>2837</v>
      </c>
      <c r="Q262" s="297">
        <v>40942</v>
      </c>
    </row>
    <row r="263" spans="1:17" ht="12" customHeight="1">
      <c r="A263" s="520">
        <v>260</v>
      </c>
      <c r="B263" s="236"/>
      <c r="C263" s="236"/>
      <c r="D263" s="236"/>
      <c r="E263" s="236"/>
      <c r="F263" s="236"/>
      <c r="G263" s="236"/>
      <c r="H263" s="360" t="s">
        <v>148</v>
      </c>
      <c r="I263" s="288" t="s">
        <v>153</v>
      </c>
      <c r="J263" s="297">
        <v>40886</v>
      </c>
      <c r="K263" s="288" t="s">
        <v>13</v>
      </c>
      <c r="L263" s="312">
        <v>3</v>
      </c>
      <c r="M263" s="378">
        <v>1188</v>
      </c>
      <c r="N263" s="379">
        <v>238</v>
      </c>
      <c r="O263" s="334">
        <v>27167</v>
      </c>
      <c r="P263" s="338">
        <v>4186</v>
      </c>
      <c r="Q263" s="297">
        <v>41005</v>
      </c>
    </row>
    <row r="264" spans="1:17" ht="12" customHeight="1">
      <c r="A264" s="520">
        <v>261</v>
      </c>
      <c r="B264" s="236"/>
      <c r="C264" s="236"/>
      <c r="D264" s="236"/>
      <c r="E264" s="236"/>
      <c r="F264" s="236"/>
      <c r="G264" s="236"/>
      <c r="H264" s="360" t="s">
        <v>148</v>
      </c>
      <c r="I264" s="288" t="s">
        <v>153</v>
      </c>
      <c r="J264" s="297">
        <v>40886</v>
      </c>
      <c r="K264" s="288" t="s">
        <v>13</v>
      </c>
      <c r="L264" s="312">
        <v>3</v>
      </c>
      <c r="M264" s="378">
        <v>612</v>
      </c>
      <c r="N264" s="379">
        <v>102</v>
      </c>
      <c r="O264" s="334">
        <v>25979</v>
      </c>
      <c r="P264" s="338">
        <v>3948</v>
      </c>
      <c r="Q264" s="297">
        <v>40991</v>
      </c>
    </row>
    <row r="265" spans="1:17" ht="12" customHeight="1">
      <c r="A265" s="520">
        <v>262</v>
      </c>
      <c r="B265" s="236"/>
      <c r="C265" s="236"/>
      <c r="D265" s="236"/>
      <c r="E265" s="236"/>
      <c r="F265" s="236"/>
      <c r="G265" s="236"/>
      <c r="H265" s="464" t="s">
        <v>148</v>
      </c>
      <c r="I265" s="288" t="s">
        <v>153</v>
      </c>
      <c r="J265" s="297">
        <v>40886</v>
      </c>
      <c r="K265" s="288" t="s">
        <v>13</v>
      </c>
      <c r="L265" s="312">
        <v>3</v>
      </c>
      <c r="M265" s="378">
        <v>453</v>
      </c>
      <c r="N265" s="379">
        <v>74</v>
      </c>
      <c r="O265" s="334">
        <v>16544</v>
      </c>
      <c r="P265" s="338">
        <v>2411</v>
      </c>
      <c r="Q265" s="297">
        <v>40928</v>
      </c>
    </row>
    <row r="266" spans="1:17" ht="12" customHeight="1">
      <c r="A266" s="520">
        <v>263</v>
      </c>
      <c r="B266" s="236"/>
      <c r="C266" s="236"/>
      <c r="D266" s="236"/>
      <c r="E266" s="236"/>
      <c r="F266" s="236"/>
      <c r="G266" s="236"/>
      <c r="H266" s="464" t="s">
        <v>148</v>
      </c>
      <c r="I266" s="288" t="s">
        <v>153</v>
      </c>
      <c r="J266" s="297">
        <v>40886</v>
      </c>
      <c r="K266" s="288" t="s">
        <v>13</v>
      </c>
      <c r="L266" s="312">
        <v>3</v>
      </c>
      <c r="M266" s="378">
        <v>402</v>
      </c>
      <c r="N266" s="379">
        <v>90</v>
      </c>
      <c r="O266" s="334">
        <v>12356</v>
      </c>
      <c r="P266" s="338">
        <v>1772</v>
      </c>
      <c r="Q266" s="297">
        <v>40914</v>
      </c>
    </row>
    <row r="267" spans="1:17" ht="12" customHeight="1">
      <c r="A267" s="520">
        <v>264</v>
      </c>
      <c r="B267" s="236"/>
      <c r="C267" s="236"/>
      <c r="D267" s="236"/>
      <c r="E267" s="236"/>
      <c r="F267" s="236"/>
      <c r="G267" s="236"/>
      <c r="H267" s="464" t="s">
        <v>148</v>
      </c>
      <c r="I267" s="288" t="s">
        <v>153</v>
      </c>
      <c r="J267" s="297">
        <v>40886</v>
      </c>
      <c r="K267" s="288" t="s">
        <v>13</v>
      </c>
      <c r="L267" s="312">
        <v>3</v>
      </c>
      <c r="M267" s="378">
        <v>368</v>
      </c>
      <c r="N267" s="379">
        <v>44</v>
      </c>
      <c r="O267" s="334">
        <v>11954</v>
      </c>
      <c r="P267" s="338">
        <v>1682</v>
      </c>
      <c r="Q267" s="297">
        <v>40907</v>
      </c>
    </row>
    <row r="268" spans="1:17" ht="12" customHeight="1">
      <c r="A268" s="520">
        <v>265</v>
      </c>
      <c r="B268" s="236"/>
      <c r="C268" s="236"/>
      <c r="D268" s="236"/>
      <c r="E268" s="236"/>
      <c r="F268" s="236"/>
      <c r="G268" s="236"/>
      <c r="H268" s="360" t="s">
        <v>148</v>
      </c>
      <c r="I268" s="288" t="s">
        <v>153</v>
      </c>
      <c r="J268" s="297">
        <v>40886</v>
      </c>
      <c r="K268" s="288" t="s">
        <v>13</v>
      </c>
      <c r="L268" s="312">
        <v>3</v>
      </c>
      <c r="M268" s="378">
        <v>354</v>
      </c>
      <c r="N268" s="379">
        <v>44</v>
      </c>
      <c r="O268" s="334">
        <v>24695</v>
      </c>
      <c r="P268" s="338">
        <v>3734</v>
      </c>
      <c r="Q268" s="297">
        <v>40977</v>
      </c>
    </row>
    <row r="269" spans="1:17" ht="12" customHeight="1">
      <c r="A269" s="520">
        <v>266</v>
      </c>
      <c r="B269" s="236"/>
      <c r="C269" s="236"/>
      <c r="D269" s="236"/>
      <c r="E269" s="236"/>
      <c r="F269" s="236"/>
      <c r="G269" s="236"/>
      <c r="H269" s="366" t="s">
        <v>829</v>
      </c>
      <c r="I269" s="339" t="s">
        <v>830</v>
      </c>
      <c r="J269" s="320">
        <v>40151</v>
      </c>
      <c r="K269" s="288" t="s">
        <v>68</v>
      </c>
      <c r="L269" s="312">
        <v>2</v>
      </c>
      <c r="M269" s="382">
        <v>3326.5</v>
      </c>
      <c r="N269" s="383">
        <v>665</v>
      </c>
      <c r="O269" s="328">
        <f>14952+6112+2196+2975+2853+674+1006+530+2139+2138.5+3326.5</f>
        <v>38902</v>
      </c>
      <c r="P269" s="344">
        <f>1468+666+254+478+502+81+130+107+535+534+665</f>
        <v>5420</v>
      </c>
      <c r="Q269" s="297">
        <v>41033</v>
      </c>
    </row>
    <row r="270" spans="1:17" ht="12" customHeight="1">
      <c r="A270" s="520">
        <v>267</v>
      </c>
      <c r="B270" s="236" t="s">
        <v>193</v>
      </c>
      <c r="C270" s="236">
        <v>3</v>
      </c>
      <c r="D270" s="293"/>
      <c r="E270" s="236" t="s">
        <v>250</v>
      </c>
      <c r="F270" s="236" t="s">
        <v>55</v>
      </c>
      <c r="G270" s="236"/>
      <c r="H270" s="459" t="s">
        <v>393</v>
      </c>
      <c r="I270" s="339" t="s">
        <v>399</v>
      </c>
      <c r="J270" s="320">
        <v>39995</v>
      </c>
      <c r="K270" s="288" t="s">
        <v>68</v>
      </c>
      <c r="L270" s="312">
        <v>209</v>
      </c>
      <c r="M270" s="382">
        <v>1188</v>
      </c>
      <c r="N270" s="383">
        <v>297</v>
      </c>
      <c r="O270" s="328">
        <f>11405777.5+385+1188+6614+2968+1417+277+2612+1424+952+1780+952+364.5+1188+1188+2852+3019.5+305+1188+286+1188</f>
        <v>11437925.5</v>
      </c>
      <c r="P270" s="344">
        <f>1424397+63+297+1638+742+364+66+653+356+238+445+238+27+297+297+713+734+61+297+71+297</f>
        <v>1432291</v>
      </c>
      <c r="Q270" s="297">
        <v>40928</v>
      </c>
    </row>
    <row r="271" spans="1:17" ht="12" customHeight="1">
      <c r="A271" s="520">
        <v>268</v>
      </c>
      <c r="B271" s="236" t="s">
        <v>193</v>
      </c>
      <c r="C271" s="236">
        <v>3</v>
      </c>
      <c r="D271" s="293"/>
      <c r="E271" s="236" t="s">
        <v>250</v>
      </c>
      <c r="F271" s="236" t="s">
        <v>55</v>
      </c>
      <c r="G271" s="236"/>
      <c r="H271" s="366" t="s">
        <v>393</v>
      </c>
      <c r="I271" s="339" t="s">
        <v>399</v>
      </c>
      <c r="J271" s="320">
        <v>39995</v>
      </c>
      <c r="K271" s="288" t="s">
        <v>68</v>
      </c>
      <c r="L271" s="312">
        <v>209</v>
      </c>
      <c r="M271" s="382">
        <v>950</v>
      </c>
      <c r="N271" s="383">
        <v>190</v>
      </c>
      <c r="O271" s="328">
        <f>11405777.5+385+1188+6614+2968+1417+277+2612+1424+952+1780+952+364.5+1188+1188+2852+3019.5+305+1188+286+1188+2375+950</f>
        <v>11441250.5</v>
      </c>
      <c r="P271" s="344">
        <f>1424397+63+297+1638+742+364+66+653+356+238+445+238+27+297+297+713+734+61+297+71+297+475+190</f>
        <v>1432956</v>
      </c>
      <c r="Q271" s="297">
        <v>41019</v>
      </c>
    </row>
    <row r="272" spans="1:17" ht="12" customHeight="1">
      <c r="A272" s="520">
        <v>269</v>
      </c>
      <c r="B272" s="236"/>
      <c r="C272" s="236">
        <v>3</v>
      </c>
      <c r="D272" s="236"/>
      <c r="E272" s="236"/>
      <c r="F272" s="236"/>
      <c r="G272" s="236"/>
      <c r="H272" s="463" t="s">
        <v>72</v>
      </c>
      <c r="I272" s="312" t="s">
        <v>166</v>
      </c>
      <c r="J272" s="320">
        <v>40858</v>
      </c>
      <c r="K272" s="288" t="s">
        <v>8</v>
      </c>
      <c r="L272" s="312">
        <v>132</v>
      </c>
      <c r="M272" s="382">
        <v>11571</v>
      </c>
      <c r="N272" s="383">
        <v>1573</v>
      </c>
      <c r="O272" s="328">
        <v>314058</v>
      </c>
      <c r="P272" s="344">
        <v>39844</v>
      </c>
      <c r="Q272" s="297">
        <v>40907</v>
      </c>
    </row>
    <row r="273" spans="1:17" ht="12" customHeight="1">
      <c r="A273" s="520">
        <v>270</v>
      </c>
      <c r="B273" s="236"/>
      <c r="C273" s="236">
        <v>3</v>
      </c>
      <c r="D273" s="236"/>
      <c r="E273" s="236"/>
      <c r="F273" s="236"/>
      <c r="G273" s="236"/>
      <c r="H273" s="463" t="s">
        <v>72</v>
      </c>
      <c r="I273" s="312" t="s">
        <v>166</v>
      </c>
      <c r="J273" s="320">
        <v>40858</v>
      </c>
      <c r="K273" s="288" t="s">
        <v>8</v>
      </c>
      <c r="L273" s="312">
        <v>132</v>
      </c>
      <c r="M273" s="382">
        <v>6952</v>
      </c>
      <c r="N273" s="383">
        <v>968</v>
      </c>
      <c r="O273" s="328">
        <v>6001835</v>
      </c>
      <c r="P273" s="344">
        <v>539058</v>
      </c>
      <c r="Q273" s="297">
        <v>40914</v>
      </c>
    </row>
    <row r="274" spans="1:17" ht="12" customHeight="1">
      <c r="A274" s="520">
        <v>271</v>
      </c>
      <c r="B274" s="236"/>
      <c r="C274" s="236">
        <v>3</v>
      </c>
      <c r="D274" s="236"/>
      <c r="E274" s="236"/>
      <c r="F274" s="236"/>
      <c r="G274" s="236"/>
      <c r="H274" s="463" t="s">
        <v>72</v>
      </c>
      <c r="I274" s="312" t="s">
        <v>166</v>
      </c>
      <c r="J274" s="320">
        <v>40858</v>
      </c>
      <c r="K274" s="288" t="s">
        <v>8</v>
      </c>
      <c r="L274" s="312">
        <v>132</v>
      </c>
      <c r="M274" s="382">
        <v>4936</v>
      </c>
      <c r="N274" s="383">
        <v>726</v>
      </c>
      <c r="O274" s="328">
        <v>6011645</v>
      </c>
      <c r="P274" s="344">
        <v>540678</v>
      </c>
      <c r="Q274" s="297">
        <v>40928</v>
      </c>
    </row>
    <row r="275" spans="1:17" ht="12" customHeight="1">
      <c r="A275" s="520">
        <v>272</v>
      </c>
      <c r="B275" s="236"/>
      <c r="C275" s="236">
        <v>3</v>
      </c>
      <c r="D275" s="236"/>
      <c r="E275" s="236"/>
      <c r="F275" s="236"/>
      <c r="G275" s="236"/>
      <c r="H275" s="463" t="s">
        <v>72</v>
      </c>
      <c r="I275" s="312" t="s">
        <v>166</v>
      </c>
      <c r="J275" s="320">
        <v>40858</v>
      </c>
      <c r="K275" s="288" t="s">
        <v>8</v>
      </c>
      <c r="L275" s="312">
        <v>132</v>
      </c>
      <c r="M275" s="384">
        <v>4875</v>
      </c>
      <c r="N275" s="385">
        <v>894</v>
      </c>
      <c r="O275" s="328">
        <v>6004374</v>
      </c>
      <c r="P275" s="344">
        <v>539462</v>
      </c>
      <c r="Q275" s="297">
        <v>40921</v>
      </c>
    </row>
    <row r="276" spans="1:17" ht="12" customHeight="1">
      <c r="A276" s="520">
        <v>273</v>
      </c>
      <c r="B276" s="236"/>
      <c r="C276" s="236">
        <v>3</v>
      </c>
      <c r="D276" s="236"/>
      <c r="E276" s="236"/>
      <c r="F276" s="236"/>
      <c r="G276" s="236"/>
      <c r="H276" s="361" t="s">
        <v>72</v>
      </c>
      <c r="I276" s="312" t="s">
        <v>166</v>
      </c>
      <c r="J276" s="320">
        <v>40858</v>
      </c>
      <c r="K276" s="288" t="s">
        <v>8</v>
      </c>
      <c r="L276" s="312">
        <v>132</v>
      </c>
      <c r="M276" s="382">
        <v>1437</v>
      </c>
      <c r="N276" s="383">
        <v>505</v>
      </c>
      <c r="O276" s="328">
        <v>6014227</v>
      </c>
      <c r="P276" s="344">
        <v>541312</v>
      </c>
      <c r="Q276" s="297">
        <v>40949</v>
      </c>
    </row>
    <row r="277" spans="1:17" ht="12" customHeight="1">
      <c r="A277" s="520">
        <v>274</v>
      </c>
      <c r="B277" s="236"/>
      <c r="C277" s="236">
        <v>3</v>
      </c>
      <c r="D277" s="236"/>
      <c r="E277" s="236"/>
      <c r="F277" s="236"/>
      <c r="G277" s="236"/>
      <c r="H277" s="463" t="s">
        <v>72</v>
      </c>
      <c r="I277" s="312" t="s">
        <v>166</v>
      </c>
      <c r="J277" s="320">
        <v>40858</v>
      </c>
      <c r="K277" s="288" t="s">
        <v>8</v>
      </c>
      <c r="L277" s="312">
        <v>132</v>
      </c>
      <c r="M277" s="382">
        <v>617</v>
      </c>
      <c r="N277" s="383">
        <v>72</v>
      </c>
      <c r="O277" s="328">
        <v>6012790</v>
      </c>
      <c r="P277" s="344">
        <v>540807</v>
      </c>
      <c r="Q277" s="297">
        <v>40942</v>
      </c>
    </row>
    <row r="278" spans="1:17" ht="12" customHeight="1">
      <c r="A278" s="520">
        <v>275</v>
      </c>
      <c r="B278" s="236"/>
      <c r="C278" s="236">
        <v>3</v>
      </c>
      <c r="D278" s="236"/>
      <c r="E278" s="236"/>
      <c r="F278" s="236"/>
      <c r="G278" s="236"/>
      <c r="H278" s="463" t="s">
        <v>72</v>
      </c>
      <c r="I278" s="312" t="s">
        <v>166</v>
      </c>
      <c r="J278" s="320">
        <v>40858</v>
      </c>
      <c r="K278" s="288" t="s">
        <v>8</v>
      </c>
      <c r="L278" s="312">
        <v>132</v>
      </c>
      <c r="M278" s="384">
        <v>528</v>
      </c>
      <c r="N278" s="385">
        <v>57</v>
      </c>
      <c r="O278" s="332">
        <v>6012173</v>
      </c>
      <c r="P278" s="333">
        <v>540735</v>
      </c>
      <c r="Q278" s="297">
        <v>40935</v>
      </c>
    </row>
    <row r="279" spans="1:17" ht="12" customHeight="1">
      <c r="A279" s="520">
        <v>276</v>
      </c>
      <c r="B279" s="236"/>
      <c r="C279" s="236">
        <v>3</v>
      </c>
      <c r="D279" s="236"/>
      <c r="E279" s="236"/>
      <c r="F279" s="236"/>
      <c r="G279" s="236"/>
      <c r="H279" s="361" t="s">
        <v>72</v>
      </c>
      <c r="I279" s="312" t="s">
        <v>166</v>
      </c>
      <c r="J279" s="320">
        <v>40858</v>
      </c>
      <c r="K279" s="288" t="s">
        <v>8</v>
      </c>
      <c r="L279" s="312">
        <v>132</v>
      </c>
      <c r="M279" s="382">
        <v>388</v>
      </c>
      <c r="N279" s="383">
        <v>60</v>
      </c>
      <c r="O279" s="328">
        <v>6014615</v>
      </c>
      <c r="P279" s="344">
        <v>541372</v>
      </c>
      <c r="Q279" s="297">
        <v>40977</v>
      </c>
    </row>
    <row r="280" spans="1:17" ht="12" customHeight="1">
      <c r="A280" s="520">
        <v>277</v>
      </c>
      <c r="B280" s="236"/>
      <c r="C280" s="236">
        <v>3</v>
      </c>
      <c r="D280" s="236"/>
      <c r="E280" s="236"/>
      <c r="F280" s="236"/>
      <c r="G280" s="236"/>
      <c r="H280" s="361" t="s">
        <v>72</v>
      </c>
      <c r="I280" s="312" t="s">
        <v>166</v>
      </c>
      <c r="J280" s="320">
        <v>40858</v>
      </c>
      <c r="K280" s="288" t="s">
        <v>8</v>
      </c>
      <c r="L280" s="313">
        <v>132</v>
      </c>
      <c r="M280" s="380">
        <v>309</v>
      </c>
      <c r="N280" s="381">
        <v>50</v>
      </c>
      <c r="O280" s="342">
        <v>6014924</v>
      </c>
      <c r="P280" s="343">
        <v>541422</v>
      </c>
      <c r="Q280" s="297">
        <v>40998</v>
      </c>
    </row>
    <row r="281" spans="1:17" ht="12" customHeight="1">
      <c r="A281" s="520">
        <v>278</v>
      </c>
      <c r="B281" s="236"/>
      <c r="C281" s="236">
        <v>3</v>
      </c>
      <c r="D281" s="236"/>
      <c r="E281" s="236"/>
      <c r="F281" s="236"/>
      <c r="G281" s="236"/>
      <c r="H281" s="361" t="s">
        <v>72</v>
      </c>
      <c r="I281" s="312" t="s">
        <v>166</v>
      </c>
      <c r="J281" s="320">
        <v>40858</v>
      </c>
      <c r="K281" s="288" t="s">
        <v>8</v>
      </c>
      <c r="L281" s="312">
        <v>132</v>
      </c>
      <c r="M281" s="380">
        <v>99</v>
      </c>
      <c r="N281" s="381">
        <v>16</v>
      </c>
      <c r="O281" s="342">
        <v>6015023</v>
      </c>
      <c r="P281" s="343">
        <v>541438</v>
      </c>
      <c r="Q281" s="297">
        <v>41005</v>
      </c>
    </row>
    <row r="282" spans="1:17" ht="12" customHeight="1">
      <c r="A282" s="520">
        <v>279</v>
      </c>
      <c r="B282" s="236"/>
      <c r="C282" s="236">
        <v>3</v>
      </c>
      <c r="D282" s="236"/>
      <c r="E282" s="236"/>
      <c r="F282" s="236"/>
      <c r="G282" s="236"/>
      <c r="H282" s="361" t="s">
        <v>72</v>
      </c>
      <c r="I282" s="312" t="s">
        <v>166</v>
      </c>
      <c r="J282" s="370">
        <v>40858</v>
      </c>
      <c r="K282" s="288" t="s">
        <v>8</v>
      </c>
      <c r="L282" s="313">
        <v>132</v>
      </c>
      <c r="M282" s="468">
        <v>99</v>
      </c>
      <c r="N282" s="469">
        <v>16</v>
      </c>
      <c r="O282" s="316">
        <v>6014993</v>
      </c>
      <c r="P282" s="356">
        <v>541433</v>
      </c>
      <c r="Q282" s="297">
        <v>41012</v>
      </c>
    </row>
    <row r="283" spans="1:17" ht="12" customHeight="1">
      <c r="A283" s="520">
        <v>280</v>
      </c>
      <c r="B283" s="236"/>
      <c r="C283" s="236"/>
      <c r="D283" s="293"/>
      <c r="E283" s="236" t="s">
        <v>250</v>
      </c>
      <c r="F283" s="236" t="s">
        <v>55</v>
      </c>
      <c r="G283" s="236"/>
      <c r="H283" s="366" t="s">
        <v>388</v>
      </c>
      <c r="I283" s="339" t="s">
        <v>403</v>
      </c>
      <c r="J283" s="320">
        <v>39738</v>
      </c>
      <c r="K283" s="288" t="s">
        <v>68</v>
      </c>
      <c r="L283" s="312">
        <v>67</v>
      </c>
      <c r="M283" s="382">
        <v>8550</v>
      </c>
      <c r="N283" s="383">
        <v>1710</v>
      </c>
      <c r="O283" s="328">
        <f>575413.5+2968+2376+2737+2376+2376+4752+2376+952+1780+226+286+162+6416+4040+1780+1780+1192+3102+1425+8550</f>
        <v>627065.5</v>
      </c>
      <c r="P283" s="344">
        <f>83313+742+594+635+594+594+1188+594+238+445+36+42+39+1604+1010+356+356+571+1512+285+1710</f>
        <v>96458</v>
      </c>
      <c r="Q283" s="297">
        <v>41033</v>
      </c>
    </row>
    <row r="284" spans="1:17" ht="12" customHeight="1">
      <c r="A284" s="520">
        <v>281</v>
      </c>
      <c r="B284" s="236"/>
      <c r="C284" s="236"/>
      <c r="D284" s="293"/>
      <c r="E284" s="236" t="s">
        <v>250</v>
      </c>
      <c r="F284" s="236" t="s">
        <v>55</v>
      </c>
      <c r="G284" s="236"/>
      <c r="H284" s="459" t="s">
        <v>388</v>
      </c>
      <c r="I284" s="339" t="s">
        <v>403</v>
      </c>
      <c r="J284" s="320">
        <v>39738</v>
      </c>
      <c r="K284" s="288" t="s">
        <v>68</v>
      </c>
      <c r="L284" s="312">
        <v>67</v>
      </c>
      <c r="M284" s="382">
        <v>4040</v>
      </c>
      <c r="N284" s="383">
        <v>1010</v>
      </c>
      <c r="O284" s="328">
        <f>575413.5+2968+2376+2737+2376+2376+4752+2376+952+1780+226+286+162+6416+4040</f>
        <v>609236.5</v>
      </c>
      <c r="P284" s="344">
        <f>83313+742+594+635+594+594+1188+594+238+445+36+42+39+1604+1010</f>
        <v>91668</v>
      </c>
      <c r="Q284" s="297">
        <v>40928</v>
      </c>
    </row>
    <row r="285" spans="1:17" ht="12" customHeight="1">
      <c r="A285" s="520">
        <v>282</v>
      </c>
      <c r="B285" s="236"/>
      <c r="C285" s="236"/>
      <c r="D285" s="293"/>
      <c r="E285" s="236" t="s">
        <v>250</v>
      </c>
      <c r="F285" s="236" t="s">
        <v>55</v>
      </c>
      <c r="G285" s="236"/>
      <c r="H285" s="366" t="s">
        <v>388</v>
      </c>
      <c r="I285" s="339" t="s">
        <v>403</v>
      </c>
      <c r="J285" s="320">
        <v>39738</v>
      </c>
      <c r="K285" s="288" t="s">
        <v>68</v>
      </c>
      <c r="L285" s="313">
        <v>67</v>
      </c>
      <c r="M285" s="382">
        <v>3102</v>
      </c>
      <c r="N285" s="383">
        <v>1512</v>
      </c>
      <c r="O285" s="328">
        <f>575413.5+2968+2376+2737+2376+2376+4752+2376+952+1780+226+286+162+6416+4040+1780+1780+1192</f>
        <v>613988.5</v>
      </c>
      <c r="P285" s="344">
        <f>83313+742+594+635+594+594+1188+594+238+445+36+42+39+1604+1010+356+356+571</f>
        <v>92951</v>
      </c>
      <c r="Q285" s="297">
        <v>41005</v>
      </c>
    </row>
    <row r="286" spans="1:17" ht="12" customHeight="1">
      <c r="A286" s="520">
        <v>283</v>
      </c>
      <c r="B286" s="236"/>
      <c r="C286" s="236"/>
      <c r="D286" s="293"/>
      <c r="E286" s="236" t="s">
        <v>250</v>
      </c>
      <c r="F286" s="236" t="s">
        <v>55</v>
      </c>
      <c r="G286" s="236"/>
      <c r="H286" s="366" t="s">
        <v>388</v>
      </c>
      <c r="I286" s="339" t="s">
        <v>403</v>
      </c>
      <c r="J286" s="320">
        <v>39738</v>
      </c>
      <c r="K286" s="288" t="s">
        <v>68</v>
      </c>
      <c r="L286" s="312">
        <v>67</v>
      </c>
      <c r="M286" s="382">
        <v>1780</v>
      </c>
      <c r="N286" s="383">
        <v>356</v>
      </c>
      <c r="O286" s="328">
        <f>575413.5+2968+2376+2737+2376+2376+4752+2376+952+1780+226+286+162+6416+4040+1780+1780</f>
        <v>612796.5</v>
      </c>
      <c r="P286" s="344">
        <f>83313+742+594+635+594+594+1188+594+238+445+36+42+39+1604+1010+356+356</f>
        <v>92380</v>
      </c>
      <c r="Q286" s="297">
        <v>40956</v>
      </c>
    </row>
    <row r="287" spans="1:17" ht="12" customHeight="1">
      <c r="A287" s="520">
        <v>284</v>
      </c>
      <c r="B287" s="236"/>
      <c r="C287" s="236"/>
      <c r="D287" s="293"/>
      <c r="E287" s="236" t="s">
        <v>250</v>
      </c>
      <c r="F287" s="236" t="s">
        <v>55</v>
      </c>
      <c r="G287" s="236"/>
      <c r="H287" s="459" t="s">
        <v>388</v>
      </c>
      <c r="I287" s="339" t="s">
        <v>403</v>
      </c>
      <c r="J287" s="320">
        <v>39738</v>
      </c>
      <c r="K287" s="288" t="s">
        <v>68</v>
      </c>
      <c r="L287" s="312">
        <v>67</v>
      </c>
      <c r="M287" s="382">
        <v>1780</v>
      </c>
      <c r="N287" s="383">
        <v>356</v>
      </c>
      <c r="O287" s="328">
        <f>575413.5+2968+2376+2737+2376+2376+4752+2376+952+1780+226+286+162+6416+4040+1780</f>
        <v>611016.5</v>
      </c>
      <c r="P287" s="344">
        <f>83313+742+594+635+594+594+1188+594+238+445+36+42+39+1604+1010+356</f>
        <v>92024</v>
      </c>
      <c r="Q287" s="297">
        <v>40935</v>
      </c>
    </row>
    <row r="288" spans="1:17" ht="12" customHeight="1">
      <c r="A288" s="520">
        <v>285</v>
      </c>
      <c r="B288" s="236"/>
      <c r="C288" s="236"/>
      <c r="D288" s="293"/>
      <c r="E288" s="236" t="s">
        <v>250</v>
      </c>
      <c r="F288" s="236" t="s">
        <v>55</v>
      </c>
      <c r="G288" s="236"/>
      <c r="H288" s="366" t="s">
        <v>388</v>
      </c>
      <c r="I288" s="339" t="s">
        <v>403</v>
      </c>
      <c r="J288" s="320">
        <v>39738</v>
      </c>
      <c r="K288" s="288" t="s">
        <v>68</v>
      </c>
      <c r="L288" s="313">
        <v>67</v>
      </c>
      <c r="M288" s="382">
        <v>1192</v>
      </c>
      <c r="N288" s="383">
        <v>571</v>
      </c>
      <c r="O288" s="328">
        <f>575413.5+2968+2376+2737+2376+2376+4752+2376+952+1780+226+286+162+6416+4040+1780+1780+1192</f>
        <v>613988.5</v>
      </c>
      <c r="P288" s="344">
        <f>83313+742+594+635+594+594+1188+594+238+445+36+42+39+1604+1010+356+356+571</f>
        <v>92951</v>
      </c>
      <c r="Q288" s="297">
        <v>40998</v>
      </c>
    </row>
    <row r="289" spans="1:17" ht="12" customHeight="1">
      <c r="A289" s="520">
        <v>286</v>
      </c>
      <c r="B289" s="236"/>
      <c r="C289" s="236"/>
      <c r="D289" s="236"/>
      <c r="E289" s="236"/>
      <c r="F289" s="236"/>
      <c r="G289" s="236"/>
      <c r="H289" s="459" t="s">
        <v>69</v>
      </c>
      <c r="I289" s="319" t="s">
        <v>70</v>
      </c>
      <c r="J289" s="297">
        <v>40844</v>
      </c>
      <c r="K289" s="288" t="s">
        <v>68</v>
      </c>
      <c r="L289" s="312">
        <v>65</v>
      </c>
      <c r="M289" s="382">
        <v>7426</v>
      </c>
      <c r="N289" s="383">
        <v>1233</v>
      </c>
      <c r="O289" s="328">
        <f>436701.5+604505+232735.5+57290.5+18114+16414.5+17253.5+4587+2405+7426</f>
        <v>1397432.5</v>
      </c>
      <c r="P289" s="344">
        <f>39979+54264+21249+5324+1678+2463+2408+819+357+1233</f>
        <v>129774</v>
      </c>
      <c r="Q289" s="297">
        <v>40907</v>
      </c>
    </row>
    <row r="290" spans="1:17" ht="12" customHeight="1">
      <c r="A290" s="520">
        <v>287</v>
      </c>
      <c r="B290" s="236"/>
      <c r="C290" s="236"/>
      <c r="D290" s="236"/>
      <c r="E290" s="236"/>
      <c r="F290" s="236"/>
      <c r="G290" s="236"/>
      <c r="H290" s="459" t="s">
        <v>69</v>
      </c>
      <c r="I290" s="319" t="s">
        <v>70</v>
      </c>
      <c r="J290" s="297">
        <v>40844</v>
      </c>
      <c r="K290" s="288" t="s">
        <v>68</v>
      </c>
      <c r="L290" s="312">
        <v>65</v>
      </c>
      <c r="M290" s="382">
        <v>4990</v>
      </c>
      <c r="N290" s="383">
        <v>999</v>
      </c>
      <c r="O290" s="328">
        <f>436701.5+604505+232735.5+57290.5+18114+16414.5+17253.5+4587+2405+7426+2522+4990</f>
        <v>1404944.5</v>
      </c>
      <c r="P290" s="344">
        <f>39979+54264+21249+5324+1678+2463+2408+819+357+1233+383+999</f>
        <v>131156</v>
      </c>
      <c r="Q290" s="297">
        <v>40942</v>
      </c>
    </row>
    <row r="291" spans="1:17" ht="12" customHeight="1">
      <c r="A291" s="520">
        <v>288</v>
      </c>
      <c r="B291" s="236"/>
      <c r="C291" s="236"/>
      <c r="D291" s="236"/>
      <c r="E291" s="236"/>
      <c r="F291" s="236"/>
      <c r="G291" s="236"/>
      <c r="H291" s="366" t="s">
        <v>69</v>
      </c>
      <c r="I291" s="319" t="s">
        <v>70</v>
      </c>
      <c r="J291" s="297">
        <v>40844</v>
      </c>
      <c r="K291" s="288" t="s">
        <v>68</v>
      </c>
      <c r="L291" s="312">
        <v>65</v>
      </c>
      <c r="M291" s="382">
        <v>3920.5</v>
      </c>
      <c r="N291" s="383">
        <v>784</v>
      </c>
      <c r="O291" s="328">
        <f>436701.5+604505+232735.5+57290.5+18114+16414.5+17253.5+4587+2405+7426+2522+4990+3920.5</f>
        <v>1408865</v>
      </c>
      <c r="P291" s="344">
        <f>39979+54264+21249+5324+1678+2463+2408+819+357+1233+383+999+784</f>
        <v>131940</v>
      </c>
      <c r="Q291" s="297">
        <v>40949</v>
      </c>
    </row>
    <row r="292" spans="1:17" ht="12" customHeight="1">
      <c r="A292" s="520">
        <v>289</v>
      </c>
      <c r="B292" s="236"/>
      <c r="C292" s="236"/>
      <c r="D292" s="236"/>
      <c r="E292" s="236"/>
      <c r="F292" s="236"/>
      <c r="G292" s="236"/>
      <c r="H292" s="366" t="s">
        <v>69</v>
      </c>
      <c r="I292" s="319" t="s">
        <v>70</v>
      </c>
      <c r="J292" s="369">
        <v>40844</v>
      </c>
      <c r="K292" s="288" t="s">
        <v>68</v>
      </c>
      <c r="L292" s="312">
        <v>65</v>
      </c>
      <c r="M292" s="382">
        <v>3564</v>
      </c>
      <c r="N292" s="383">
        <v>713</v>
      </c>
      <c r="O292" s="328">
        <f>436701.5+604505+232735.5+57290.5+18114+16414.5+17253.5+4587+2405+7426+2522+4990+3920.5+3564</f>
        <v>1412429</v>
      </c>
      <c r="P292" s="344">
        <f>39979+54264+21249+5324+1678+2463+2408+819+357+1233+383+999+784+713</f>
        <v>132653</v>
      </c>
      <c r="Q292" s="297">
        <v>41040</v>
      </c>
    </row>
    <row r="293" spans="1:17" ht="12" customHeight="1">
      <c r="A293" s="520">
        <v>290</v>
      </c>
      <c r="B293" s="236"/>
      <c r="C293" s="236"/>
      <c r="D293" s="236"/>
      <c r="E293" s="236"/>
      <c r="F293" s="236"/>
      <c r="G293" s="236"/>
      <c r="H293" s="459" t="s">
        <v>69</v>
      </c>
      <c r="I293" s="319" t="s">
        <v>70</v>
      </c>
      <c r="J293" s="297">
        <v>40844</v>
      </c>
      <c r="K293" s="288" t="s">
        <v>68</v>
      </c>
      <c r="L293" s="312">
        <v>65</v>
      </c>
      <c r="M293" s="382">
        <v>2522</v>
      </c>
      <c r="N293" s="383">
        <v>383</v>
      </c>
      <c r="O293" s="328">
        <f>436701.5+604505+232735.5+57290.5+18114+16414.5+17253.5+4587+2405+7426+2522</f>
        <v>1399954.5</v>
      </c>
      <c r="P293" s="344">
        <f>39979+54264+21249+5324+1678+2463+2408+819+357+1233+383</f>
        <v>130157</v>
      </c>
      <c r="Q293" s="297">
        <v>40914</v>
      </c>
    </row>
    <row r="294" spans="1:17" ht="12" customHeight="1">
      <c r="A294" s="520">
        <v>291</v>
      </c>
      <c r="B294" s="236"/>
      <c r="C294" s="236"/>
      <c r="D294" s="236"/>
      <c r="E294" s="236"/>
      <c r="F294" s="236"/>
      <c r="G294" s="236"/>
      <c r="H294" s="463" t="s">
        <v>701</v>
      </c>
      <c r="I294" s="312"/>
      <c r="J294" s="370">
        <v>40662</v>
      </c>
      <c r="K294" s="288" t="s">
        <v>289</v>
      </c>
      <c r="L294" s="312">
        <v>4</v>
      </c>
      <c r="M294" s="378">
        <v>2376</v>
      </c>
      <c r="N294" s="379">
        <v>475</v>
      </c>
      <c r="O294" s="334">
        <v>37323.75</v>
      </c>
      <c r="P294" s="338">
        <v>4914</v>
      </c>
      <c r="Q294" s="297">
        <v>41026</v>
      </c>
    </row>
    <row r="295" spans="1:17" ht="12" customHeight="1">
      <c r="A295" s="520">
        <v>292</v>
      </c>
      <c r="B295" s="236"/>
      <c r="C295" s="236"/>
      <c r="D295" s="236"/>
      <c r="E295" s="236"/>
      <c r="F295" s="236"/>
      <c r="G295" s="236"/>
      <c r="H295" s="463" t="s">
        <v>701</v>
      </c>
      <c r="I295" s="288" t="s">
        <v>707</v>
      </c>
      <c r="J295" s="320">
        <v>40662</v>
      </c>
      <c r="K295" s="288" t="s">
        <v>289</v>
      </c>
      <c r="L295" s="313">
        <v>4</v>
      </c>
      <c r="M295" s="378">
        <v>1188</v>
      </c>
      <c r="N295" s="379">
        <v>238</v>
      </c>
      <c r="O295" s="334">
        <v>34947.75</v>
      </c>
      <c r="P295" s="338">
        <v>4439</v>
      </c>
      <c r="Q295" s="297">
        <v>41005</v>
      </c>
    </row>
    <row r="296" spans="1:17" ht="12" customHeight="1">
      <c r="A296" s="520">
        <v>293</v>
      </c>
      <c r="B296" s="236"/>
      <c r="C296" s="236"/>
      <c r="D296" s="236"/>
      <c r="E296" s="236"/>
      <c r="F296" s="236"/>
      <c r="G296" s="236"/>
      <c r="H296" s="366" t="s">
        <v>674</v>
      </c>
      <c r="I296" s="339" t="s">
        <v>675</v>
      </c>
      <c r="J296" s="297">
        <v>41242</v>
      </c>
      <c r="K296" s="288" t="s">
        <v>622</v>
      </c>
      <c r="L296" s="312">
        <v>14</v>
      </c>
      <c r="M296" s="380">
        <v>958</v>
      </c>
      <c r="N296" s="381">
        <v>160</v>
      </c>
      <c r="O296" s="342">
        <v>971139.75</v>
      </c>
      <c r="P296" s="343">
        <v>213701</v>
      </c>
      <c r="Q296" s="297">
        <v>40998</v>
      </c>
    </row>
    <row r="297" spans="1:17" ht="12" customHeight="1">
      <c r="A297" s="520">
        <v>294</v>
      </c>
      <c r="B297" s="236"/>
      <c r="C297" s="236"/>
      <c r="D297" s="293"/>
      <c r="E297" s="236"/>
      <c r="F297" s="236"/>
      <c r="G297" s="236"/>
      <c r="H297" s="366" t="s">
        <v>408</v>
      </c>
      <c r="I297" s="339" t="s">
        <v>401</v>
      </c>
      <c r="J297" s="320">
        <v>40837</v>
      </c>
      <c r="K297" s="288" t="s">
        <v>68</v>
      </c>
      <c r="L297" s="312">
        <v>10</v>
      </c>
      <c r="M297" s="382">
        <v>3326.5</v>
      </c>
      <c r="N297" s="383">
        <v>665</v>
      </c>
      <c r="O297" s="328">
        <f>10225+2950+986+451+172+519+2138.5+3326.5</f>
        <v>20768</v>
      </c>
      <c r="P297" s="344">
        <f>1095+291+123+65+22+86+428+665</f>
        <v>2775</v>
      </c>
      <c r="Q297" s="297">
        <v>41033</v>
      </c>
    </row>
    <row r="298" spans="1:17" ht="12" customHeight="1">
      <c r="A298" s="520">
        <v>295</v>
      </c>
      <c r="B298" s="236"/>
      <c r="C298" s="236"/>
      <c r="D298" s="293"/>
      <c r="E298" s="236"/>
      <c r="F298" s="236"/>
      <c r="G298" s="236"/>
      <c r="H298" s="366" t="s">
        <v>408</v>
      </c>
      <c r="I298" s="339" t="s">
        <v>401</v>
      </c>
      <c r="J298" s="320">
        <v>40837</v>
      </c>
      <c r="K298" s="288" t="s">
        <v>68</v>
      </c>
      <c r="L298" s="313">
        <v>10</v>
      </c>
      <c r="M298" s="382">
        <v>2138.5</v>
      </c>
      <c r="N298" s="383">
        <v>428</v>
      </c>
      <c r="O298" s="328">
        <f>10225+2950+986+451+172+519+2138.5</f>
        <v>17441.5</v>
      </c>
      <c r="P298" s="344">
        <f>1095+291+123+65+22+86+428</f>
        <v>2110</v>
      </c>
      <c r="Q298" s="297">
        <v>40998</v>
      </c>
    </row>
    <row r="299" spans="1:17" ht="12" customHeight="1">
      <c r="A299" s="520">
        <v>296</v>
      </c>
      <c r="B299" s="236"/>
      <c r="C299" s="236"/>
      <c r="D299" s="293"/>
      <c r="E299" s="236"/>
      <c r="F299" s="236"/>
      <c r="G299" s="236"/>
      <c r="H299" s="459" t="s">
        <v>408</v>
      </c>
      <c r="I299" s="339" t="s">
        <v>401</v>
      </c>
      <c r="J299" s="320">
        <v>40837</v>
      </c>
      <c r="K299" s="288" t="s">
        <v>68</v>
      </c>
      <c r="L299" s="312">
        <v>10</v>
      </c>
      <c r="M299" s="382">
        <v>519</v>
      </c>
      <c r="N299" s="383">
        <v>86</v>
      </c>
      <c r="O299" s="328">
        <f>10225+2950+986+451+172+519</f>
        <v>15303</v>
      </c>
      <c r="P299" s="344">
        <f>1095+291+123+65+22+86</f>
        <v>1682</v>
      </c>
      <c r="Q299" s="297">
        <v>40928</v>
      </c>
    </row>
    <row r="300" spans="1:17" ht="12" customHeight="1">
      <c r="A300" s="520">
        <v>297</v>
      </c>
      <c r="B300" s="293"/>
      <c r="C300" s="293"/>
      <c r="D300" s="236"/>
      <c r="E300" s="236"/>
      <c r="F300" s="236"/>
      <c r="G300" s="236" t="s">
        <v>54</v>
      </c>
      <c r="H300" s="459" t="s">
        <v>487</v>
      </c>
      <c r="I300" s="340" t="s">
        <v>487</v>
      </c>
      <c r="J300" s="320">
        <v>40585</v>
      </c>
      <c r="K300" s="288" t="s">
        <v>68</v>
      </c>
      <c r="L300" s="340">
        <v>58</v>
      </c>
      <c r="M300" s="382">
        <v>950.5</v>
      </c>
      <c r="N300" s="383">
        <v>190</v>
      </c>
      <c r="O300" s="328">
        <f>236018+209847.25+105622+138051.5+64189.5+34454+20202.5+27754+16946+8179.5+9672.5+8494+21812+25095+12109+8066+3824+4092+15394+226700+172575.5+127465+93972+96529+77366.5+63475.5+48505.5+31769.5+29482+10986+6164+59+1093.5+1386+279+950.5</f>
        <v>1958581.25</v>
      </c>
      <c r="P300" s="344">
        <f>25731+24506+13184+19079+9581+4996+3067+4392+3122+1175+1530+1410+3175+3587+1436+923+420+447+1629+25969+20073+15455+11876+13635+10490+9269+7265+5116+4049+1598+1517+8+257+323+37+190</f>
        <v>250517</v>
      </c>
      <c r="Q300" s="297">
        <v>40935</v>
      </c>
    </row>
    <row r="301" spans="1:17" ht="12" customHeight="1">
      <c r="A301" s="520">
        <v>298</v>
      </c>
      <c r="B301" s="236"/>
      <c r="C301" s="236"/>
      <c r="D301" s="236"/>
      <c r="E301" s="236"/>
      <c r="F301" s="236"/>
      <c r="G301" s="236"/>
      <c r="H301" s="366" t="s">
        <v>350</v>
      </c>
      <c r="I301" s="339" t="s">
        <v>350</v>
      </c>
      <c r="J301" s="320">
        <v>40886</v>
      </c>
      <c r="K301" s="288" t="s">
        <v>68</v>
      </c>
      <c r="L301" s="312">
        <v>9</v>
      </c>
      <c r="M301" s="382">
        <v>4115.4</v>
      </c>
      <c r="N301" s="383">
        <v>563</v>
      </c>
      <c r="O301" s="328">
        <f>55869.5+42730+1422+522+1782+4115.4</f>
        <v>106440.9</v>
      </c>
      <c r="P301" s="344">
        <f>3902+3837+240+87+356+563</f>
        <v>8985</v>
      </c>
      <c r="Q301" s="297">
        <v>40949</v>
      </c>
    </row>
    <row r="302" spans="1:17" ht="12" customHeight="1">
      <c r="A302" s="520">
        <v>299</v>
      </c>
      <c r="B302" s="236"/>
      <c r="C302" s="236"/>
      <c r="D302" s="236"/>
      <c r="E302" s="236"/>
      <c r="F302" s="236"/>
      <c r="G302" s="236"/>
      <c r="H302" s="459" t="s">
        <v>350</v>
      </c>
      <c r="I302" s="339" t="s">
        <v>350</v>
      </c>
      <c r="J302" s="320">
        <v>40886</v>
      </c>
      <c r="K302" s="288" t="s">
        <v>68</v>
      </c>
      <c r="L302" s="312">
        <v>9</v>
      </c>
      <c r="M302" s="382">
        <v>1782</v>
      </c>
      <c r="N302" s="383">
        <v>356</v>
      </c>
      <c r="O302" s="328">
        <f>55869.5+42730+1422+522+1782</f>
        <v>102325.5</v>
      </c>
      <c r="P302" s="344">
        <f>3902+3837+240+87+356</f>
        <v>8422</v>
      </c>
      <c r="Q302" s="297">
        <v>40942</v>
      </c>
    </row>
    <row r="303" spans="1:17" ht="12" customHeight="1">
      <c r="A303" s="520">
        <v>300</v>
      </c>
      <c r="B303" s="236"/>
      <c r="C303" s="236"/>
      <c r="D303" s="236"/>
      <c r="E303" s="236"/>
      <c r="F303" s="236"/>
      <c r="G303" s="236"/>
      <c r="H303" s="366" t="s">
        <v>350</v>
      </c>
      <c r="I303" s="339" t="s">
        <v>350</v>
      </c>
      <c r="J303" s="320">
        <v>40886</v>
      </c>
      <c r="K303" s="288" t="s">
        <v>68</v>
      </c>
      <c r="L303" s="312">
        <v>9</v>
      </c>
      <c r="M303" s="382">
        <v>1575</v>
      </c>
      <c r="N303" s="383">
        <v>156</v>
      </c>
      <c r="O303" s="328">
        <f>55869.5+42730+1422+522+1782+4115.4+1188+1188+1575</f>
        <v>110391.9</v>
      </c>
      <c r="P303" s="344">
        <f>3902+3837+240+87+356+563+238+238+156</f>
        <v>9617</v>
      </c>
      <c r="Q303" s="297">
        <v>40998</v>
      </c>
    </row>
    <row r="304" spans="1:17" ht="12" customHeight="1">
      <c r="A304" s="520">
        <v>301</v>
      </c>
      <c r="B304" s="236"/>
      <c r="C304" s="236"/>
      <c r="D304" s="236"/>
      <c r="E304" s="236"/>
      <c r="F304" s="236"/>
      <c r="G304" s="236"/>
      <c r="H304" s="459" t="s">
        <v>350</v>
      </c>
      <c r="I304" s="339" t="s">
        <v>350</v>
      </c>
      <c r="J304" s="320">
        <v>40886</v>
      </c>
      <c r="K304" s="288" t="s">
        <v>68</v>
      </c>
      <c r="L304" s="312">
        <v>9</v>
      </c>
      <c r="M304" s="382">
        <v>1422</v>
      </c>
      <c r="N304" s="383">
        <v>240</v>
      </c>
      <c r="O304" s="328">
        <f>55869.5+42730+1422</f>
        <v>100021.5</v>
      </c>
      <c r="P304" s="344">
        <f>3902+3837+240</f>
        <v>7979</v>
      </c>
      <c r="Q304" s="297">
        <v>40921</v>
      </c>
    </row>
    <row r="305" spans="1:17" ht="12" customHeight="1">
      <c r="A305" s="520">
        <v>302</v>
      </c>
      <c r="B305" s="236"/>
      <c r="C305" s="236"/>
      <c r="D305" s="236"/>
      <c r="E305" s="236"/>
      <c r="F305" s="236"/>
      <c r="G305" s="236"/>
      <c r="H305" s="366" t="s">
        <v>350</v>
      </c>
      <c r="I305" s="339" t="s">
        <v>350</v>
      </c>
      <c r="J305" s="320">
        <v>40886</v>
      </c>
      <c r="K305" s="288" t="s">
        <v>68</v>
      </c>
      <c r="L305" s="312">
        <v>9</v>
      </c>
      <c r="M305" s="382">
        <v>1188</v>
      </c>
      <c r="N305" s="383">
        <v>238</v>
      </c>
      <c r="O305" s="328">
        <f>55869.5+42730+1422+522+1782+4115.4+1188+1188</f>
        <v>108816.9</v>
      </c>
      <c r="P305" s="344">
        <f>3902+3837+240+87+356+563+238+238</f>
        <v>9461</v>
      </c>
      <c r="Q305" s="297">
        <v>40977</v>
      </c>
    </row>
    <row r="306" spans="1:17" ht="12" customHeight="1">
      <c r="A306" s="520">
        <v>303</v>
      </c>
      <c r="B306" s="236"/>
      <c r="C306" s="236"/>
      <c r="D306" s="236"/>
      <c r="E306" s="236"/>
      <c r="F306" s="236"/>
      <c r="G306" s="236"/>
      <c r="H306" s="366" t="s">
        <v>350</v>
      </c>
      <c r="I306" s="339" t="s">
        <v>350</v>
      </c>
      <c r="J306" s="320">
        <v>40886</v>
      </c>
      <c r="K306" s="288" t="s">
        <v>68</v>
      </c>
      <c r="L306" s="312">
        <v>9</v>
      </c>
      <c r="M306" s="382">
        <v>1188</v>
      </c>
      <c r="N306" s="383">
        <v>238</v>
      </c>
      <c r="O306" s="328">
        <f>55869.5+42730+1422+522+1782+4115.4+1188</f>
        <v>107628.9</v>
      </c>
      <c r="P306" s="344">
        <f>3902+3837+240+87+356+563+238</f>
        <v>9223</v>
      </c>
      <c r="Q306" s="297">
        <v>40963</v>
      </c>
    </row>
    <row r="307" spans="1:17" ht="12" customHeight="1">
      <c r="A307" s="520">
        <v>304</v>
      </c>
      <c r="B307" s="236"/>
      <c r="C307" s="236"/>
      <c r="D307" s="236"/>
      <c r="E307" s="236"/>
      <c r="F307" s="236"/>
      <c r="G307" s="236"/>
      <c r="H307" s="366" t="s">
        <v>350</v>
      </c>
      <c r="I307" s="339" t="s">
        <v>355</v>
      </c>
      <c r="J307" s="370">
        <v>40886</v>
      </c>
      <c r="K307" s="288" t="s">
        <v>68</v>
      </c>
      <c r="L307" s="312">
        <v>9</v>
      </c>
      <c r="M307" s="468">
        <v>892</v>
      </c>
      <c r="N307" s="469">
        <v>111</v>
      </c>
      <c r="O307" s="317">
        <f>55869.5+42730+1422+522+1782+4115.4+1188+1188+1575+892</f>
        <v>111283.9</v>
      </c>
      <c r="P307" s="368">
        <f>3902+3837+240+87+356+563+238+238+156+111</f>
        <v>9728</v>
      </c>
      <c r="Q307" s="297">
        <v>41026</v>
      </c>
    </row>
    <row r="308" spans="1:17" ht="12" customHeight="1">
      <c r="A308" s="520">
        <v>305</v>
      </c>
      <c r="B308" s="236"/>
      <c r="C308" s="236"/>
      <c r="D308" s="236"/>
      <c r="E308" s="236"/>
      <c r="F308" s="236"/>
      <c r="G308" s="236"/>
      <c r="H308" s="459" t="s">
        <v>350</v>
      </c>
      <c r="I308" s="339" t="s">
        <v>350</v>
      </c>
      <c r="J308" s="320">
        <v>40886</v>
      </c>
      <c r="K308" s="288" t="s">
        <v>68</v>
      </c>
      <c r="L308" s="312">
        <v>9</v>
      </c>
      <c r="M308" s="382">
        <v>522</v>
      </c>
      <c r="N308" s="383">
        <v>87</v>
      </c>
      <c r="O308" s="328">
        <f>55869.5+42730+1422+522</f>
        <v>100543.5</v>
      </c>
      <c r="P308" s="344">
        <f>3902+3837+240+87</f>
        <v>8066</v>
      </c>
      <c r="Q308" s="297">
        <v>40928</v>
      </c>
    </row>
    <row r="309" spans="1:17" ht="12" customHeight="1">
      <c r="A309" s="520">
        <v>306</v>
      </c>
      <c r="B309" s="236"/>
      <c r="C309" s="236"/>
      <c r="D309" s="236"/>
      <c r="E309" s="236"/>
      <c r="F309" s="236"/>
      <c r="G309" s="236"/>
      <c r="H309" s="463" t="s">
        <v>222</v>
      </c>
      <c r="I309" s="288" t="s">
        <v>209</v>
      </c>
      <c r="J309" s="320">
        <v>40725</v>
      </c>
      <c r="K309" s="288" t="s">
        <v>13</v>
      </c>
      <c r="L309" s="312">
        <v>3</v>
      </c>
      <c r="M309" s="378">
        <v>7410.5</v>
      </c>
      <c r="N309" s="379">
        <v>902</v>
      </c>
      <c r="O309" s="334">
        <v>73139.5</v>
      </c>
      <c r="P309" s="338">
        <v>8951</v>
      </c>
      <c r="Q309" s="297">
        <v>40970</v>
      </c>
    </row>
    <row r="310" spans="1:17" ht="12" customHeight="1">
      <c r="A310" s="520">
        <v>307</v>
      </c>
      <c r="B310" s="236"/>
      <c r="C310" s="236"/>
      <c r="D310" s="236"/>
      <c r="E310" s="236"/>
      <c r="F310" s="236"/>
      <c r="G310" s="236"/>
      <c r="H310" s="463" t="s">
        <v>222</v>
      </c>
      <c r="I310" s="288" t="s">
        <v>209</v>
      </c>
      <c r="J310" s="370">
        <v>40725</v>
      </c>
      <c r="K310" s="288" t="s">
        <v>13</v>
      </c>
      <c r="L310" s="313">
        <v>3</v>
      </c>
      <c r="M310" s="480">
        <v>6060</v>
      </c>
      <c r="N310" s="481">
        <v>1209</v>
      </c>
      <c r="O310" s="335">
        <v>89328.5</v>
      </c>
      <c r="P310" s="336">
        <v>11581</v>
      </c>
      <c r="Q310" s="297">
        <v>41012</v>
      </c>
    </row>
    <row r="311" spans="1:17" ht="12" customHeight="1">
      <c r="A311" s="520">
        <v>308</v>
      </c>
      <c r="B311" s="236"/>
      <c r="C311" s="236"/>
      <c r="D311" s="236"/>
      <c r="E311" s="236"/>
      <c r="F311" s="236"/>
      <c r="G311" s="236"/>
      <c r="H311" s="463" t="s">
        <v>222</v>
      </c>
      <c r="I311" s="288" t="s">
        <v>209</v>
      </c>
      <c r="J311" s="320">
        <v>40725</v>
      </c>
      <c r="K311" s="288" t="s">
        <v>13</v>
      </c>
      <c r="L311" s="312">
        <v>3</v>
      </c>
      <c r="M311" s="378">
        <v>3966.5</v>
      </c>
      <c r="N311" s="379">
        <v>331</v>
      </c>
      <c r="O311" s="334">
        <v>77106</v>
      </c>
      <c r="P311" s="338">
        <v>9282</v>
      </c>
      <c r="Q311" s="297">
        <v>40977</v>
      </c>
    </row>
    <row r="312" spans="1:17" ht="12" customHeight="1">
      <c r="A312" s="520">
        <v>309</v>
      </c>
      <c r="B312" s="236"/>
      <c r="C312" s="236"/>
      <c r="D312" s="236"/>
      <c r="E312" s="236"/>
      <c r="F312" s="236"/>
      <c r="G312" s="236"/>
      <c r="H312" s="463" t="s">
        <v>222</v>
      </c>
      <c r="I312" s="288" t="s">
        <v>209</v>
      </c>
      <c r="J312" s="320">
        <v>40725</v>
      </c>
      <c r="K312" s="288" t="s">
        <v>13</v>
      </c>
      <c r="L312" s="312">
        <v>3</v>
      </c>
      <c r="M312" s="378">
        <v>2970</v>
      </c>
      <c r="N312" s="379">
        <v>594</v>
      </c>
      <c r="O312" s="334">
        <v>65729</v>
      </c>
      <c r="P312" s="338">
        <v>8049</v>
      </c>
      <c r="Q312" s="297">
        <v>40914</v>
      </c>
    </row>
    <row r="313" spans="1:17" ht="12" customHeight="1">
      <c r="A313" s="520">
        <v>310</v>
      </c>
      <c r="B313" s="236"/>
      <c r="C313" s="236"/>
      <c r="D313" s="236"/>
      <c r="E313" s="236"/>
      <c r="F313" s="236"/>
      <c r="G313" s="236"/>
      <c r="H313" s="463" t="s">
        <v>222</v>
      </c>
      <c r="I313" s="288" t="s">
        <v>209</v>
      </c>
      <c r="J313" s="320">
        <v>40725</v>
      </c>
      <c r="K313" s="288" t="s">
        <v>13</v>
      </c>
      <c r="L313" s="312">
        <v>3</v>
      </c>
      <c r="M313" s="378">
        <v>2376</v>
      </c>
      <c r="N313" s="379">
        <v>476</v>
      </c>
      <c r="O313" s="334">
        <v>83268.5</v>
      </c>
      <c r="P313" s="338">
        <v>10372</v>
      </c>
      <c r="Q313" s="297">
        <v>41005</v>
      </c>
    </row>
    <row r="314" spans="1:17" ht="12" customHeight="1">
      <c r="A314" s="520">
        <v>311</v>
      </c>
      <c r="B314" s="236"/>
      <c r="C314" s="236"/>
      <c r="D314" s="236"/>
      <c r="E314" s="236"/>
      <c r="F314" s="236"/>
      <c r="G314" s="236"/>
      <c r="H314" s="463" t="s">
        <v>222</v>
      </c>
      <c r="I314" s="288" t="s">
        <v>740</v>
      </c>
      <c r="J314" s="370">
        <v>40725</v>
      </c>
      <c r="K314" s="288" t="s">
        <v>13</v>
      </c>
      <c r="L314" s="312">
        <v>3</v>
      </c>
      <c r="M314" s="378">
        <v>2376</v>
      </c>
      <c r="N314" s="379">
        <v>475</v>
      </c>
      <c r="O314" s="334">
        <v>93486.5</v>
      </c>
      <c r="P314" s="338">
        <v>12412</v>
      </c>
      <c r="Q314" s="297">
        <v>41026</v>
      </c>
    </row>
    <row r="315" spans="1:17" ht="12" customHeight="1">
      <c r="A315" s="520">
        <v>312</v>
      </c>
      <c r="B315" s="236"/>
      <c r="C315" s="236"/>
      <c r="D315" s="236"/>
      <c r="E315" s="236"/>
      <c r="F315" s="236"/>
      <c r="G315" s="236"/>
      <c r="H315" s="361" t="s">
        <v>222</v>
      </c>
      <c r="I315" s="288" t="s">
        <v>209</v>
      </c>
      <c r="J315" s="370">
        <v>40725</v>
      </c>
      <c r="K315" s="288" t="s">
        <v>289</v>
      </c>
      <c r="L315" s="312">
        <v>3</v>
      </c>
      <c r="M315" s="378">
        <v>2195</v>
      </c>
      <c r="N315" s="379">
        <v>438</v>
      </c>
      <c r="O315" s="334">
        <v>95681.5</v>
      </c>
      <c r="P315" s="338">
        <v>12850</v>
      </c>
      <c r="Q315" s="297">
        <v>41040</v>
      </c>
    </row>
    <row r="316" spans="1:17" ht="12" customHeight="1">
      <c r="A316" s="520">
        <v>313</v>
      </c>
      <c r="B316" s="236"/>
      <c r="C316" s="236"/>
      <c r="D316" s="236"/>
      <c r="E316" s="236"/>
      <c r="F316" s="236"/>
      <c r="G316" s="236"/>
      <c r="H316" s="463" t="s">
        <v>222</v>
      </c>
      <c r="I316" s="288" t="s">
        <v>209</v>
      </c>
      <c r="J316" s="320">
        <v>40725</v>
      </c>
      <c r="K316" s="288" t="s">
        <v>13</v>
      </c>
      <c r="L316" s="312">
        <v>3</v>
      </c>
      <c r="M316" s="378">
        <v>1885</v>
      </c>
      <c r="N316" s="379">
        <v>380</v>
      </c>
      <c r="O316" s="334">
        <v>80115.5</v>
      </c>
      <c r="P316" s="338">
        <v>9738</v>
      </c>
      <c r="Q316" s="297">
        <v>40991</v>
      </c>
    </row>
    <row r="317" spans="1:17" ht="12" customHeight="1">
      <c r="A317" s="520">
        <v>314</v>
      </c>
      <c r="B317" s="236"/>
      <c r="C317" s="236"/>
      <c r="D317" s="236"/>
      <c r="E317" s="236"/>
      <c r="F317" s="236"/>
      <c r="G317" s="236"/>
      <c r="H317" s="463" t="s">
        <v>222</v>
      </c>
      <c r="I317" s="288" t="s">
        <v>209</v>
      </c>
      <c r="J317" s="320">
        <v>40725</v>
      </c>
      <c r="K317" s="288" t="s">
        <v>13</v>
      </c>
      <c r="L317" s="312">
        <v>3</v>
      </c>
      <c r="M317" s="378">
        <v>1782</v>
      </c>
      <c r="N317" s="379">
        <v>356</v>
      </c>
      <c r="O317" s="334">
        <v>91110.5</v>
      </c>
      <c r="P317" s="442">
        <v>11937</v>
      </c>
      <c r="Q317" s="297">
        <v>41019</v>
      </c>
    </row>
    <row r="318" spans="1:17" ht="12" customHeight="1">
      <c r="A318" s="520">
        <v>315</v>
      </c>
      <c r="B318" s="236"/>
      <c r="C318" s="236"/>
      <c r="D318" s="236"/>
      <c r="E318" s="236"/>
      <c r="F318" s="236"/>
      <c r="G318" s="236"/>
      <c r="H318" s="463" t="s">
        <v>222</v>
      </c>
      <c r="I318" s="288" t="s">
        <v>209</v>
      </c>
      <c r="J318" s="320">
        <v>40725</v>
      </c>
      <c r="K318" s="288" t="s">
        <v>13</v>
      </c>
      <c r="L318" s="440">
        <v>3</v>
      </c>
      <c r="M318" s="378">
        <v>1188</v>
      </c>
      <c r="N318" s="379">
        <v>237</v>
      </c>
      <c r="O318" s="334">
        <v>62759</v>
      </c>
      <c r="P318" s="338">
        <v>7455</v>
      </c>
      <c r="Q318" s="297">
        <v>40907</v>
      </c>
    </row>
    <row r="319" spans="1:17" ht="12" customHeight="1">
      <c r="A319" s="520">
        <v>316</v>
      </c>
      <c r="B319" s="236"/>
      <c r="C319" s="236"/>
      <c r="D319" s="236"/>
      <c r="E319" s="236"/>
      <c r="F319" s="236"/>
      <c r="G319" s="236"/>
      <c r="H319" s="463" t="s">
        <v>222</v>
      </c>
      <c r="I319" s="288" t="s">
        <v>209</v>
      </c>
      <c r="J319" s="320">
        <v>40725</v>
      </c>
      <c r="K319" s="288" t="s">
        <v>13</v>
      </c>
      <c r="L319" s="312">
        <v>3</v>
      </c>
      <c r="M319" s="378">
        <v>777</v>
      </c>
      <c r="N319" s="379">
        <v>158</v>
      </c>
      <c r="O319" s="334">
        <v>80892.5</v>
      </c>
      <c r="P319" s="338">
        <v>9896</v>
      </c>
      <c r="Q319" s="297">
        <v>40998</v>
      </c>
    </row>
    <row r="320" spans="1:17" ht="12" customHeight="1">
      <c r="A320" s="520">
        <v>317</v>
      </c>
      <c r="B320" s="236"/>
      <c r="C320" s="236"/>
      <c r="D320" s="236"/>
      <c r="E320" s="236"/>
      <c r="F320" s="236"/>
      <c r="G320" s="236"/>
      <c r="H320" s="463" t="s">
        <v>222</v>
      </c>
      <c r="I320" s="288" t="s">
        <v>209</v>
      </c>
      <c r="J320" s="320">
        <v>40725</v>
      </c>
      <c r="K320" s="288" t="s">
        <v>13</v>
      </c>
      <c r="L320" s="312">
        <v>3</v>
      </c>
      <c r="M320" s="466">
        <v>672</v>
      </c>
      <c r="N320" s="467">
        <v>112</v>
      </c>
      <c r="O320" s="441">
        <v>25367</v>
      </c>
      <c r="P320" s="442">
        <v>3846</v>
      </c>
      <c r="Q320" s="297">
        <v>40984</v>
      </c>
    </row>
    <row r="321" spans="1:17" ht="12" customHeight="1">
      <c r="A321" s="520">
        <v>318</v>
      </c>
      <c r="B321" s="236"/>
      <c r="C321" s="236"/>
      <c r="D321" s="236"/>
      <c r="E321" s="236" t="s">
        <v>250</v>
      </c>
      <c r="F321" s="236"/>
      <c r="G321" s="236"/>
      <c r="H321" s="460" t="s">
        <v>338</v>
      </c>
      <c r="I321" s="341" t="s">
        <v>343</v>
      </c>
      <c r="J321" s="320">
        <v>40844</v>
      </c>
      <c r="K321" s="288" t="s">
        <v>12</v>
      </c>
      <c r="L321" s="312">
        <v>41</v>
      </c>
      <c r="M321" s="378">
        <v>1678</v>
      </c>
      <c r="N321" s="379">
        <v>236</v>
      </c>
      <c r="O321" s="334">
        <v>514931</v>
      </c>
      <c r="P321" s="338">
        <v>42338</v>
      </c>
      <c r="Q321" s="297">
        <v>40935</v>
      </c>
    </row>
    <row r="322" spans="1:17" ht="12" customHeight="1">
      <c r="A322" s="520">
        <v>319</v>
      </c>
      <c r="B322" s="236"/>
      <c r="C322" s="236"/>
      <c r="D322" s="236"/>
      <c r="E322" s="236" t="s">
        <v>250</v>
      </c>
      <c r="F322" s="236"/>
      <c r="G322" s="236"/>
      <c r="H322" s="460" t="s">
        <v>338</v>
      </c>
      <c r="I322" s="341" t="s">
        <v>343</v>
      </c>
      <c r="J322" s="320">
        <v>40844</v>
      </c>
      <c r="K322" s="288" t="s">
        <v>12</v>
      </c>
      <c r="L322" s="312">
        <v>41</v>
      </c>
      <c r="M322" s="378">
        <v>1192</v>
      </c>
      <c r="N322" s="379">
        <v>188</v>
      </c>
      <c r="O322" s="334">
        <v>513253</v>
      </c>
      <c r="P322" s="338">
        <v>42102</v>
      </c>
      <c r="Q322" s="297">
        <v>40921</v>
      </c>
    </row>
    <row r="323" spans="1:17" ht="12" customHeight="1">
      <c r="A323" s="520">
        <v>320</v>
      </c>
      <c r="B323" s="236"/>
      <c r="C323" s="236"/>
      <c r="D323" s="236"/>
      <c r="E323" s="236" t="s">
        <v>250</v>
      </c>
      <c r="F323" s="236"/>
      <c r="G323" s="236"/>
      <c r="H323" s="460" t="s">
        <v>338</v>
      </c>
      <c r="I323" s="341" t="s">
        <v>343</v>
      </c>
      <c r="J323" s="320">
        <v>40844</v>
      </c>
      <c r="K323" s="288" t="s">
        <v>12</v>
      </c>
      <c r="L323" s="312">
        <v>41</v>
      </c>
      <c r="M323" s="378">
        <v>136</v>
      </c>
      <c r="N323" s="379">
        <v>17</v>
      </c>
      <c r="O323" s="334">
        <v>515067</v>
      </c>
      <c r="P323" s="338">
        <v>42355</v>
      </c>
      <c r="Q323" s="297">
        <v>40942</v>
      </c>
    </row>
    <row r="324" spans="1:17" ht="12" customHeight="1">
      <c r="A324" s="520">
        <v>321</v>
      </c>
      <c r="B324" s="236"/>
      <c r="C324" s="236"/>
      <c r="D324" s="236"/>
      <c r="E324" s="236"/>
      <c r="F324" s="236"/>
      <c r="G324" s="236" t="s">
        <v>54</v>
      </c>
      <c r="H324" s="459" t="s">
        <v>309</v>
      </c>
      <c r="I324" s="339" t="s">
        <v>309</v>
      </c>
      <c r="J324" s="320">
        <v>40676</v>
      </c>
      <c r="K324" s="288" t="s">
        <v>68</v>
      </c>
      <c r="L324" s="312">
        <v>10</v>
      </c>
      <c r="M324" s="382">
        <v>3801.5</v>
      </c>
      <c r="N324" s="383">
        <v>950</v>
      </c>
      <c r="O324" s="328">
        <f>19776.5+5289.5+3941.5+4149+6030.5+491+2263+886+669+235+576+182+578+116+1188+1782+1782+1782+1782+3801.5</f>
        <v>57300.5</v>
      </c>
      <c r="P324" s="344">
        <f>2214+710+772+646+1024+103+434+139+105+46+100+16+62+13+297+446+446+446+446+950</f>
        <v>9415</v>
      </c>
      <c r="Q324" s="297">
        <v>40914</v>
      </c>
    </row>
    <row r="325" spans="1:17" ht="12" customHeight="1">
      <c r="A325" s="520">
        <v>322</v>
      </c>
      <c r="B325" s="236"/>
      <c r="C325" s="236"/>
      <c r="D325" s="236"/>
      <c r="E325" s="236"/>
      <c r="F325" s="236"/>
      <c r="G325" s="236" t="s">
        <v>54</v>
      </c>
      <c r="H325" s="459" t="s">
        <v>309</v>
      </c>
      <c r="I325" s="339" t="s">
        <v>309</v>
      </c>
      <c r="J325" s="320">
        <v>40676</v>
      </c>
      <c r="K325" s="288" t="s">
        <v>68</v>
      </c>
      <c r="L325" s="312">
        <v>10</v>
      </c>
      <c r="M325" s="382">
        <v>2138.5</v>
      </c>
      <c r="N325" s="383">
        <v>535</v>
      </c>
      <c r="O325" s="328">
        <f>19776.5+5289.5+3941.5+4149+6030.5+491+2263+886+669+235+576+182+578+116+1188+1782+1782+1782+1782+3801.5+2138.5</f>
        <v>59439</v>
      </c>
      <c r="P325" s="344">
        <f>2214+710+772+646+1024+103+434+139+105+46+100+16+62+13+297+446+446+446+446+950+535</f>
        <v>9950</v>
      </c>
      <c r="Q325" s="297">
        <v>40921</v>
      </c>
    </row>
    <row r="326" spans="1:17" ht="12" customHeight="1">
      <c r="A326" s="520">
        <v>323</v>
      </c>
      <c r="B326" s="236"/>
      <c r="C326" s="236"/>
      <c r="D326" s="236"/>
      <c r="E326" s="236"/>
      <c r="F326" s="236"/>
      <c r="G326" s="236" t="s">
        <v>54</v>
      </c>
      <c r="H326" s="366" t="s">
        <v>309</v>
      </c>
      <c r="I326" s="339" t="s">
        <v>309</v>
      </c>
      <c r="J326" s="320">
        <v>40676</v>
      </c>
      <c r="K326" s="288" t="s">
        <v>68</v>
      </c>
      <c r="L326" s="312">
        <v>11</v>
      </c>
      <c r="M326" s="382">
        <v>1188</v>
      </c>
      <c r="N326" s="383">
        <v>238</v>
      </c>
      <c r="O326" s="328">
        <f>19776.5+5289.5+3941.5+4149+6030.5+491+2263+886+669+235+576+182+578+116+1188+1782+1782+1782+1782+3801.5+2138.5+357+1188</f>
        <v>60984</v>
      </c>
      <c r="P326" s="344">
        <f>2214+710+772+646+1024+103+434+139+105+46+100+16+62+13+297+446+446+446+446+950+535+158+238</f>
        <v>10346</v>
      </c>
      <c r="Q326" s="297">
        <v>41033</v>
      </c>
    </row>
    <row r="327" spans="1:17" ht="12" customHeight="1">
      <c r="A327" s="520">
        <v>324</v>
      </c>
      <c r="B327" s="236"/>
      <c r="C327" s="236"/>
      <c r="D327" s="236"/>
      <c r="E327" s="236"/>
      <c r="F327" s="236"/>
      <c r="G327" s="236" t="s">
        <v>54</v>
      </c>
      <c r="H327" s="366" t="s">
        <v>309</v>
      </c>
      <c r="I327" s="339" t="s">
        <v>309</v>
      </c>
      <c r="J327" s="320">
        <v>40676</v>
      </c>
      <c r="K327" s="288" t="s">
        <v>68</v>
      </c>
      <c r="L327" s="312">
        <v>11</v>
      </c>
      <c r="M327" s="382">
        <v>357</v>
      </c>
      <c r="N327" s="383">
        <v>158</v>
      </c>
      <c r="O327" s="328">
        <f>19776.5+5289.5+3941.5+4149+6030.5+491+2263+886+669+235+576+182+578+116+1188+1782+1782+1782+1782+3801.5+2138.5+357</f>
        <v>59796</v>
      </c>
      <c r="P327" s="344">
        <f>2214+710+772+646+1024+103+434+139+105+46+100+16+62+13+297+446+446+446+446+950+535+158</f>
        <v>10108</v>
      </c>
      <c r="Q327" s="297">
        <v>40963</v>
      </c>
    </row>
    <row r="328" spans="1:17" ht="12" customHeight="1">
      <c r="A328" s="520">
        <v>325</v>
      </c>
      <c r="B328" s="236"/>
      <c r="C328" s="236"/>
      <c r="D328" s="236"/>
      <c r="E328" s="236"/>
      <c r="F328" s="236" t="s">
        <v>55</v>
      </c>
      <c r="G328" s="236"/>
      <c r="H328" s="459" t="s">
        <v>322</v>
      </c>
      <c r="I328" s="339" t="s">
        <v>319</v>
      </c>
      <c r="J328" s="320">
        <v>40746</v>
      </c>
      <c r="K328" s="288" t="s">
        <v>68</v>
      </c>
      <c r="L328" s="312">
        <v>1</v>
      </c>
      <c r="M328" s="382">
        <v>2138.5</v>
      </c>
      <c r="N328" s="383">
        <v>535</v>
      </c>
      <c r="O328" s="328">
        <f>5298+3611+922.5+907+181+268.5+2138.5+2138.5+2138.5+2138.5</f>
        <v>19742</v>
      </c>
      <c r="P328" s="344">
        <f>334+225+67+122+18+21+535+535+535+535</f>
        <v>2927</v>
      </c>
      <c r="Q328" s="297">
        <v>40928</v>
      </c>
    </row>
    <row r="329" spans="1:17" ht="12" customHeight="1">
      <c r="A329" s="520">
        <v>326</v>
      </c>
      <c r="B329" s="236"/>
      <c r="C329" s="236"/>
      <c r="D329" s="236"/>
      <c r="E329" s="236"/>
      <c r="F329" s="236" t="s">
        <v>55</v>
      </c>
      <c r="G329" s="236"/>
      <c r="H329" s="459" t="s">
        <v>322</v>
      </c>
      <c r="I329" s="339" t="s">
        <v>319</v>
      </c>
      <c r="J329" s="320">
        <v>40746</v>
      </c>
      <c r="K329" s="288" t="s">
        <v>68</v>
      </c>
      <c r="L329" s="312">
        <v>1</v>
      </c>
      <c r="M329" s="382">
        <v>2138.5</v>
      </c>
      <c r="N329" s="383">
        <v>535</v>
      </c>
      <c r="O329" s="328">
        <f>5298+3611+922.5+907+181+268.5+2138.5+2138.5+2138.5</f>
        <v>17603.5</v>
      </c>
      <c r="P329" s="344">
        <f>334+225+67+122+18+21+535+535+535</f>
        <v>2392</v>
      </c>
      <c r="Q329" s="297">
        <v>40921</v>
      </c>
    </row>
    <row r="330" spans="1:17" ht="12" customHeight="1">
      <c r="A330" s="520">
        <v>327</v>
      </c>
      <c r="B330" s="236"/>
      <c r="C330" s="236"/>
      <c r="D330" s="236"/>
      <c r="E330" s="236"/>
      <c r="F330" s="236" t="s">
        <v>55</v>
      </c>
      <c r="G330" s="236"/>
      <c r="H330" s="459" t="s">
        <v>322</v>
      </c>
      <c r="I330" s="339" t="s">
        <v>319</v>
      </c>
      <c r="J330" s="320">
        <v>40746</v>
      </c>
      <c r="K330" s="288" t="s">
        <v>68</v>
      </c>
      <c r="L330" s="312">
        <v>1</v>
      </c>
      <c r="M330" s="382">
        <v>2138.5</v>
      </c>
      <c r="N330" s="383">
        <v>535</v>
      </c>
      <c r="O330" s="328">
        <f>5298+3611+922.5+907+181+268.5+2138.5+2138.5</f>
        <v>15465</v>
      </c>
      <c r="P330" s="344">
        <f>334+225+67+122+18+21+535+535</f>
        <v>1857</v>
      </c>
      <c r="Q330" s="297">
        <v>40914</v>
      </c>
    </row>
    <row r="331" spans="1:17" ht="12" customHeight="1">
      <c r="A331" s="520">
        <v>328</v>
      </c>
      <c r="B331" s="236"/>
      <c r="C331" s="236"/>
      <c r="D331" s="236"/>
      <c r="E331" s="236"/>
      <c r="F331" s="236"/>
      <c r="G331" s="236" t="s">
        <v>54</v>
      </c>
      <c r="H331" s="459" t="s">
        <v>349</v>
      </c>
      <c r="I331" s="339" t="s">
        <v>349</v>
      </c>
      <c r="J331" s="320">
        <v>40627</v>
      </c>
      <c r="K331" s="288" t="s">
        <v>68</v>
      </c>
      <c r="L331" s="312">
        <v>137</v>
      </c>
      <c r="M331" s="382">
        <v>3801.5</v>
      </c>
      <c r="N331" s="383">
        <v>950</v>
      </c>
      <c r="O331" s="328">
        <f>1066061.5+1061275+813239.75+606216+468367.5+266511+137274.5+89937.5+9478+4671.5+2215.5+593.5+2273.5+2234+1858+10514.5+2603+2122+2001+349+713+2613.5+475.5+3801.5</f>
        <v>4557399.75</v>
      </c>
      <c r="P331" s="344">
        <f>110278+106719+82858+62672+50883+32012+17904+13463+1427+637+352+91+261+268+240+2410+402+325+272+26+178+653+109+950</f>
        <v>485390</v>
      </c>
      <c r="Q331" s="297">
        <v>40921</v>
      </c>
    </row>
    <row r="332" spans="1:17" ht="12" customHeight="1">
      <c r="A332" s="520">
        <v>329</v>
      </c>
      <c r="B332" s="236"/>
      <c r="C332" s="236"/>
      <c r="D332" s="236"/>
      <c r="E332" s="236"/>
      <c r="F332" s="236"/>
      <c r="G332" s="236" t="s">
        <v>54</v>
      </c>
      <c r="H332" s="366" t="s">
        <v>349</v>
      </c>
      <c r="I332" s="339" t="s">
        <v>349</v>
      </c>
      <c r="J332" s="320">
        <v>40627</v>
      </c>
      <c r="K332" s="288" t="s">
        <v>68</v>
      </c>
      <c r="L332" s="312">
        <v>137</v>
      </c>
      <c r="M332" s="382">
        <v>950</v>
      </c>
      <c r="N332" s="383">
        <v>190</v>
      </c>
      <c r="O332" s="328">
        <f>1066061.5+1061275+813239.75+606216+468367.5+266511+137274.5+89937.5+9478+4671.5+2215.5+593.5+2273.5+2234+1858+10514.5+2603+2122+2001+349+713+2613.5+475.5+3801.5+950</f>
        <v>4558349.75</v>
      </c>
      <c r="P332" s="344">
        <f>110278+106719+82858+62672+50883+32012+17904+13463+1427+637+352+91+261+268+240+2410+402+325+272+26+178+653+109+950+190</f>
        <v>485580</v>
      </c>
      <c r="Q332" s="297">
        <v>40949</v>
      </c>
    </row>
    <row r="333" spans="1:17" ht="12" customHeight="1">
      <c r="A333" s="520">
        <v>330</v>
      </c>
      <c r="B333" s="236"/>
      <c r="C333" s="236"/>
      <c r="D333" s="236"/>
      <c r="E333" s="236"/>
      <c r="F333" s="236"/>
      <c r="G333" s="236"/>
      <c r="H333" s="363" t="s">
        <v>560</v>
      </c>
      <c r="I333" s="319" t="s">
        <v>561</v>
      </c>
      <c r="J333" s="320">
        <v>41175</v>
      </c>
      <c r="K333" s="288" t="s">
        <v>53</v>
      </c>
      <c r="L333" s="346">
        <v>51</v>
      </c>
      <c r="M333" s="382">
        <v>808</v>
      </c>
      <c r="N333" s="383">
        <v>81</v>
      </c>
      <c r="O333" s="328">
        <f>365324+274223.5+203452+116521.5+40713.5+8734.5+7823+1091+1063.5+451+808</f>
        <v>1020205.5</v>
      </c>
      <c r="P333" s="344">
        <f>32747+24923+18547+11662+5049+1079+999+148+136+54+81</f>
        <v>95425</v>
      </c>
      <c r="Q333" s="297">
        <v>40963</v>
      </c>
    </row>
    <row r="334" spans="1:17" ht="12" customHeight="1">
      <c r="A334" s="520">
        <v>331</v>
      </c>
      <c r="B334" s="236" t="s">
        <v>193</v>
      </c>
      <c r="C334" s="236"/>
      <c r="D334" s="236"/>
      <c r="E334" s="236" t="s">
        <v>250</v>
      </c>
      <c r="F334" s="236" t="s">
        <v>55</v>
      </c>
      <c r="G334" s="236"/>
      <c r="H334" s="460" t="s">
        <v>97</v>
      </c>
      <c r="I334" s="341" t="s">
        <v>97</v>
      </c>
      <c r="J334" s="320">
        <v>40704</v>
      </c>
      <c r="K334" s="288" t="s">
        <v>12</v>
      </c>
      <c r="L334" s="312">
        <v>144</v>
      </c>
      <c r="M334" s="378">
        <v>1197</v>
      </c>
      <c r="N334" s="379">
        <v>189</v>
      </c>
      <c r="O334" s="334">
        <v>3761997</v>
      </c>
      <c r="P334" s="338">
        <v>344950</v>
      </c>
      <c r="Q334" s="297">
        <v>40928</v>
      </c>
    </row>
    <row r="335" spans="1:17" ht="12" customHeight="1">
      <c r="A335" s="520">
        <v>332</v>
      </c>
      <c r="B335" s="236" t="s">
        <v>193</v>
      </c>
      <c r="C335" s="236"/>
      <c r="D335" s="236"/>
      <c r="E335" s="236" t="s">
        <v>250</v>
      </c>
      <c r="F335" s="236" t="s">
        <v>55</v>
      </c>
      <c r="G335" s="236"/>
      <c r="H335" s="460" t="s">
        <v>97</v>
      </c>
      <c r="I335" s="341" t="s">
        <v>97</v>
      </c>
      <c r="J335" s="320">
        <v>40704</v>
      </c>
      <c r="K335" s="288" t="s">
        <v>12</v>
      </c>
      <c r="L335" s="312">
        <v>144</v>
      </c>
      <c r="M335" s="378">
        <v>1197</v>
      </c>
      <c r="N335" s="379">
        <v>189</v>
      </c>
      <c r="O335" s="334">
        <v>3760800</v>
      </c>
      <c r="P335" s="338">
        <v>344761</v>
      </c>
      <c r="Q335" s="297">
        <v>40914</v>
      </c>
    </row>
    <row r="336" spans="1:17" ht="12" customHeight="1">
      <c r="A336" s="520">
        <v>333</v>
      </c>
      <c r="B336" s="236" t="s">
        <v>193</v>
      </c>
      <c r="C336" s="236"/>
      <c r="D336" s="236"/>
      <c r="E336" s="236" t="s">
        <v>250</v>
      </c>
      <c r="F336" s="236" t="s">
        <v>55</v>
      </c>
      <c r="G336" s="236"/>
      <c r="H336" s="460" t="s">
        <v>97</v>
      </c>
      <c r="I336" s="341" t="s">
        <v>97</v>
      </c>
      <c r="J336" s="297">
        <v>40704</v>
      </c>
      <c r="K336" s="288" t="s">
        <v>12</v>
      </c>
      <c r="L336" s="312">
        <v>144</v>
      </c>
      <c r="M336" s="378">
        <v>45</v>
      </c>
      <c r="N336" s="379">
        <v>9</v>
      </c>
      <c r="O336" s="334">
        <v>3759603</v>
      </c>
      <c r="P336" s="338">
        <v>344572</v>
      </c>
      <c r="Q336" s="297">
        <v>40907</v>
      </c>
    </row>
    <row r="337" spans="1:17" ht="12" customHeight="1">
      <c r="A337" s="520">
        <v>334</v>
      </c>
      <c r="B337" s="236"/>
      <c r="C337" s="236"/>
      <c r="D337" s="236"/>
      <c r="E337" s="236"/>
      <c r="F337" s="236"/>
      <c r="G337" s="236" t="s">
        <v>54</v>
      </c>
      <c r="H337" s="460" t="s">
        <v>304</v>
      </c>
      <c r="I337" s="341" t="s">
        <v>304</v>
      </c>
      <c r="J337" s="320">
        <v>40914</v>
      </c>
      <c r="K337" s="288" t="s">
        <v>12</v>
      </c>
      <c r="L337" s="312">
        <v>204</v>
      </c>
      <c r="M337" s="378">
        <v>1571916</v>
      </c>
      <c r="N337" s="379">
        <v>166869</v>
      </c>
      <c r="O337" s="334">
        <v>1571916</v>
      </c>
      <c r="P337" s="338">
        <v>166869</v>
      </c>
      <c r="Q337" s="297">
        <v>40914</v>
      </c>
    </row>
    <row r="338" spans="1:17" ht="12" customHeight="1">
      <c r="A338" s="520">
        <v>335</v>
      </c>
      <c r="B338" s="236"/>
      <c r="C338" s="236"/>
      <c r="D338" s="236"/>
      <c r="E338" s="236"/>
      <c r="F338" s="236"/>
      <c r="G338" s="236" t="s">
        <v>54</v>
      </c>
      <c r="H338" s="460" t="s">
        <v>304</v>
      </c>
      <c r="I338" s="341" t="s">
        <v>304</v>
      </c>
      <c r="J338" s="320">
        <v>40914</v>
      </c>
      <c r="K338" s="288" t="s">
        <v>12</v>
      </c>
      <c r="L338" s="312">
        <v>204</v>
      </c>
      <c r="M338" s="378">
        <v>1545867</v>
      </c>
      <c r="N338" s="379">
        <v>166896</v>
      </c>
      <c r="O338" s="334">
        <v>3117783</v>
      </c>
      <c r="P338" s="338">
        <v>333765</v>
      </c>
      <c r="Q338" s="297">
        <v>40921</v>
      </c>
    </row>
    <row r="339" spans="1:17" ht="12" customHeight="1">
      <c r="A339" s="520">
        <v>336</v>
      </c>
      <c r="B339" s="293"/>
      <c r="C339" s="293"/>
      <c r="D339" s="236"/>
      <c r="E339" s="293"/>
      <c r="F339" s="236"/>
      <c r="G339" s="236"/>
      <c r="H339" s="464" t="s">
        <v>331</v>
      </c>
      <c r="I339" s="288" t="s">
        <v>332</v>
      </c>
      <c r="J339" s="320">
        <v>40893</v>
      </c>
      <c r="K339" s="288" t="s">
        <v>289</v>
      </c>
      <c r="L339" s="312">
        <v>8</v>
      </c>
      <c r="M339" s="378">
        <v>10431.5</v>
      </c>
      <c r="N339" s="379">
        <v>1186</v>
      </c>
      <c r="O339" s="334">
        <v>34975.5</v>
      </c>
      <c r="P339" s="338">
        <v>3096</v>
      </c>
      <c r="Q339" s="297">
        <v>40928</v>
      </c>
    </row>
    <row r="340" spans="1:17" ht="12" customHeight="1">
      <c r="A340" s="520">
        <v>337</v>
      </c>
      <c r="B340" s="293"/>
      <c r="C340" s="293"/>
      <c r="D340" s="236"/>
      <c r="E340" s="293"/>
      <c r="F340" s="236"/>
      <c r="G340" s="236"/>
      <c r="H340" s="360" t="s">
        <v>331</v>
      </c>
      <c r="I340" s="288" t="s">
        <v>332</v>
      </c>
      <c r="J340" s="320">
        <v>40893</v>
      </c>
      <c r="K340" s="288" t="s">
        <v>289</v>
      </c>
      <c r="L340" s="312">
        <v>8</v>
      </c>
      <c r="M340" s="382">
        <v>4480</v>
      </c>
      <c r="N340" s="383">
        <v>896</v>
      </c>
      <c r="O340" s="328">
        <v>40589.5</v>
      </c>
      <c r="P340" s="344">
        <v>4102</v>
      </c>
      <c r="Q340" s="297">
        <v>40963</v>
      </c>
    </row>
    <row r="341" spans="1:17" ht="12" customHeight="1">
      <c r="A341" s="520">
        <v>338</v>
      </c>
      <c r="B341" s="293"/>
      <c r="C341" s="293"/>
      <c r="D341" s="236"/>
      <c r="E341" s="293"/>
      <c r="F341" s="236"/>
      <c r="G341" s="236"/>
      <c r="H341" s="360" t="s">
        <v>331</v>
      </c>
      <c r="I341" s="288" t="s">
        <v>332</v>
      </c>
      <c r="J341" s="320">
        <v>40893</v>
      </c>
      <c r="K341" s="288" t="s">
        <v>289</v>
      </c>
      <c r="L341" s="312">
        <v>8</v>
      </c>
      <c r="M341" s="378">
        <v>2376</v>
      </c>
      <c r="N341" s="379">
        <v>476</v>
      </c>
      <c r="O341" s="334">
        <v>42965.5</v>
      </c>
      <c r="P341" s="338">
        <v>4578</v>
      </c>
      <c r="Q341" s="297">
        <v>40970</v>
      </c>
    </row>
    <row r="342" spans="1:17" ht="12" customHeight="1">
      <c r="A342" s="520">
        <v>339</v>
      </c>
      <c r="B342" s="293"/>
      <c r="C342" s="293"/>
      <c r="D342" s="236"/>
      <c r="E342" s="293"/>
      <c r="F342" s="236"/>
      <c r="G342" s="236"/>
      <c r="H342" s="360" t="s">
        <v>331</v>
      </c>
      <c r="I342" s="288" t="s">
        <v>332</v>
      </c>
      <c r="J342" s="320">
        <v>40893</v>
      </c>
      <c r="K342" s="288" t="s">
        <v>289</v>
      </c>
      <c r="L342" s="313">
        <v>8</v>
      </c>
      <c r="M342" s="378">
        <v>1188</v>
      </c>
      <c r="N342" s="379">
        <v>238</v>
      </c>
      <c r="O342" s="334">
        <v>44486.5</v>
      </c>
      <c r="P342" s="338">
        <v>4862</v>
      </c>
      <c r="Q342" s="297">
        <v>41005</v>
      </c>
    </row>
    <row r="343" spans="1:17" ht="12" customHeight="1">
      <c r="A343" s="520">
        <v>340</v>
      </c>
      <c r="B343" s="293"/>
      <c r="C343" s="293"/>
      <c r="D343" s="236"/>
      <c r="E343" s="293"/>
      <c r="F343" s="236"/>
      <c r="G343" s="236"/>
      <c r="H343" s="464" t="s">
        <v>331</v>
      </c>
      <c r="I343" s="288" t="s">
        <v>332</v>
      </c>
      <c r="J343" s="320">
        <v>40893</v>
      </c>
      <c r="K343" s="288" t="s">
        <v>289</v>
      </c>
      <c r="L343" s="312">
        <v>8</v>
      </c>
      <c r="M343" s="378">
        <v>1134</v>
      </c>
      <c r="N343" s="379">
        <v>110</v>
      </c>
      <c r="O343" s="334">
        <v>36109.5</v>
      </c>
      <c r="P343" s="442">
        <v>3206</v>
      </c>
      <c r="Q343" s="297">
        <v>40935</v>
      </c>
    </row>
    <row r="344" spans="1:17" ht="12" customHeight="1">
      <c r="A344" s="520">
        <v>341</v>
      </c>
      <c r="B344" s="293"/>
      <c r="C344" s="293"/>
      <c r="D344" s="236"/>
      <c r="E344" s="293"/>
      <c r="F344" s="236"/>
      <c r="G344" s="236"/>
      <c r="H344" s="360" t="s">
        <v>331</v>
      </c>
      <c r="I344" s="288" t="s">
        <v>332</v>
      </c>
      <c r="J344" s="320">
        <v>40893</v>
      </c>
      <c r="K344" s="288" t="s">
        <v>289</v>
      </c>
      <c r="L344" s="313">
        <v>8</v>
      </c>
      <c r="M344" s="378">
        <v>333</v>
      </c>
      <c r="N344" s="379">
        <v>46</v>
      </c>
      <c r="O344" s="334">
        <v>43298.5</v>
      </c>
      <c r="P344" s="338">
        <v>4624</v>
      </c>
      <c r="Q344" s="297">
        <v>40998</v>
      </c>
    </row>
    <row r="345" spans="1:17" ht="12" customHeight="1">
      <c r="A345" s="520">
        <v>342</v>
      </c>
      <c r="B345" s="293"/>
      <c r="C345" s="293"/>
      <c r="D345" s="236"/>
      <c r="E345" s="293"/>
      <c r="F345" s="236"/>
      <c r="G345" s="236"/>
      <c r="H345" s="464" t="s">
        <v>331</v>
      </c>
      <c r="I345" s="288" t="s">
        <v>332</v>
      </c>
      <c r="J345" s="320">
        <v>40893</v>
      </c>
      <c r="K345" s="288" t="s">
        <v>289</v>
      </c>
      <c r="L345" s="312">
        <v>8</v>
      </c>
      <c r="M345" s="378">
        <v>113</v>
      </c>
      <c r="N345" s="379">
        <v>14</v>
      </c>
      <c r="O345" s="334">
        <v>24528</v>
      </c>
      <c r="P345" s="338">
        <v>1908</v>
      </c>
      <c r="Q345" s="297">
        <v>40921</v>
      </c>
    </row>
    <row r="346" spans="1:17" ht="12" customHeight="1">
      <c r="A346" s="520">
        <v>343</v>
      </c>
      <c r="B346" s="236"/>
      <c r="C346" s="236"/>
      <c r="D346" s="236"/>
      <c r="E346" s="236"/>
      <c r="F346" s="236"/>
      <c r="G346" s="236"/>
      <c r="H346" s="459" t="s">
        <v>194</v>
      </c>
      <c r="I346" s="339" t="s">
        <v>171</v>
      </c>
      <c r="J346" s="297">
        <v>40907</v>
      </c>
      <c r="K346" s="288" t="s">
        <v>68</v>
      </c>
      <c r="L346" s="312">
        <v>19</v>
      </c>
      <c r="M346" s="382">
        <v>115157</v>
      </c>
      <c r="N346" s="383">
        <v>8628</v>
      </c>
      <c r="O346" s="328">
        <f>108631+115157</f>
        <v>223788</v>
      </c>
      <c r="P346" s="344">
        <f>8552+8628</f>
        <v>17180</v>
      </c>
      <c r="Q346" s="297">
        <v>40914</v>
      </c>
    </row>
    <row r="347" spans="1:17" ht="12" customHeight="1">
      <c r="A347" s="520">
        <v>344</v>
      </c>
      <c r="B347" s="236"/>
      <c r="C347" s="236"/>
      <c r="D347" s="236"/>
      <c r="E347" s="236"/>
      <c r="F347" s="236"/>
      <c r="G347" s="236"/>
      <c r="H347" s="459" t="s">
        <v>194</v>
      </c>
      <c r="I347" s="339" t="s">
        <v>171</v>
      </c>
      <c r="J347" s="297">
        <v>41273</v>
      </c>
      <c r="K347" s="288" t="s">
        <v>68</v>
      </c>
      <c r="L347" s="312">
        <v>19</v>
      </c>
      <c r="M347" s="382">
        <v>108199</v>
      </c>
      <c r="N347" s="383">
        <v>8513</v>
      </c>
      <c r="O347" s="328">
        <f>108199</f>
        <v>108199</v>
      </c>
      <c r="P347" s="344">
        <f>8513</f>
        <v>8513</v>
      </c>
      <c r="Q347" s="297">
        <v>40907</v>
      </c>
    </row>
    <row r="348" spans="1:17" ht="12" customHeight="1">
      <c r="A348" s="520">
        <v>345</v>
      </c>
      <c r="B348" s="236"/>
      <c r="C348" s="236"/>
      <c r="D348" s="236"/>
      <c r="E348" s="236"/>
      <c r="F348" s="236"/>
      <c r="G348" s="236"/>
      <c r="H348" s="459" t="s">
        <v>194</v>
      </c>
      <c r="I348" s="339" t="s">
        <v>171</v>
      </c>
      <c r="J348" s="297">
        <v>40907</v>
      </c>
      <c r="K348" s="288" t="s">
        <v>68</v>
      </c>
      <c r="L348" s="312">
        <v>19</v>
      </c>
      <c r="M348" s="382">
        <v>28332.5</v>
      </c>
      <c r="N348" s="383">
        <v>2468</v>
      </c>
      <c r="O348" s="328">
        <f>108631+115157+28332.5</f>
        <v>252120.5</v>
      </c>
      <c r="P348" s="344">
        <f>8552+8628+2468</f>
        <v>19648</v>
      </c>
      <c r="Q348" s="297">
        <v>40921</v>
      </c>
    </row>
    <row r="349" spans="1:17" ht="12" customHeight="1">
      <c r="A349" s="520">
        <v>346</v>
      </c>
      <c r="B349" s="236"/>
      <c r="C349" s="236"/>
      <c r="D349" s="236"/>
      <c r="E349" s="236"/>
      <c r="F349" s="236"/>
      <c r="G349" s="236" t="s">
        <v>54</v>
      </c>
      <c r="H349" s="459" t="s">
        <v>140</v>
      </c>
      <c r="I349" s="339" t="s">
        <v>140</v>
      </c>
      <c r="J349" s="320">
        <v>40900</v>
      </c>
      <c r="K349" s="288" t="s">
        <v>68</v>
      </c>
      <c r="L349" s="312">
        <v>197</v>
      </c>
      <c r="M349" s="382">
        <v>656291</v>
      </c>
      <c r="N349" s="383">
        <v>73110</v>
      </c>
      <c r="O349" s="328">
        <f>985836.5+656291</f>
        <v>1642127.5</v>
      </c>
      <c r="P349" s="344">
        <f>106718+73110</f>
        <v>179828</v>
      </c>
      <c r="Q349" s="297">
        <v>40907</v>
      </c>
    </row>
    <row r="350" spans="1:17" ht="12" customHeight="1">
      <c r="A350" s="520">
        <v>347</v>
      </c>
      <c r="B350" s="236"/>
      <c r="C350" s="236"/>
      <c r="D350" s="236"/>
      <c r="E350" s="236"/>
      <c r="F350" s="236"/>
      <c r="G350" s="236" t="s">
        <v>54</v>
      </c>
      <c r="H350" s="459" t="s">
        <v>140</v>
      </c>
      <c r="I350" s="339" t="s">
        <v>140</v>
      </c>
      <c r="J350" s="320">
        <v>40900</v>
      </c>
      <c r="K350" s="288" t="s">
        <v>68</v>
      </c>
      <c r="L350" s="312">
        <v>197</v>
      </c>
      <c r="M350" s="382">
        <v>454728.5</v>
      </c>
      <c r="N350" s="383">
        <v>50608</v>
      </c>
      <c r="O350" s="328">
        <f>985836.5+657011.5+454728.5</f>
        <v>2097576.5</v>
      </c>
      <c r="P350" s="344">
        <f>106718+73176+50608</f>
        <v>230502</v>
      </c>
      <c r="Q350" s="297">
        <v>40914</v>
      </c>
    </row>
    <row r="351" spans="1:17" ht="12" customHeight="1">
      <c r="A351" s="520">
        <v>348</v>
      </c>
      <c r="B351" s="236"/>
      <c r="C351" s="236"/>
      <c r="D351" s="236"/>
      <c r="E351" s="236"/>
      <c r="F351" s="236"/>
      <c r="G351" s="236" t="s">
        <v>54</v>
      </c>
      <c r="H351" s="459" t="s">
        <v>140</v>
      </c>
      <c r="I351" s="339" t="s">
        <v>140</v>
      </c>
      <c r="J351" s="320">
        <v>40900</v>
      </c>
      <c r="K351" s="288" t="s">
        <v>68</v>
      </c>
      <c r="L351" s="312">
        <v>197</v>
      </c>
      <c r="M351" s="382">
        <v>206447</v>
      </c>
      <c r="N351" s="383">
        <v>29112</v>
      </c>
      <c r="O351" s="328">
        <f>985836.5+657011.5+454728.5+206447</f>
        <v>2304023.5</v>
      </c>
      <c r="P351" s="344">
        <f>106718+73176+50608+29112</f>
        <v>259614</v>
      </c>
      <c r="Q351" s="297">
        <v>40921</v>
      </c>
    </row>
    <row r="352" spans="1:17" ht="12" customHeight="1">
      <c r="A352" s="520">
        <v>349</v>
      </c>
      <c r="B352" s="236"/>
      <c r="C352" s="236"/>
      <c r="D352" s="236"/>
      <c r="E352" s="236"/>
      <c r="F352" s="236"/>
      <c r="G352" s="236" t="s">
        <v>54</v>
      </c>
      <c r="H352" s="459" t="s">
        <v>140</v>
      </c>
      <c r="I352" s="339" t="s">
        <v>140</v>
      </c>
      <c r="J352" s="320">
        <v>40900</v>
      </c>
      <c r="K352" s="288" t="s">
        <v>68</v>
      </c>
      <c r="L352" s="312">
        <v>197</v>
      </c>
      <c r="M352" s="382">
        <v>72029</v>
      </c>
      <c r="N352" s="383">
        <v>10776</v>
      </c>
      <c r="O352" s="328">
        <f>985836.5+657011.5+454728.5+206461+72029</f>
        <v>2376066.5</v>
      </c>
      <c r="P352" s="344">
        <f>106718+73176+50608+29114+10776</f>
        <v>270392</v>
      </c>
      <c r="Q352" s="297">
        <v>40928</v>
      </c>
    </row>
    <row r="353" spans="1:17" ht="12" customHeight="1">
      <c r="A353" s="520">
        <v>350</v>
      </c>
      <c r="B353" s="236"/>
      <c r="C353" s="236"/>
      <c r="D353" s="236"/>
      <c r="E353" s="236"/>
      <c r="F353" s="236"/>
      <c r="G353" s="236" t="s">
        <v>54</v>
      </c>
      <c r="H353" s="459" t="s">
        <v>140</v>
      </c>
      <c r="I353" s="339" t="s">
        <v>140</v>
      </c>
      <c r="J353" s="320">
        <v>40900</v>
      </c>
      <c r="K353" s="288" t="s">
        <v>68</v>
      </c>
      <c r="L353" s="312">
        <v>197</v>
      </c>
      <c r="M353" s="382">
        <v>16105.51</v>
      </c>
      <c r="N353" s="383">
        <v>3413</v>
      </c>
      <c r="O353" s="328">
        <f>985836.5+657011.5+454728.5+206461+72029+16105.51</f>
        <v>2392172.01</v>
      </c>
      <c r="P353" s="344">
        <f>106718+73176+50608+29114+10776+3413</f>
        <v>273805</v>
      </c>
      <c r="Q353" s="297">
        <v>40935</v>
      </c>
    </row>
    <row r="354" spans="1:17" ht="12" customHeight="1">
      <c r="A354" s="520">
        <v>351</v>
      </c>
      <c r="B354" s="236"/>
      <c r="C354" s="236"/>
      <c r="D354" s="236"/>
      <c r="E354" s="236"/>
      <c r="F354" s="236"/>
      <c r="G354" s="236" t="s">
        <v>54</v>
      </c>
      <c r="H354" s="459" t="s">
        <v>140</v>
      </c>
      <c r="I354" s="339" t="s">
        <v>140</v>
      </c>
      <c r="J354" s="320">
        <v>40900</v>
      </c>
      <c r="K354" s="288" t="s">
        <v>68</v>
      </c>
      <c r="L354" s="312">
        <v>197</v>
      </c>
      <c r="M354" s="382">
        <v>5902</v>
      </c>
      <c r="N354" s="383">
        <v>1375</v>
      </c>
      <c r="O354" s="328">
        <f>985836.5+657011.5+454728.5+206461+72029+16105.51+5902</f>
        <v>2398074.01</v>
      </c>
      <c r="P354" s="344">
        <f>106718+73176+50608+29114+10776+3413+1375</f>
        <v>275180</v>
      </c>
      <c r="Q354" s="297">
        <v>40942</v>
      </c>
    </row>
    <row r="355" spans="1:17" ht="12" customHeight="1">
      <c r="A355" s="520">
        <v>352</v>
      </c>
      <c r="B355" s="236"/>
      <c r="C355" s="236"/>
      <c r="D355" s="236"/>
      <c r="E355" s="236"/>
      <c r="F355" s="236"/>
      <c r="G355" s="236" t="s">
        <v>54</v>
      </c>
      <c r="H355" s="366" t="s">
        <v>140</v>
      </c>
      <c r="I355" s="339" t="s">
        <v>140</v>
      </c>
      <c r="J355" s="320">
        <v>40900</v>
      </c>
      <c r="K355" s="288" t="s">
        <v>68</v>
      </c>
      <c r="L355" s="312">
        <v>197</v>
      </c>
      <c r="M355" s="382">
        <v>3599</v>
      </c>
      <c r="N355" s="383">
        <v>639</v>
      </c>
      <c r="O355" s="328">
        <f>985836.5+657011.5+454728.5+206461+72029+16105.51+5902+3599</f>
        <v>2401673.01</v>
      </c>
      <c r="P355" s="344">
        <f>106718+73176+50608+29114+10776+3413+1375+639</f>
        <v>275819</v>
      </c>
      <c r="Q355" s="297">
        <v>40949</v>
      </c>
    </row>
    <row r="356" spans="1:17" ht="12" customHeight="1">
      <c r="A356" s="520">
        <v>353</v>
      </c>
      <c r="B356" s="236"/>
      <c r="C356" s="236"/>
      <c r="D356" s="236"/>
      <c r="E356" s="236"/>
      <c r="F356" s="236"/>
      <c r="G356" s="236" t="s">
        <v>54</v>
      </c>
      <c r="H356" s="366" t="s">
        <v>140</v>
      </c>
      <c r="I356" s="339" t="s">
        <v>140</v>
      </c>
      <c r="J356" s="320">
        <v>40900</v>
      </c>
      <c r="K356" s="288" t="s">
        <v>68</v>
      </c>
      <c r="L356" s="313">
        <v>197</v>
      </c>
      <c r="M356" s="382">
        <v>3564</v>
      </c>
      <c r="N356" s="383">
        <v>712</v>
      </c>
      <c r="O356" s="328">
        <f>985836.5+657011.5+454728.5+206461+72029+16105.51+5902+3599+438+1782+3564</f>
        <v>2407457.01</v>
      </c>
      <c r="P356" s="344">
        <f>106718+73176+50608+29114+10776+3413+1375+639+190+356+712</f>
        <v>277077</v>
      </c>
      <c r="Q356" s="297">
        <v>41005</v>
      </c>
    </row>
    <row r="357" spans="1:17" ht="12" customHeight="1">
      <c r="A357" s="520">
        <v>354</v>
      </c>
      <c r="B357" s="236"/>
      <c r="C357" s="236"/>
      <c r="D357" s="236"/>
      <c r="E357" s="236"/>
      <c r="F357" s="236"/>
      <c r="G357" s="236" t="s">
        <v>54</v>
      </c>
      <c r="H357" s="366" t="s">
        <v>140</v>
      </c>
      <c r="I357" s="339" t="s">
        <v>140</v>
      </c>
      <c r="J357" s="320">
        <v>40900</v>
      </c>
      <c r="K357" s="288" t="s">
        <v>68</v>
      </c>
      <c r="L357" s="313">
        <v>197</v>
      </c>
      <c r="M357" s="382">
        <v>1782</v>
      </c>
      <c r="N357" s="383">
        <v>356</v>
      </c>
      <c r="O357" s="328">
        <f>985836.5+657011.5+454728.5+206461+72029+16105.51+5902+3599+438+1782</f>
        <v>2403893.01</v>
      </c>
      <c r="P357" s="344">
        <f>106718+73176+50608+29114+10776+3413+1375+639+190+356</f>
        <v>276365</v>
      </c>
      <c r="Q357" s="297">
        <v>40998</v>
      </c>
    </row>
    <row r="358" spans="1:17" ht="12" customHeight="1">
      <c r="A358" s="520">
        <v>355</v>
      </c>
      <c r="B358" s="236"/>
      <c r="C358" s="236"/>
      <c r="D358" s="236"/>
      <c r="E358" s="236"/>
      <c r="F358" s="236"/>
      <c r="G358" s="236" t="s">
        <v>54</v>
      </c>
      <c r="H358" s="366" t="s">
        <v>140</v>
      </c>
      <c r="I358" s="339" t="s">
        <v>140</v>
      </c>
      <c r="J358" s="370">
        <v>40900</v>
      </c>
      <c r="K358" s="288" t="s">
        <v>68</v>
      </c>
      <c r="L358" s="313">
        <v>197</v>
      </c>
      <c r="M358" s="468">
        <v>1782</v>
      </c>
      <c r="N358" s="469">
        <v>356</v>
      </c>
      <c r="O358" s="317">
        <f>985836.5+657011.5+454728.5+206461+72029+16105.51+5902+3599+438+1782+3564+1782</f>
        <v>2409239.01</v>
      </c>
      <c r="P358" s="368">
        <f>106718+73176+50608+29114+10776+3413+1375+639+190+356+712+356</f>
        <v>277433</v>
      </c>
      <c r="Q358" s="297">
        <v>41012</v>
      </c>
    </row>
    <row r="359" spans="1:17" ht="12" customHeight="1">
      <c r="A359" s="520">
        <v>356</v>
      </c>
      <c r="B359" s="236"/>
      <c r="C359" s="236"/>
      <c r="D359" s="236"/>
      <c r="E359" s="236"/>
      <c r="F359" s="236"/>
      <c r="G359" s="236" t="s">
        <v>54</v>
      </c>
      <c r="H359" s="366" t="s">
        <v>140</v>
      </c>
      <c r="I359" s="339" t="s">
        <v>140</v>
      </c>
      <c r="J359" s="320">
        <v>40900</v>
      </c>
      <c r="K359" s="288" t="s">
        <v>68</v>
      </c>
      <c r="L359" s="312">
        <v>197</v>
      </c>
      <c r="M359" s="382">
        <v>438</v>
      </c>
      <c r="N359" s="383">
        <v>190</v>
      </c>
      <c r="O359" s="328">
        <f>985836.5+657011.5+454728.5+206461+72029+16105.51+5902+3599+438</f>
        <v>2402111.01</v>
      </c>
      <c r="P359" s="344">
        <f>106718+73176+50608+29114+10776+3413+1375+639+190</f>
        <v>276009</v>
      </c>
      <c r="Q359" s="297">
        <v>40970</v>
      </c>
    </row>
    <row r="360" spans="1:17" ht="12" customHeight="1">
      <c r="A360" s="520">
        <v>357</v>
      </c>
      <c r="B360" s="236"/>
      <c r="C360" s="236"/>
      <c r="D360" s="236"/>
      <c r="E360" s="236"/>
      <c r="F360" s="236"/>
      <c r="G360" s="236"/>
      <c r="H360" s="459" t="s">
        <v>230</v>
      </c>
      <c r="I360" s="339" t="s">
        <v>245</v>
      </c>
      <c r="J360" s="320">
        <v>40641</v>
      </c>
      <c r="K360" s="288" t="s">
        <v>68</v>
      </c>
      <c r="L360" s="312">
        <v>22</v>
      </c>
      <c r="M360" s="382">
        <v>3801.5</v>
      </c>
      <c r="N360" s="383">
        <v>950</v>
      </c>
      <c r="O360" s="328">
        <f>116634.25+59106.5+23134.5+13753.5+15970+8455.5+1576+1761+10125.5+2018+2376+1505+1606+4951.5+5289.5+5175+120+1367+4606+1218+3801.5</f>
        <v>284550.25</v>
      </c>
      <c r="P360" s="344">
        <f>8833+4531+2274+1803+2249+1097+201+284+1149+305+594+210+182+582+643+704+20+163+464+300+950</f>
        <v>27538</v>
      </c>
      <c r="Q360" s="297">
        <v>40907</v>
      </c>
    </row>
    <row r="361" spans="1:17" ht="12" customHeight="1">
      <c r="A361" s="520">
        <v>358</v>
      </c>
      <c r="B361" s="236"/>
      <c r="C361" s="236"/>
      <c r="D361" s="236"/>
      <c r="E361" s="236"/>
      <c r="F361" s="236"/>
      <c r="G361" s="236"/>
      <c r="H361" s="366" t="s">
        <v>631</v>
      </c>
      <c r="I361" s="339" t="s">
        <v>630</v>
      </c>
      <c r="J361" s="297">
        <v>38478</v>
      </c>
      <c r="K361" s="288" t="s">
        <v>622</v>
      </c>
      <c r="L361" s="440">
        <v>11</v>
      </c>
      <c r="M361" s="470">
        <v>2158</v>
      </c>
      <c r="N361" s="471">
        <v>361</v>
      </c>
      <c r="O361" s="448">
        <v>33631</v>
      </c>
      <c r="P361" s="449">
        <v>6544</v>
      </c>
      <c r="Q361" s="297">
        <v>40984</v>
      </c>
    </row>
    <row r="362" spans="1:17" ht="12" customHeight="1">
      <c r="A362" s="520">
        <v>359</v>
      </c>
      <c r="B362" s="236"/>
      <c r="C362" s="236"/>
      <c r="D362" s="236"/>
      <c r="E362" s="236"/>
      <c r="F362" s="236"/>
      <c r="G362" s="236"/>
      <c r="H362" s="366" t="s">
        <v>679</v>
      </c>
      <c r="I362" s="339" t="s">
        <v>677</v>
      </c>
      <c r="J362" s="297">
        <v>40870</v>
      </c>
      <c r="K362" s="288" t="s">
        <v>622</v>
      </c>
      <c r="L362" s="312">
        <v>15</v>
      </c>
      <c r="M362" s="380">
        <v>958</v>
      </c>
      <c r="N362" s="381">
        <v>160</v>
      </c>
      <c r="O362" s="342">
        <v>939252.95</v>
      </c>
      <c r="P362" s="343">
        <v>249261</v>
      </c>
      <c r="Q362" s="297">
        <v>40998</v>
      </c>
    </row>
    <row r="363" spans="1:17" ht="12" customHeight="1">
      <c r="A363" s="520">
        <v>360</v>
      </c>
      <c r="B363" s="236"/>
      <c r="C363" s="236"/>
      <c r="D363" s="236"/>
      <c r="E363" s="236"/>
      <c r="F363" s="236"/>
      <c r="G363" s="236"/>
      <c r="H363" s="366" t="s">
        <v>698</v>
      </c>
      <c r="I363" s="339" t="s">
        <v>697</v>
      </c>
      <c r="J363" s="320">
        <v>40739</v>
      </c>
      <c r="K363" s="288" t="s">
        <v>68</v>
      </c>
      <c r="L363" s="313">
        <v>17</v>
      </c>
      <c r="M363" s="382">
        <v>3801.5</v>
      </c>
      <c r="N363" s="383">
        <v>760</v>
      </c>
      <c r="O363" s="328">
        <f>42541+25929.5+29063+12725.5+17698.5+26553.5+14176.5+9569.5+16711+7438+2494+2704.5+4533.5+1133+196+1782+939+414+3801.5</f>
        <v>220403.5</v>
      </c>
      <c r="P363" s="344">
        <f>3864+2719+2642+1433+2106+3202+2032+1129+1888+1023+354+402+565+140+26+446+186+62+760</f>
        <v>24979</v>
      </c>
      <c r="Q363" s="297">
        <v>41005</v>
      </c>
    </row>
    <row r="364" spans="1:17" ht="12" customHeight="1">
      <c r="A364" s="520">
        <v>361</v>
      </c>
      <c r="B364" s="236"/>
      <c r="C364" s="236"/>
      <c r="D364" s="236"/>
      <c r="E364" s="236"/>
      <c r="F364" s="236"/>
      <c r="G364" s="236"/>
      <c r="H364" s="366" t="s">
        <v>698</v>
      </c>
      <c r="I364" s="339" t="s">
        <v>697</v>
      </c>
      <c r="J364" s="320">
        <v>40739</v>
      </c>
      <c r="K364" s="288" t="s">
        <v>68</v>
      </c>
      <c r="L364" s="312">
        <v>17</v>
      </c>
      <c r="M364" s="382">
        <v>1780</v>
      </c>
      <c r="N364" s="383">
        <v>356</v>
      </c>
      <c r="O364" s="328">
        <f>575413.5+2968+2376+2737+2376+2376+4752+2376+952+1780+226+286+162+6416+4040+1780+1780+1192+3102+1780</f>
        <v>618870.5</v>
      </c>
      <c r="P364" s="344">
        <f>83313+742+594+635+594+594+1188+594+238+445+36+42+39+1604+1010+356+356+571+1512+356</f>
        <v>94819</v>
      </c>
      <c r="Q364" s="297">
        <v>41019</v>
      </c>
    </row>
    <row r="365" spans="1:17" ht="12" customHeight="1">
      <c r="A365" s="520">
        <v>362</v>
      </c>
      <c r="B365" s="236" t="s">
        <v>193</v>
      </c>
      <c r="C365" s="236"/>
      <c r="D365" s="236"/>
      <c r="E365" s="236"/>
      <c r="F365" s="236"/>
      <c r="G365" s="236"/>
      <c r="H365" s="366" t="s">
        <v>559</v>
      </c>
      <c r="I365" s="339" t="s">
        <v>556</v>
      </c>
      <c r="J365" s="320">
        <v>40193</v>
      </c>
      <c r="K365" s="288" t="s">
        <v>68</v>
      </c>
      <c r="L365" s="312">
        <v>55</v>
      </c>
      <c r="M365" s="382">
        <v>1782</v>
      </c>
      <c r="N365" s="383">
        <v>356</v>
      </c>
      <c r="O365" s="328">
        <f>197266+158498+94472.5+25746.5+5341+4975+4175+3550+3868+6158+8020+1277+951+3397+4599+198+566+1146+2247.5+174+31.5+2775.5+1188+735+2376+307+324+2613.5+1782+1782+1782+1782+1782</f>
        <v>545886</v>
      </c>
      <c r="P365" s="344">
        <f>19567+17056+12441+3194+866+909+697+693+818+1478+1988+298+238+832+1154+55+212+207+411+57+12+610+297+71+594+46+71+653+445+445+445+356+356</f>
        <v>67572</v>
      </c>
      <c r="Q365" s="297">
        <v>40963</v>
      </c>
    </row>
    <row r="366" spans="1:17" ht="12" customHeight="1">
      <c r="A366" s="520">
        <v>363</v>
      </c>
      <c r="B366" s="236" t="s">
        <v>193</v>
      </c>
      <c r="C366" s="236"/>
      <c r="D366" s="236"/>
      <c r="E366" s="236"/>
      <c r="F366" s="236"/>
      <c r="G366" s="236"/>
      <c r="H366" s="366" t="s">
        <v>559</v>
      </c>
      <c r="I366" s="339" t="s">
        <v>556</v>
      </c>
      <c r="J366" s="320">
        <v>40193</v>
      </c>
      <c r="K366" s="288" t="s">
        <v>68</v>
      </c>
      <c r="L366" s="312">
        <v>55</v>
      </c>
      <c r="M366" s="382">
        <v>1782</v>
      </c>
      <c r="N366" s="383">
        <v>356</v>
      </c>
      <c r="O366" s="328">
        <f>197266+158498+94472.5+25746.5+5341+4975+4175+3550+3868+6158+8020+1277+951+3397+4599+198+566+1146+2247.5+174+31.5+2775.5+1188+735+2376+307+324+2613.5+1782+1782+1782+1782</f>
        <v>544104</v>
      </c>
      <c r="P366" s="344">
        <f>19567+17056+12441+3194+866+909+697+693+818+1478+1988+298+238+832+1154+55+212+207+411+57+12+610+297+71+594+46+71+653+445+445+445+356</f>
        <v>67216</v>
      </c>
      <c r="Q366" s="297">
        <v>40956</v>
      </c>
    </row>
    <row r="367" spans="1:17" ht="12" customHeight="1">
      <c r="A367" s="520">
        <v>364</v>
      </c>
      <c r="B367" s="236"/>
      <c r="C367" s="236"/>
      <c r="D367" s="236"/>
      <c r="E367" s="236"/>
      <c r="F367" s="236"/>
      <c r="G367" s="293"/>
      <c r="H367" s="463" t="s">
        <v>123</v>
      </c>
      <c r="I367" s="319" t="s">
        <v>126</v>
      </c>
      <c r="J367" s="320">
        <v>40746</v>
      </c>
      <c r="K367" s="288" t="s">
        <v>52</v>
      </c>
      <c r="L367" s="341">
        <v>23</v>
      </c>
      <c r="M367" s="474">
        <v>36</v>
      </c>
      <c r="N367" s="475">
        <v>6</v>
      </c>
      <c r="O367" s="330">
        <f>47685+27229.5+17697.5+18612+19593.5+16691+6089.5+2551.5+2254+4358+2609+1310+356+168+150+121+69+36</f>
        <v>167580.5</v>
      </c>
      <c r="P367" s="338">
        <f>4321+2419+2108+2430+2448+2072+892+397+346+639+377+205+49+24+23+19+11+6</f>
        <v>18786</v>
      </c>
      <c r="Q367" s="297">
        <v>40907</v>
      </c>
    </row>
    <row r="368" spans="1:17" ht="12" customHeight="1">
      <c r="A368" s="520">
        <v>365</v>
      </c>
      <c r="B368" s="236"/>
      <c r="C368" s="236"/>
      <c r="D368" s="236"/>
      <c r="E368" s="236"/>
      <c r="F368" s="236"/>
      <c r="G368" s="236"/>
      <c r="H368" s="366" t="s">
        <v>529</v>
      </c>
      <c r="I368" s="339" t="s">
        <v>126</v>
      </c>
      <c r="J368" s="320">
        <v>40186</v>
      </c>
      <c r="K368" s="288" t="s">
        <v>68</v>
      </c>
      <c r="L368" s="312">
        <v>4</v>
      </c>
      <c r="M368" s="382">
        <v>1188</v>
      </c>
      <c r="N368" s="383">
        <v>238</v>
      </c>
      <c r="O368" s="328">
        <f>83443.75+1230+270+181+132+1991+2160.5+1188+1188+1188</f>
        <v>92972.25</v>
      </c>
      <c r="P368" s="344">
        <f>11555+209+47+34+22+311+532+238+238+238</f>
        <v>13424</v>
      </c>
      <c r="Q368" s="297">
        <v>40977</v>
      </c>
    </row>
    <row r="369" spans="1:17" ht="12" customHeight="1">
      <c r="A369" s="520">
        <v>366</v>
      </c>
      <c r="B369" s="236"/>
      <c r="C369" s="236"/>
      <c r="D369" s="236"/>
      <c r="E369" s="236"/>
      <c r="F369" s="236"/>
      <c r="G369" s="236"/>
      <c r="H369" s="366" t="s">
        <v>529</v>
      </c>
      <c r="I369" s="339" t="s">
        <v>126</v>
      </c>
      <c r="J369" s="320">
        <v>40186</v>
      </c>
      <c r="K369" s="288" t="s">
        <v>68</v>
      </c>
      <c r="L369" s="312">
        <v>4</v>
      </c>
      <c r="M369" s="382">
        <v>1188</v>
      </c>
      <c r="N369" s="383">
        <v>238</v>
      </c>
      <c r="O369" s="328">
        <f>83443.75+1230+270+181+132+1991+2160.5+1188+1188</f>
        <v>91784.25</v>
      </c>
      <c r="P369" s="344">
        <f>11555+209+47+34+22+311+532+238+238</f>
        <v>13186</v>
      </c>
      <c r="Q369" s="297">
        <v>40963</v>
      </c>
    </row>
    <row r="370" spans="1:17" ht="12" customHeight="1">
      <c r="A370" s="520">
        <v>367</v>
      </c>
      <c r="B370" s="236"/>
      <c r="C370" s="236"/>
      <c r="D370" s="236"/>
      <c r="E370" s="236"/>
      <c r="F370" s="236"/>
      <c r="G370" s="236"/>
      <c r="H370" s="366" t="s">
        <v>529</v>
      </c>
      <c r="I370" s="339" t="s">
        <v>126</v>
      </c>
      <c r="J370" s="320">
        <v>40186</v>
      </c>
      <c r="K370" s="288" t="s">
        <v>68</v>
      </c>
      <c r="L370" s="312">
        <v>4</v>
      </c>
      <c r="M370" s="382">
        <v>1188</v>
      </c>
      <c r="N370" s="383">
        <v>238</v>
      </c>
      <c r="O370" s="328">
        <f>83443.75+1230+270+181+132+1991+2160.5+1188</f>
        <v>90596.25</v>
      </c>
      <c r="P370" s="344">
        <f>11555+209+47+34+22+311+532+238</f>
        <v>12948</v>
      </c>
      <c r="Q370" s="297">
        <v>40949</v>
      </c>
    </row>
    <row r="371" spans="1:17" ht="12" customHeight="1">
      <c r="A371" s="520">
        <v>368</v>
      </c>
      <c r="B371" s="236" t="s">
        <v>193</v>
      </c>
      <c r="C371" s="236"/>
      <c r="D371" s="236"/>
      <c r="E371" s="236"/>
      <c r="F371" s="236" t="s">
        <v>55</v>
      </c>
      <c r="G371" s="236"/>
      <c r="H371" s="360" t="s">
        <v>721</v>
      </c>
      <c r="I371" s="341" t="s">
        <v>722</v>
      </c>
      <c r="J371" s="370">
        <v>39843</v>
      </c>
      <c r="K371" s="288" t="s">
        <v>53</v>
      </c>
      <c r="L371" s="313">
        <v>50</v>
      </c>
      <c r="M371" s="480">
        <v>1201</v>
      </c>
      <c r="N371" s="481">
        <v>240</v>
      </c>
      <c r="O371" s="335">
        <f>168651.5+46529+10620.5+4304+0.5+12367.5+5085+0.5+811+443+1089+406.5+312+389+3597+510+948+224.5+704+336+20+216+70+45+43+90+16+1201</f>
        <v>259029.5</v>
      </c>
      <c r="P371" s="336">
        <f>20118+5529+1513+681+2223+920+189+100+201+77+55+67+600+195+369+85+176+67+2+42+14+7+7+16+2+240</f>
        <v>33495</v>
      </c>
      <c r="Q371" s="297">
        <v>41012</v>
      </c>
    </row>
    <row r="372" spans="1:17" ht="12" customHeight="1">
      <c r="A372" s="520">
        <v>369</v>
      </c>
      <c r="B372" s="236"/>
      <c r="C372" s="236"/>
      <c r="D372" s="236"/>
      <c r="E372" s="236"/>
      <c r="F372" s="236"/>
      <c r="G372" s="236"/>
      <c r="H372" s="360" t="s">
        <v>145</v>
      </c>
      <c r="I372" s="288" t="s">
        <v>122</v>
      </c>
      <c r="J372" s="320">
        <v>40893</v>
      </c>
      <c r="K372" s="288" t="s">
        <v>13</v>
      </c>
      <c r="L372" s="312">
        <v>2</v>
      </c>
      <c r="M372" s="382">
        <v>2020</v>
      </c>
      <c r="N372" s="383">
        <v>404</v>
      </c>
      <c r="O372" s="328">
        <v>14984</v>
      </c>
      <c r="P372" s="344">
        <v>1714</v>
      </c>
      <c r="Q372" s="297">
        <v>40963</v>
      </c>
    </row>
    <row r="373" spans="1:17" ht="12" customHeight="1">
      <c r="A373" s="520">
        <v>370</v>
      </c>
      <c r="B373" s="236"/>
      <c r="C373" s="236"/>
      <c r="D373" s="236"/>
      <c r="E373" s="236"/>
      <c r="F373" s="236"/>
      <c r="G373" s="236"/>
      <c r="H373" s="464" t="s">
        <v>145</v>
      </c>
      <c r="I373" s="288" t="s">
        <v>122</v>
      </c>
      <c r="J373" s="320">
        <v>40893</v>
      </c>
      <c r="K373" s="288" t="s">
        <v>13</v>
      </c>
      <c r="L373" s="312">
        <v>2</v>
      </c>
      <c r="M373" s="378">
        <v>1807</v>
      </c>
      <c r="N373" s="379">
        <v>178</v>
      </c>
      <c r="O373" s="334">
        <v>9740</v>
      </c>
      <c r="P373" s="338">
        <v>753</v>
      </c>
      <c r="Q373" s="297">
        <v>40907</v>
      </c>
    </row>
    <row r="374" spans="1:17" ht="12" customHeight="1">
      <c r="A374" s="520">
        <v>371</v>
      </c>
      <c r="B374" s="236"/>
      <c r="C374" s="236"/>
      <c r="D374" s="236"/>
      <c r="E374" s="236"/>
      <c r="F374" s="236"/>
      <c r="G374" s="236"/>
      <c r="H374" s="360" t="s">
        <v>145</v>
      </c>
      <c r="I374" s="288" t="s">
        <v>122</v>
      </c>
      <c r="J374" s="320">
        <v>40893</v>
      </c>
      <c r="K374" s="288" t="s">
        <v>13</v>
      </c>
      <c r="L374" s="312">
        <v>2</v>
      </c>
      <c r="M374" s="378">
        <v>1510</v>
      </c>
      <c r="N374" s="379">
        <v>302</v>
      </c>
      <c r="O374" s="334">
        <v>12964</v>
      </c>
      <c r="P374" s="338">
        <v>1310</v>
      </c>
      <c r="Q374" s="297">
        <v>40956</v>
      </c>
    </row>
    <row r="375" spans="1:17" ht="12" customHeight="1">
      <c r="A375" s="520">
        <v>372</v>
      </c>
      <c r="B375" s="236"/>
      <c r="C375" s="236"/>
      <c r="D375" s="236"/>
      <c r="E375" s="236"/>
      <c r="F375" s="236"/>
      <c r="G375" s="236"/>
      <c r="H375" s="360" t="s">
        <v>145</v>
      </c>
      <c r="I375" s="288" t="s">
        <v>122</v>
      </c>
      <c r="J375" s="320">
        <v>40893</v>
      </c>
      <c r="K375" s="288" t="s">
        <v>13</v>
      </c>
      <c r="L375" s="312">
        <v>2</v>
      </c>
      <c r="M375" s="378">
        <v>957</v>
      </c>
      <c r="N375" s="379">
        <v>111</v>
      </c>
      <c r="O375" s="334">
        <v>11454</v>
      </c>
      <c r="P375" s="338">
        <v>1008</v>
      </c>
      <c r="Q375" s="297">
        <v>40949</v>
      </c>
    </row>
    <row r="376" spans="1:17" ht="12" customHeight="1">
      <c r="A376" s="520">
        <v>373</v>
      </c>
      <c r="B376" s="236"/>
      <c r="C376" s="236"/>
      <c r="D376" s="236"/>
      <c r="E376" s="236"/>
      <c r="F376" s="236"/>
      <c r="G376" s="236"/>
      <c r="H376" s="464" t="s">
        <v>145</v>
      </c>
      <c r="I376" s="288" t="s">
        <v>122</v>
      </c>
      <c r="J376" s="320">
        <v>40893</v>
      </c>
      <c r="K376" s="288" t="s">
        <v>13</v>
      </c>
      <c r="L376" s="312">
        <v>2</v>
      </c>
      <c r="M376" s="378">
        <v>757</v>
      </c>
      <c r="N376" s="379">
        <v>72</v>
      </c>
      <c r="O376" s="334">
        <v>10497</v>
      </c>
      <c r="P376" s="338">
        <v>825</v>
      </c>
      <c r="Q376" s="297">
        <v>40914</v>
      </c>
    </row>
    <row r="377" spans="1:17" ht="12" customHeight="1">
      <c r="A377" s="520">
        <v>374</v>
      </c>
      <c r="B377" s="236"/>
      <c r="C377" s="236"/>
      <c r="D377" s="236"/>
      <c r="E377" s="236"/>
      <c r="F377" s="236"/>
      <c r="G377" s="236"/>
      <c r="H377" s="463" t="s">
        <v>217</v>
      </c>
      <c r="I377" s="288" t="s">
        <v>213</v>
      </c>
      <c r="J377" s="297">
        <v>40718</v>
      </c>
      <c r="K377" s="288" t="s">
        <v>13</v>
      </c>
      <c r="L377" s="440">
        <v>5</v>
      </c>
      <c r="M377" s="378">
        <v>1188</v>
      </c>
      <c r="N377" s="379">
        <v>237</v>
      </c>
      <c r="O377" s="334">
        <v>30216.25</v>
      </c>
      <c r="P377" s="338">
        <v>3201</v>
      </c>
      <c r="Q377" s="297">
        <v>40907</v>
      </c>
    </row>
    <row r="378" spans="1:17" ht="12" customHeight="1">
      <c r="A378" s="520">
        <v>375</v>
      </c>
      <c r="B378" s="236"/>
      <c r="C378" s="236"/>
      <c r="D378" s="236"/>
      <c r="E378" s="236"/>
      <c r="F378" s="236"/>
      <c r="G378" s="236" t="s">
        <v>54</v>
      </c>
      <c r="H378" s="463" t="s">
        <v>100</v>
      </c>
      <c r="I378" s="312" t="s">
        <v>100</v>
      </c>
      <c r="J378" s="320">
        <v>40879</v>
      </c>
      <c r="K378" s="288" t="s">
        <v>8</v>
      </c>
      <c r="L378" s="312">
        <v>39</v>
      </c>
      <c r="M378" s="382">
        <v>6888</v>
      </c>
      <c r="N378" s="383">
        <v>1032</v>
      </c>
      <c r="O378" s="328">
        <v>207860</v>
      </c>
      <c r="P378" s="344">
        <v>22859</v>
      </c>
      <c r="Q378" s="297">
        <v>40907</v>
      </c>
    </row>
    <row r="379" spans="1:17" ht="12" customHeight="1">
      <c r="A379" s="520">
        <v>376</v>
      </c>
      <c r="B379" s="236"/>
      <c r="C379" s="236"/>
      <c r="D379" s="236"/>
      <c r="E379" s="236"/>
      <c r="F379" s="236"/>
      <c r="G379" s="236" t="s">
        <v>54</v>
      </c>
      <c r="H379" s="463" t="s">
        <v>100</v>
      </c>
      <c r="I379" s="312" t="s">
        <v>100</v>
      </c>
      <c r="J379" s="320">
        <v>40879</v>
      </c>
      <c r="K379" s="288" t="s">
        <v>8</v>
      </c>
      <c r="L379" s="312">
        <v>39</v>
      </c>
      <c r="M379" s="382">
        <v>5509</v>
      </c>
      <c r="N379" s="383">
        <v>890</v>
      </c>
      <c r="O379" s="328">
        <v>213369</v>
      </c>
      <c r="P379" s="344">
        <v>23749</v>
      </c>
      <c r="Q379" s="297">
        <v>40914</v>
      </c>
    </row>
    <row r="380" spans="1:17" ht="12" customHeight="1">
      <c r="A380" s="520">
        <v>377</v>
      </c>
      <c r="B380" s="236"/>
      <c r="C380" s="236"/>
      <c r="D380" s="236"/>
      <c r="E380" s="236"/>
      <c r="F380" s="236"/>
      <c r="G380" s="236" t="s">
        <v>54</v>
      </c>
      <c r="H380" s="463" t="s">
        <v>100</v>
      </c>
      <c r="I380" s="312" t="s">
        <v>100</v>
      </c>
      <c r="J380" s="320">
        <v>40879</v>
      </c>
      <c r="K380" s="288" t="s">
        <v>8</v>
      </c>
      <c r="L380" s="312">
        <v>39</v>
      </c>
      <c r="M380" s="382">
        <v>5216</v>
      </c>
      <c r="N380" s="383">
        <v>689</v>
      </c>
      <c r="O380" s="328">
        <v>223515</v>
      </c>
      <c r="P380" s="344">
        <v>25285</v>
      </c>
      <c r="Q380" s="297">
        <v>40928</v>
      </c>
    </row>
    <row r="381" spans="1:17" ht="12" customHeight="1">
      <c r="A381" s="520">
        <v>378</v>
      </c>
      <c r="B381" s="236"/>
      <c r="C381" s="236"/>
      <c r="D381" s="236"/>
      <c r="E381" s="236"/>
      <c r="F381" s="236"/>
      <c r="G381" s="236" t="s">
        <v>54</v>
      </c>
      <c r="H381" s="463" t="s">
        <v>100</v>
      </c>
      <c r="I381" s="312" t="s">
        <v>100</v>
      </c>
      <c r="J381" s="320">
        <v>40879</v>
      </c>
      <c r="K381" s="288" t="s">
        <v>8</v>
      </c>
      <c r="L381" s="312">
        <v>39</v>
      </c>
      <c r="M381" s="384">
        <v>4931</v>
      </c>
      <c r="N381" s="385">
        <v>847</v>
      </c>
      <c r="O381" s="328">
        <v>216338</v>
      </c>
      <c r="P381" s="344">
        <v>24246</v>
      </c>
      <c r="Q381" s="297">
        <v>40921</v>
      </c>
    </row>
    <row r="382" spans="1:17" ht="12" customHeight="1">
      <c r="A382" s="520">
        <v>379</v>
      </c>
      <c r="B382" s="236"/>
      <c r="C382" s="236"/>
      <c r="D382" s="236"/>
      <c r="E382" s="236"/>
      <c r="F382" s="236"/>
      <c r="G382" s="236" t="s">
        <v>54</v>
      </c>
      <c r="H382" s="361" t="s">
        <v>100</v>
      </c>
      <c r="I382" s="312" t="s">
        <v>100</v>
      </c>
      <c r="J382" s="320">
        <v>40879</v>
      </c>
      <c r="K382" s="288" t="s">
        <v>8</v>
      </c>
      <c r="L382" s="313">
        <v>39</v>
      </c>
      <c r="M382" s="380">
        <v>1095</v>
      </c>
      <c r="N382" s="381">
        <v>185</v>
      </c>
      <c r="O382" s="342">
        <v>225808</v>
      </c>
      <c r="P382" s="343">
        <v>25678</v>
      </c>
      <c r="Q382" s="297">
        <v>40998</v>
      </c>
    </row>
    <row r="383" spans="1:17" ht="12" customHeight="1">
      <c r="A383" s="520">
        <v>380</v>
      </c>
      <c r="B383" s="236"/>
      <c r="C383" s="236"/>
      <c r="D383" s="236"/>
      <c r="E383" s="236"/>
      <c r="F383" s="236"/>
      <c r="G383" s="236" t="s">
        <v>54</v>
      </c>
      <c r="H383" s="463" t="s">
        <v>100</v>
      </c>
      <c r="I383" s="312" t="s">
        <v>100</v>
      </c>
      <c r="J383" s="320">
        <v>40879</v>
      </c>
      <c r="K383" s="288" t="s">
        <v>8</v>
      </c>
      <c r="L383" s="312">
        <v>39</v>
      </c>
      <c r="M383" s="384">
        <v>520</v>
      </c>
      <c r="N383" s="385">
        <v>88</v>
      </c>
      <c r="O383" s="332">
        <v>224035</v>
      </c>
      <c r="P383" s="333">
        <v>25373</v>
      </c>
      <c r="Q383" s="297">
        <v>40935</v>
      </c>
    </row>
    <row r="384" spans="1:17" ht="12" customHeight="1">
      <c r="A384" s="520">
        <v>381</v>
      </c>
      <c r="B384" s="236"/>
      <c r="C384" s="236"/>
      <c r="D384" s="236"/>
      <c r="E384" s="236"/>
      <c r="F384" s="236"/>
      <c r="G384" s="236" t="s">
        <v>54</v>
      </c>
      <c r="H384" s="463" t="s">
        <v>100</v>
      </c>
      <c r="I384" s="312" t="s">
        <v>100</v>
      </c>
      <c r="J384" s="320">
        <v>40879</v>
      </c>
      <c r="K384" s="288" t="s">
        <v>8</v>
      </c>
      <c r="L384" s="312">
        <v>39</v>
      </c>
      <c r="M384" s="382">
        <v>378</v>
      </c>
      <c r="N384" s="383">
        <v>67</v>
      </c>
      <c r="O384" s="328">
        <v>224413</v>
      </c>
      <c r="P384" s="344">
        <v>25440</v>
      </c>
      <c r="Q384" s="297">
        <v>40942</v>
      </c>
    </row>
    <row r="385" spans="1:17" ht="12" customHeight="1">
      <c r="A385" s="520">
        <v>382</v>
      </c>
      <c r="B385" s="236"/>
      <c r="C385" s="236"/>
      <c r="D385" s="236"/>
      <c r="E385" s="236"/>
      <c r="F385" s="236"/>
      <c r="G385" s="236" t="s">
        <v>54</v>
      </c>
      <c r="H385" s="361" t="s">
        <v>100</v>
      </c>
      <c r="I385" s="312" t="s">
        <v>100</v>
      </c>
      <c r="J385" s="320">
        <v>40879</v>
      </c>
      <c r="K385" s="288" t="s">
        <v>8</v>
      </c>
      <c r="L385" s="312">
        <v>39</v>
      </c>
      <c r="M385" s="382">
        <v>300</v>
      </c>
      <c r="N385" s="383">
        <v>53</v>
      </c>
      <c r="O385" s="328">
        <v>224713</v>
      </c>
      <c r="P385" s="344">
        <v>25493</v>
      </c>
      <c r="Q385" s="297">
        <v>40949</v>
      </c>
    </row>
    <row r="386" spans="1:17" ht="12" customHeight="1">
      <c r="A386" s="520">
        <v>383</v>
      </c>
      <c r="B386" s="236"/>
      <c r="C386" s="236"/>
      <c r="D386" s="236"/>
      <c r="E386" s="236"/>
      <c r="F386" s="236"/>
      <c r="G386" s="236"/>
      <c r="H386" s="366" t="s">
        <v>528</v>
      </c>
      <c r="I386" s="339" t="s">
        <v>537</v>
      </c>
      <c r="J386" s="320">
        <v>40893</v>
      </c>
      <c r="K386" s="288" t="s">
        <v>68</v>
      </c>
      <c r="L386" s="312">
        <v>1</v>
      </c>
      <c r="M386" s="382">
        <v>3207.5</v>
      </c>
      <c r="N386" s="383">
        <v>642</v>
      </c>
      <c r="O386" s="328">
        <f>1021.5+726.5+3207.5</f>
        <v>4955.5</v>
      </c>
      <c r="P386" s="344">
        <f>71+52+642</f>
        <v>765</v>
      </c>
      <c r="Q386" s="297">
        <v>40949</v>
      </c>
    </row>
    <row r="387" spans="1:17" ht="12" customHeight="1">
      <c r="A387" s="520">
        <v>384</v>
      </c>
      <c r="B387" s="236"/>
      <c r="C387" s="236"/>
      <c r="D387" s="236"/>
      <c r="E387" s="236"/>
      <c r="F387" s="236"/>
      <c r="G387" s="236"/>
      <c r="H387" s="366" t="s">
        <v>528</v>
      </c>
      <c r="I387" s="339" t="s">
        <v>537</v>
      </c>
      <c r="J387" s="320">
        <v>40893</v>
      </c>
      <c r="K387" s="288" t="s">
        <v>68</v>
      </c>
      <c r="L387" s="312">
        <v>1</v>
      </c>
      <c r="M387" s="382">
        <v>1425.5</v>
      </c>
      <c r="N387" s="383">
        <v>285</v>
      </c>
      <c r="O387" s="328">
        <f>1021.5+726.5+3207.5+938+1425.5</f>
        <v>7319</v>
      </c>
      <c r="P387" s="344">
        <f>71+52+642+93+285</f>
        <v>1143</v>
      </c>
      <c r="Q387" s="297">
        <v>40991</v>
      </c>
    </row>
    <row r="388" spans="1:17" ht="12" customHeight="1">
      <c r="A388" s="520">
        <v>385</v>
      </c>
      <c r="B388" s="236"/>
      <c r="C388" s="236"/>
      <c r="D388" s="236"/>
      <c r="E388" s="236"/>
      <c r="F388" s="236"/>
      <c r="G388" s="236"/>
      <c r="H388" s="366" t="s">
        <v>528</v>
      </c>
      <c r="I388" s="339" t="s">
        <v>537</v>
      </c>
      <c r="J388" s="320">
        <v>40893</v>
      </c>
      <c r="K388" s="288" t="s">
        <v>68</v>
      </c>
      <c r="L388" s="313">
        <v>1</v>
      </c>
      <c r="M388" s="382">
        <v>1425.5</v>
      </c>
      <c r="N388" s="383">
        <v>285</v>
      </c>
      <c r="O388" s="328">
        <f>1021.5+726.5+3207.5+938+1425.5+1425.5</f>
        <v>8744.5</v>
      </c>
      <c r="P388" s="344">
        <f>71+52+642+93+285+285</f>
        <v>1428</v>
      </c>
      <c r="Q388" s="297">
        <v>41005</v>
      </c>
    </row>
    <row r="389" spans="1:17" ht="12" customHeight="1">
      <c r="A389" s="520">
        <v>386</v>
      </c>
      <c r="B389" s="236"/>
      <c r="C389" s="236"/>
      <c r="D389" s="236"/>
      <c r="E389" s="236"/>
      <c r="F389" s="236"/>
      <c r="G389" s="236"/>
      <c r="H389" s="366" t="s">
        <v>528</v>
      </c>
      <c r="I389" s="312" t="s">
        <v>330</v>
      </c>
      <c r="J389" s="370">
        <v>40893</v>
      </c>
      <c r="K389" s="288" t="s">
        <v>68</v>
      </c>
      <c r="L389" s="312">
        <v>1</v>
      </c>
      <c r="M389" s="468">
        <v>1425.5</v>
      </c>
      <c r="N389" s="469">
        <v>285</v>
      </c>
      <c r="O389" s="317">
        <f>1021.5+726.5+3207.5+938+1425.5+1425.5+1425.5</f>
        <v>10170</v>
      </c>
      <c r="P389" s="368">
        <f>71+52+642+93+285+285+285</f>
        <v>1713</v>
      </c>
      <c r="Q389" s="297">
        <v>41026</v>
      </c>
    </row>
    <row r="390" spans="1:17" ht="12" customHeight="1">
      <c r="A390" s="520">
        <v>387</v>
      </c>
      <c r="B390" s="236"/>
      <c r="C390" s="236"/>
      <c r="D390" s="236"/>
      <c r="E390" s="236"/>
      <c r="F390" s="236"/>
      <c r="G390" s="236"/>
      <c r="H390" s="366" t="s">
        <v>528</v>
      </c>
      <c r="I390" s="339" t="s">
        <v>537</v>
      </c>
      <c r="J390" s="320">
        <v>40893</v>
      </c>
      <c r="K390" s="288" t="s">
        <v>68</v>
      </c>
      <c r="L390" s="312">
        <v>1</v>
      </c>
      <c r="M390" s="382">
        <v>938</v>
      </c>
      <c r="N390" s="383">
        <v>93</v>
      </c>
      <c r="O390" s="328">
        <f>1021.5+726.5+3207.5+938</f>
        <v>5893.5</v>
      </c>
      <c r="P390" s="344">
        <f>71+52+642+93</f>
        <v>858</v>
      </c>
      <c r="Q390" s="297">
        <v>40963</v>
      </c>
    </row>
    <row r="391" spans="1:17" ht="12" customHeight="1">
      <c r="A391" s="520">
        <v>388</v>
      </c>
      <c r="B391" s="236"/>
      <c r="C391" s="236"/>
      <c r="D391" s="236">
        <v>2</v>
      </c>
      <c r="E391" s="236" t="s">
        <v>250</v>
      </c>
      <c r="F391" s="236"/>
      <c r="G391" s="236"/>
      <c r="H391" s="459" t="s">
        <v>192</v>
      </c>
      <c r="I391" s="339" t="s">
        <v>192</v>
      </c>
      <c r="J391" s="297">
        <v>40900</v>
      </c>
      <c r="K391" s="288" t="s">
        <v>12</v>
      </c>
      <c r="L391" s="312">
        <v>184</v>
      </c>
      <c r="M391" s="378">
        <v>1211019</v>
      </c>
      <c r="N391" s="379">
        <v>123420</v>
      </c>
      <c r="O391" s="334">
        <v>3864182</v>
      </c>
      <c r="P391" s="338">
        <v>381786</v>
      </c>
      <c r="Q391" s="297">
        <v>40907</v>
      </c>
    </row>
    <row r="392" spans="1:17" ht="12" customHeight="1">
      <c r="A392" s="520">
        <v>389</v>
      </c>
      <c r="B392" s="236"/>
      <c r="C392" s="236"/>
      <c r="D392" s="236">
        <v>2</v>
      </c>
      <c r="E392" s="236" t="s">
        <v>250</v>
      </c>
      <c r="F392" s="236"/>
      <c r="G392" s="236"/>
      <c r="H392" s="459" t="s">
        <v>192</v>
      </c>
      <c r="I392" s="339" t="s">
        <v>192</v>
      </c>
      <c r="J392" s="297">
        <v>40900</v>
      </c>
      <c r="K392" s="288" t="s">
        <v>12</v>
      </c>
      <c r="L392" s="312">
        <v>184</v>
      </c>
      <c r="M392" s="378">
        <v>924297</v>
      </c>
      <c r="N392" s="379">
        <v>89902</v>
      </c>
      <c r="O392" s="334">
        <v>4788479</v>
      </c>
      <c r="P392" s="338">
        <v>471688</v>
      </c>
      <c r="Q392" s="297">
        <v>40914</v>
      </c>
    </row>
    <row r="393" spans="1:17" ht="12" customHeight="1">
      <c r="A393" s="520">
        <v>390</v>
      </c>
      <c r="B393" s="236"/>
      <c r="C393" s="236"/>
      <c r="D393" s="236">
        <v>2</v>
      </c>
      <c r="E393" s="236" t="s">
        <v>250</v>
      </c>
      <c r="F393" s="236"/>
      <c r="G393" s="236"/>
      <c r="H393" s="459" t="s">
        <v>192</v>
      </c>
      <c r="I393" s="339" t="s">
        <v>192</v>
      </c>
      <c r="J393" s="297">
        <v>40900</v>
      </c>
      <c r="K393" s="288" t="s">
        <v>12</v>
      </c>
      <c r="L393" s="312">
        <v>184</v>
      </c>
      <c r="M393" s="378">
        <v>703674</v>
      </c>
      <c r="N393" s="379">
        <v>71922</v>
      </c>
      <c r="O393" s="334">
        <v>5494639</v>
      </c>
      <c r="P393" s="338">
        <v>543827</v>
      </c>
      <c r="Q393" s="297">
        <v>40921</v>
      </c>
    </row>
    <row r="394" spans="1:17" ht="12" customHeight="1">
      <c r="A394" s="520">
        <v>391</v>
      </c>
      <c r="B394" s="236"/>
      <c r="C394" s="236"/>
      <c r="D394" s="236">
        <v>2</v>
      </c>
      <c r="E394" s="236" t="s">
        <v>250</v>
      </c>
      <c r="F394" s="236"/>
      <c r="G394" s="236"/>
      <c r="H394" s="459" t="s">
        <v>192</v>
      </c>
      <c r="I394" s="339" t="s">
        <v>192</v>
      </c>
      <c r="J394" s="297">
        <v>40900</v>
      </c>
      <c r="K394" s="288" t="s">
        <v>12</v>
      </c>
      <c r="L394" s="312">
        <v>184</v>
      </c>
      <c r="M394" s="378">
        <v>600850</v>
      </c>
      <c r="N394" s="379">
        <v>60840</v>
      </c>
      <c r="O394" s="334">
        <v>6097023</v>
      </c>
      <c r="P394" s="338">
        <v>604730</v>
      </c>
      <c r="Q394" s="297">
        <v>40928</v>
      </c>
    </row>
    <row r="395" spans="1:17" ht="12" customHeight="1">
      <c r="A395" s="520">
        <v>392</v>
      </c>
      <c r="B395" s="236"/>
      <c r="C395" s="236"/>
      <c r="D395" s="236">
        <v>2</v>
      </c>
      <c r="E395" s="236" t="s">
        <v>250</v>
      </c>
      <c r="F395" s="236"/>
      <c r="G395" s="236"/>
      <c r="H395" s="459" t="s">
        <v>192</v>
      </c>
      <c r="I395" s="339" t="s">
        <v>192</v>
      </c>
      <c r="J395" s="297">
        <v>40900</v>
      </c>
      <c r="K395" s="288" t="s">
        <v>12</v>
      </c>
      <c r="L395" s="312">
        <v>184</v>
      </c>
      <c r="M395" s="378">
        <v>149633</v>
      </c>
      <c r="N395" s="379">
        <v>15087</v>
      </c>
      <c r="O395" s="334">
        <v>6257425</v>
      </c>
      <c r="P395" s="338">
        <v>621347</v>
      </c>
      <c r="Q395" s="297">
        <v>40935</v>
      </c>
    </row>
    <row r="396" spans="1:17" ht="12" customHeight="1">
      <c r="A396" s="520">
        <v>393</v>
      </c>
      <c r="B396" s="236"/>
      <c r="C396" s="236"/>
      <c r="D396" s="236">
        <v>2</v>
      </c>
      <c r="E396" s="236" t="s">
        <v>250</v>
      </c>
      <c r="F396" s="236"/>
      <c r="G396" s="236"/>
      <c r="H396" s="459" t="s">
        <v>192</v>
      </c>
      <c r="I396" s="339" t="s">
        <v>192</v>
      </c>
      <c r="J396" s="297">
        <v>40900</v>
      </c>
      <c r="K396" s="288" t="s">
        <v>12</v>
      </c>
      <c r="L396" s="312">
        <v>184</v>
      </c>
      <c r="M396" s="378">
        <v>31972</v>
      </c>
      <c r="N396" s="379">
        <v>3234</v>
      </c>
      <c r="O396" s="334">
        <v>6365428</v>
      </c>
      <c r="P396" s="338">
        <v>635504</v>
      </c>
      <c r="Q396" s="297">
        <v>40942</v>
      </c>
    </row>
    <row r="397" spans="1:17" ht="12" customHeight="1">
      <c r="A397" s="520">
        <v>394</v>
      </c>
      <c r="B397" s="236"/>
      <c r="C397" s="236"/>
      <c r="D397" s="236">
        <v>2</v>
      </c>
      <c r="E397" s="236" t="s">
        <v>250</v>
      </c>
      <c r="F397" s="236"/>
      <c r="G397" s="236"/>
      <c r="H397" s="366" t="s">
        <v>192</v>
      </c>
      <c r="I397" s="339" t="s">
        <v>192</v>
      </c>
      <c r="J397" s="297">
        <v>40900</v>
      </c>
      <c r="K397" s="288" t="s">
        <v>12</v>
      </c>
      <c r="L397" s="312">
        <v>184</v>
      </c>
      <c r="M397" s="378">
        <v>9359</v>
      </c>
      <c r="N397" s="379">
        <v>1136</v>
      </c>
      <c r="O397" s="334">
        <v>6374787</v>
      </c>
      <c r="P397" s="338">
        <v>636640</v>
      </c>
      <c r="Q397" s="297">
        <v>40949</v>
      </c>
    </row>
    <row r="398" spans="1:17" ht="12" customHeight="1">
      <c r="A398" s="520">
        <v>395</v>
      </c>
      <c r="B398" s="236"/>
      <c r="C398" s="236"/>
      <c r="D398" s="236">
        <v>2</v>
      </c>
      <c r="E398" s="236" t="s">
        <v>250</v>
      </c>
      <c r="F398" s="236"/>
      <c r="G398" s="236"/>
      <c r="H398" s="366" t="s">
        <v>192</v>
      </c>
      <c r="I398" s="339" t="s">
        <v>192</v>
      </c>
      <c r="J398" s="297">
        <v>40900</v>
      </c>
      <c r="K398" s="288" t="s">
        <v>12</v>
      </c>
      <c r="L398" s="312">
        <v>184</v>
      </c>
      <c r="M398" s="382">
        <v>3907</v>
      </c>
      <c r="N398" s="383">
        <v>969</v>
      </c>
      <c r="O398" s="328">
        <v>6380292</v>
      </c>
      <c r="P398" s="344">
        <v>637856</v>
      </c>
      <c r="Q398" s="297">
        <v>40963</v>
      </c>
    </row>
    <row r="399" spans="1:17" ht="12" customHeight="1">
      <c r="A399" s="520">
        <v>396</v>
      </c>
      <c r="B399" s="236"/>
      <c r="C399" s="236"/>
      <c r="D399" s="236">
        <v>2</v>
      </c>
      <c r="E399" s="236" t="s">
        <v>250</v>
      </c>
      <c r="F399" s="236"/>
      <c r="G399" s="236"/>
      <c r="H399" s="366" t="s">
        <v>192</v>
      </c>
      <c r="I399" s="339" t="s">
        <v>192</v>
      </c>
      <c r="J399" s="297">
        <v>40900</v>
      </c>
      <c r="K399" s="288" t="s">
        <v>12</v>
      </c>
      <c r="L399" s="312">
        <v>184</v>
      </c>
      <c r="M399" s="378">
        <v>2394</v>
      </c>
      <c r="N399" s="379">
        <v>378</v>
      </c>
      <c r="O399" s="334">
        <v>6385813</v>
      </c>
      <c r="P399" s="338">
        <v>638741</v>
      </c>
      <c r="Q399" s="297">
        <v>41005</v>
      </c>
    </row>
    <row r="400" spans="1:17" ht="12" customHeight="1">
      <c r="A400" s="520">
        <v>397</v>
      </c>
      <c r="B400" s="236"/>
      <c r="C400" s="236"/>
      <c r="D400" s="236">
        <v>2</v>
      </c>
      <c r="E400" s="236" t="s">
        <v>250</v>
      </c>
      <c r="F400" s="236"/>
      <c r="G400" s="236"/>
      <c r="H400" s="366" t="s">
        <v>192</v>
      </c>
      <c r="I400" s="339" t="s">
        <v>192</v>
      </c>
      <c r="J400" s="297">
        <v>40900</v>
      </c>
      <c r="K400" s="288" t="s">
        <v>12</v>
      </c>
      <c r="L400" s="312">
        <v>184</v>
      </c>
      <c r="M400" s="378">
        <v>1722</v>
      </c>
      <c r="N400" s="379">
        <v>287</v>
      </c>
      <c r="O400" s="334">
        <v>6383419</v>
      </c>
      <c r="P400" s="338">
        <v>638363</v>
      </c>
      <c r="Q400" s="297">
        <v>40998</v>
      </c>
    </row>
    <row r="401" spans="1:17" ht="12" customHeight="1">
      <c r="A401" s="520">
        <v>398</v>
      </c>
      <c r="B401" s="236"/>
      <c r="C401" s="236"/>
      <c r="D401" s="236">
        <v>2</v>
      </c>
      <c r="E401" s="236" t="s">
        <v>250</v>
      </c>
      <c r="F401" s="236"/>
      <c r="G401" s="236"/>
      <c r="H401" s="366" t="s">
        <v>192</v>
      </c>
      <c r="I401" s="339" t="s">
        <v>192</v>
      </c>
      <c r="J401" s="297">
        <v>40900</v>
      </c>
      <c r="K401" s="288" t="s">
        <v>12</v>
      </c>
      <c r="L401" s="312">
        <v>184</v>
      </c>
      <c r="M401" s="378">
        <v>1722</v>
      </c>
      <c r="N401" s="379">
        <v>287</v>
      </c>
      <c r="O401" s="334">
        <v>6391467</v>
      </c>
      <c r="P401" s="338">
        <v>639587</v>
      </c>
      <c r="Q401" s="297">
        <v>41019</v>
      </c>
    </row>
    <row r="402" spans="1:17" ht="12" customHeight="1">
      <c r="A402" s="520">
        <v>399</v>
      </c>
      <c r="B402" s="236"/>
      <c r="C402" s="236"/>
      <c r="D402" s="236">
        <v>2</v>
      </c>
      <c r="E402" s="236" t="s">
        <v>250</v>
      </c>
      <c r="F402" s="236"/>
      <c r="G402" s="236"/>
      <c r="H402" s="366" t="s">
        <v>192</v>
      </c>
      <c r="I402" s="339" t="s">
        <v>192</v>
      </c>
      <c r="J402" s="297">
        <v>40900</v>
      </c>
      <c r="K402" s="288" t="s">
        <v>12</v>
      </c>
      <c r="L402" s="312">
        <v>184</v>
      </c>
      <c r="M402" s="378">
        <v>1591</v>
      </c>
      <c r="N402" s="379">
        <v>246</v>
      </c>
      <c r="O402" s="334">
        <v>6376385</v>
      </c>
      <c r="P402" s="338">
        <v>636887</v>
      </c>
      <c r="Q402" s="297">
        <v>40956</v>
      </c>
    </row>
    <row r="403" spans="1:17" ht="12" customHeight="1">
      <c r="A403" s="520">
        <v>400</v>
      </c>
      <c r="B403" s="236"/>
      <c r="C403" s="236"/>
      <c r="D403" s="236">
        <v>2</v>
      </c>
      <c r="E403" s="236" t="s">
        <v>250</v>
      </c>
      <c r="F403" s="236"/>
      <c r="G403" s="236"/>
      <c r="H403" s="366" t="s">
        <v>192</v>
      </c>
      <c r="I403" s="339" t="s">
        <v>192</v>
      </c>
      <c r="J403" s="297">
        <v>40900</v>
      </c>
      <c r="K403" s="288" t="s">
        <v>12</v>
      </c>
      <c r="L403" s="312">
        <v>184</v>
      </c>
      <c r="M403" s="378">
        <v>1270</v>
      </c>
      <c r="N403" s="379">
        <v>203</v>
      </c>
      <c r="O403" s="334">
        <v>6381697</v>
      </c>
      <c r="P403" s="338">
        <v>638076</v>
      </c>
      <c r="Q403" s="297">
        <v>40977</v>
      </c>
    </row>
    <row r="404" spans="1:17" ht="12" customHeight="1">
      <c r="A404" s="520">
        <v>401</v>
      </c>
      <c r="B404" s="236"/>
      <c r="C404" s="236"/>
      <c r="D404" s="236">
        <v>2</v>
      </c>
      <c r="E404" s="236" t="s">
        <v>250</v>
      </c>
      <c r="F404" s="236"/>
      <c r="G404" s="236"/>
      <c r="H404" s="366" t="s">
        <v>192</v>
      </c>
      <c r="I404" s="339" t="s">
        <v>192</v>
      </c>
      <c r="J404" s="297">
        <v>40900</v>
      </c>
      <c r="K404" s="288" t="s">
        <v>12</v>
      </c>
      <c r="L404" s="312">
        <v>184</v>
      </c>
      <c r="M404" s="378">
        <v>135</v>
      </c>
      <c r="N404" s="379">
        <v>17</v>
      </c>
      <c r="O404" s="334">
        <v>6380427</v>
      </c>
      <c r="P404" s="338">
        <v>637873</v>
      </c>
      <c r="Q404" s="297">
        <v>40970</v>
      </c>
    </row>
    <row r="405" spans="1:17" ht="12" customHeight="1">
      <c r="A405" s="520">
        <v>402</v>
      </c>
      <c r="B405" s="236"/>
      <c r="C405" s="236"/>
      <c r="D405" s="236"/>
      <c r="E405" s="236"/>
      <c r="F405" s="294"/>
      <c r="G405" s="293"/>
      <c r="H405" s="464" t="s">
        <v>111</v>
      </c>
      <c r="I405" s="288" t="s">
        <v>112</v>
      </c>
      <c r="J405" s="359">
        <v>40886</v>
      </c>
      <c r="K405" s="288" t="s">
        <v>10</v>
      </c>
      <c r="L405" s="312">
        <v>25</v>
      </c>
      <c r="M405" s="382">
        <v>7798</v>
      </c>
      <c r="N405" s="383">
        <v>1075</v>
      </c>
      <c r="O405" s="328">
        <v>410245</v>
      </c>
      <c r="P405" s="344">
        <v>32354</v>
      </c>
      <c r="Q405" s="297">
        <v>40907</v>
      </c>
    </row>
    <row r="406" spans="1:17" ht="12" customHeight="1">
      <c r="A406" s="520">
        <v>403</v>
      </c>
      <c r="B406" s="236"/>
      <c r="C406" s="236"/>
      <c r="D406" s="236"/>
      <c r="E406" s="236"/>
      <c r="F406" s="294"/>
      <c r="G406" s="293"/>
      <c r="H406" s="464" t="s">
        <v>111</v>
      </c>
      <c r="I406" s="288" t="s">
        <v>112</v>
      </c>
      <c r="J406" s="359">
        <v>40886</v>
      </c>
      <c r="K406" s="288" t="s">
        <v>10</v>
      </c>
      <c r="L406" s="312">
        <v>25</v>
      </c>
      <c r="M406" s="382">
        <v>6602</v>
      </c>
      <c r="N406" s="383">
        <v>811</v>
      </c>
      <c r="O406" s="328">
        <v>422285</v>
      </c>
      <c r="P406" s="344">
        <v>34230</v>
      </c>
      <c r="Q406" s="297">
        <v>40928</v>
      </c>
    </row>
    <row r="407" spans="1:17" ht="12" customHeight="1">
      <c r="A407" s="520">
        <v>404</v>
      </c>
      <c r="B407" s="236"/>
      <c r="C407" s="236"/>
      <c r="D407" s="236"/>
      <c r="E407" s="236"/>
      <c r="F407" s="294"/>
      <c r="G407" s="293"/>
      <c r="H407" s="464" t="s">
        <v>111</v>
      </c>
      <c r="I407" s="288" t="s">
        <v>112</v>
      </c>
      <c r="J407" s="359">
        <v>40886</v>
      </c>
      <c r="K407" s="288" t="s">
        <v>10</v>
      </c>
      <c r="L407" s="312">
        <v>25</v>
      </c>
      <c r="M407" s="382">
        <v>3058</v>
      </c>
      <c r="N407" s="383">
        <v>780</v>
      </c>
      <c r="O407" s="328">
        <f>410245+3058</f>
        <v>413303</v>
      </c>
      <c r="P407" s="344">
        <f>32354+780</f>
        <v>33134</v>
      </c>
      <c r="Q407" s="297">
        <v>40914</v>
      </c>
    </row>
    <row r="408" spans="1:17" ht="12" customHeight="1">
      <c r="A408" s="520">
        <v>405</v>
      </c>
      <c r="B408" s="236"/>
      <c r="C408" s="236"/>
      <c r="D408" s="236"/>
      <c r="E408" s="236"/>
      <c r="F408" s="294"/>
      <c r="G408" s="293"/>
      <c r="H408" s="360" t="s">
        <v>111</v>
      </c>
      <c r="I408" s="288" t="s">
        <v>112</v>
      </c>
      <c r="J408" s="359">
        <v>40886</v>
      </c>
      <c r="K408" s="288" t="s">
        <v>10</v>
      </c>
      <c r="L408" s="312">
        <v>25</v>
      </c>
      <c r="M408" s="382">
        <v>2795</v>
      </c>
      <c r="N408" s="383">
        <v>311</v>
      </c>
      <c r="O408" s="328">
        <v>426547</v>
      </c>
      <c r="P408" s="344">
        <v>34707</v>
      </c>
      <c r="Q408" s="297">
        <v>40949</v>
      </c>
    </row>
    <row r="409" spans="1:17" ht="12" customHeight="1">
      <c r="A409" s="520">
        <v>406</v>
      </c>
      <c r="B409" s="236"/>
      <c r="C409" s="236"/>
      <c r="D409" s="236"/>
      <c r="E409" s="236"/>
      <c r="F409" s="294"/>
      <c r="G409" s="293"/>
      <c r="H409" s="464" t="s">
        <v>111</v>
      </c>
      <c r="I409" s="288" t="s">
        <v>112</v>
      </c>
      <c r="J409" s="359">
        <v>40886</v>
      </c>
      <c r="K409" s="288" t="s">
        <v>10</v>
      </c>
      <c r="L409" s="312">
        <v>25</v>
      </c>
      <c r="M409" s="382">
        <v>2380</v>
      </c>
      <c r="N409" s="383">
        <v>285</v>
      </c>
      <c r="O409" s="328">
        <v>415683</v>
      </c>
      <c r="P409" s="344">
        <v>33419</v>
      </c>
      <c r="Q409" s="297">
        <v>40921</v>
      </c>
    </row>
    <row r="410" spans="1:17" ht="12" customHeight="1">
      <c r="A410" s="520">
        <v>407</v>
      </c>
      <c r="B410" s="236"/>
      <c r="C410" s="236"/>
      <c r="D410" s="236"/>
      <c r="E410" s="236"/>
      <c r="F410" s="294"/>
      <c r="G410" s="293"/>
      <c r="H410" s="464" t="s">
        <v>111</v>
      </c>
      <c r="I410" s="288" t="s">
        <v>112</v>
      </c>
      <c r="J410" s="359">
        <v>40886</v>
      </c>
      <c r="K410" s="288" t="s">
        <v>10</v>
      </c>
      <c r="L410" s="312">
        <v>25</v>
      </c>
      <c r="M410" s="382">
        <v>1467</v>
      </c>
      <c r="N410" s="383">
        <v>166</v>
      </c>
      <c r="O410" s="328">
        <v>423752</v>
      </c>
      <c r="P410" s="344">
        <v>34396</v>
      </c>
      <c r="Q410" s="297">
        <v>40942</v>
      </c>
    </row>
    <row r="411" spans="1:17" ht="12" customHeight="1">
      <c r="A411" s="520">
        <v>408</v>
      </c>
      <c r="B411" s="236"/>
      <c r="C411" s="236"/>
      <c r="D411" s="236"/>
      <c r="E411" s="236"/>
      <c r="F411" s="294"/>
      <c r="G411" s="293"/>
      <c r="H411" s="360" t="s">
        <v>111</v>
      </c>
      <c r="I411" s="288" t="s">
        <v>112</v>
      </c>
      <c r="J411" s="359">
        <v>40886</v>
      </c>
      <c r="K411" s="288" t="s">
        <v>10</v>
      </c>
      <c r="L411" s="312">
        <v>25</v>
      </c>
      <c r="M411" s="382">
        <v>1188</v>
      </c>
      <c r="N411" s="383">
        <v>297</v>
      </c>
      <c r="O411" s="328">
        <v>427735</v>
      </c>
      <c r="P411" s="344">
        <v>35004</v>
      </c>
      <c r="Q411" s="297">
        <v>40956</v>
      </c>
    </row>
    <row r="412" spans="1:17" ht="12" customHeight="1">
      <c r="A412" s="520">
        <v>409</v>
      </c>
      <c r="B412" s="236"/>
      <c r="C412" s="236"/>
      <c r="D412" s="236"/>
      <c r="E412" s="236"/>
      <c r="F412" s="294"/>
      <c r="G412" s="293"/>
      <c r="H412" s="360" t="s">
        <v>111</v>
      </c>
      <c r="I412" s="288" t="s">
        <v>112</v>
      </c>
      <c r="J412" s="359">
        <v>40886</v>
      </c>
      <c r="K412" s="288" t="s">
        <v>10</v>
      </c>
      <c r="L412" s="312">
        <v>25</v>
      </c>
      <c r="M412" s="382">
        <v>700</v>
      </c>
      <c r="N412" s="383">
        <v>100</v>
      </c>
      <c r="O412" s="328">
        <v>428435</v>
      </c>
      <c r="P412" s="344">
        <v>35104</v>
      </c>
      <c r="Q412" s="297">
        <v>40963</v>
      </c>
    </row>
    <row r="413" spans="1:17" ht="12" customHeight="1">
      <c r="A413" s="520">
        <v>410</v>
      </c>
      <c r="B413" s="236"/>
      <c r="C413" s="236"/>
      <c r="D413" s="236"/>
      <c r="E413" s="236"/>
      <c r="F413" s="236"/>
      <c r="G413" s="236"/>
      <c r="H413" s="366" t="s">
        <v>928</v>
      </c>
      <c r="I413" s="339" t="s">
        <v>929</v>
      </c>
      <c r="J413" s="370">
        <v>40754</v>
      </c>
      <c r="K413" s="288" t="s">
        <v>68</v>
      </c>
      <c r="L413" s="312">
        <v>19</v>
      </c>
      <c r="M413" s="382">
        <v>594</v>
      </c>
      <c r="N413" s="383">
        <v>119</v>
      </c>
      <c r="O413" s="328">
        <f>69032+15425.5+9802+4755.5+7049.5+3610.5+8536+6024.5+2322+245+405.5+1307+950.5+594</f>
        <v>130059.5</v>
      </c>
      <c r="P413" s="344">
        <f>5509+1589+1417+704+842+602+1038+829+323+37+46+327+238+119</f>
        <v>13620</v>
      </c>
      <c r="Q413" s="297">
        <v>41040</v>
      </c>
    </row>
    <row r="414" spans="1:17" ht="12" customHeight="1">
      <c r="A414" s="520">
        <v>411</v>
      </c>
      <c r="B414" s="236" t="s">
        <v>193</v>
      </c>
      <c r="C414" s="236"/>
      <c r="D414" s="293"/>
      <c r="E414" s="236"/>
      <c r="F414" s="236"/>
      <c r="G414" s="236"/>
      <c r="H414" s="366" t="s">
        <v>390</v>
      </c>
      <c r="I414" s="339" t="s">
        <v>402</v>
      </c>
      <c r="J414" s="370">
        <v>40781</v>
      </c>
      <c r="K414" s="288" t="s">
        <v>68</v>
      </c>
      <c r="L414" s="312">
        <v>96</v>
      </c>
      <c r="M414" s="468">
        <v>3801.5</v>
      </c>
      <c r="N414" s="469">
        <v>760</v>
      </c>
      <c r="O414" s="317">
        <f>29056+844874+618474.25+386880.75+207889+130968.5+129398.5+101615+71628.5+47296.5+22263.5+13505+4171.5+5940+3840+5098.5+8056+3564+392+1059+768+1425.5+3801.5</f>
        <v>2641965.5</v>
      </c>
      <c r="P414" s="368">
        <f>4385+80857+63348+40336+22079+15879+16790+12949+9380+7537+4227+2497+926+1486+944+1206+1963+892+26+520+375+285+760</f>
        <v>289647</v>
      </c>
      <c r="Q414" s="297">
        <v>41026</v>
      </c>
    </row>
    <row r="415" spans="1:17" ht="12" customHeight="1">
      <c r="A415" s="520">
        <v>412</v>
      </c>
      <c r="B415" s="236" t="s">
        <v>193</v>
      </c>
      <c r="C415" s="236"/>
      <c r="D415" s="293"/>
      <c r="E415" s="236"/>
      <c r="F415" s="236"/>
      <c r="G415" s="236"/>
      <c r="H415" s="459" t="s">
        <v>390</v>
      </c>
      <c r="I415" s="339" t="s">
        <v>396</v>
      </c>
      <c r="J415" s="320">
        <v>40781</v>
      </c>
      <c r="K415" s="288" t="s">
        <v>68</v>
      </c>
      <c r="L415" s="312">
        <v>96</v>
      </c>
      <c r="M415" s="382">
        <v>3564</v>
      </c>
      <c r="N415" s="383">
        <v>892</v>
      </c>
      <c r="O415" s="328">
        <f>29056+844874+618474.25+386880.75+207889+130968.5+129398.5+101615+71628.5+47296.5+22263.5+13505+4171.5+5940+3840+5098.5+8056+3564</f>
        <v>2634519.5</v>
      </c>
      <c r="P415" s="344">
        <f>4385+80857+63348+40336+22079+15879+16790+12949+9380+7537+4227+2497+926+1486+944+1206+1963+892</f>
        <v>287681</v>
      </c>
      <c r="Q415" s="297">
        <v>40928</v>
      </c>
    </row>
    <row r="416" spans="1:17" ht="12" customHeight="1">
      <c r="A416" s="520">
        <v>413</v>
      </c>
      <c r="B416" s="236" t="s">
        <v>193</v>
      </c>
      <c r="C416" s="236"/>
      <c r="D416" s="293"/>
      <c r="E416" s="236"/>
      <c r="F416" s="236"/>
      <c r="G416" s="236"/>
      <c r="H416" s="366" t="s">
        <v>390</v>
      </c>
      <c r="I416" s="339" t="s">
        <v>396</v>
      </c>
      <c r="J416" s="320">
        <v>40781</v>
      </c>
      <c r="K416" s="288" t="s">
        <v>68</v>
      </c>
      <c r="L416" s="312">
        <v>96</v>
      </c>
      <c r="M416" s="382">
        <v>1425.5</v>
      </c>
      <c r="N416" s="383">
        <v>285</v>
      </c>
      <c r="O416" s="328">
        <f>29056+844874+618474.25+386880.75+207889+130968.5+129398.5+101615+71628.5+47296.5+22263.5+13505+4171.5+5940+3840+5098.5+8056+3564+392+1059+768+1425.5</f>
        <v>2638164</v>
      </c>
      <c r="P416" s="344">
        <f>4385+80857+63348+40336+22079+15879+16790+12949+9380+7537+4227+2497+926+1486+944+1206+1963+892+26+520+375+285</f>
        <v>288887</v>
      </c>
      <c r="Q416" s="297">
        <v>41019</v>
      </c>
    </row>
    <row r="417" spans="1:17" ht="12" customHeight="1">
      <c r="A417" s="520">
        <v>414</v>
      </c>
      <c r="B417" s="236" t="s">
        <v>193</v>
      </c>
      <c r="C417" s="236"/>
      <c r="D417" s="293"/>
      <c r="E417" s="236"/>
      <c r="F417" s="236"/>
      <c r="G417" s="236"/>
      <c r="H417" s="366" t="s">
        <v>390</v>
      </c>
      <c r="I417" s="339" t="s">
        <v>396</v>
      </c>
      <c r="J417" s="370">
        <v>40781</v>
      </c>
      <c r="K417" s="288" t="s">
        <v>68</v>
      </c>
      <c r="L417" s="312">
        <v>96</v>
      </c>
      <c r="M417" s="382">
        <v>1425.5</v>
      </c>
      <c r="N417" s="383">
        <v>285</v>
      </c>
      <c r="O417" s="328">
        <f>29056+844874+618474.25+386880.75+207889+130968.5+129398.5+101615+71628.5+47296.5+22263.5+13505+4171.5+5940+3840+5098.5+8056+3564+392+1059+768+1425.5+3801.5+1425.5</f>
        <v>2643391</v>
      </c>
      <c r="P417" s="344">
        <f>4385+80857+63348+40336+22079+15879+16790+12949+9380+7537+4227+2497+926+1486+944+1206+1963+892+26+520+375+285+760+285</f>
        <v>289932</v>
      </c>
      <c r="Q417" s="297">
        <v>41040</v>
      </c>
    </row>
    <row r="418" spans="1:17" ht="12" customHeight="1">
      <c r="A418" s="520">
        <v>415</v>
      </c>
      <c r="B418" s="236" t="s">
        <v>193</v>
      </c>
      <c r="C418" s="236"/>
      <c r="D418" s="293"/>
      <c r="E418" s="236"/>
      <c r="F418" s="236"/>
      <c r="G418" s="236"/>
      <c r="H418" s="366" t="s">
        <v>390</v>
      </c>
      <c r="I418" s="339" t="s">
        <v>396</v>
      </c>
      <c r="J418" s="320">
        <v>40781</v>
      </c>
      <c r="K418" s="288" t="s">
        <v>68</v>
      </c>
      <c r="L418" s="312">
        <v>96</v>
      </c>
      <c r="M418" s="470">
        <v>1059</v>
      </c>
      <c r="N418" s="471">
        <v>520</v>
      </c>
      <c r="O418" s="448">
        <f>29056+844874+618474.25+386880.75+207889+130968.5+129398.5+101615+71628.5+47296.5+22263.5+13505+4171.5+5940+3840+5098.5+8056+3564+392+1059</f>
        <v>2635970.5</v>
      </c>
      <c r="P418" s="449">
        <f>4385+80857+63348+40336+22079+15879+16790+12949+9380+7537+4227+2497+926+1486+944+1206+1963+892+26+520</f>
        <v>288227</v>
      </c>
      <c r="Q418" s="297">
        <v>40984</v>
      </c>
    </row>
    <row r="419" spans="1:17" ht="12" customHeight="1">
      <c r="A419" s="520">
        <v>416</v>
      </c>
      <c r="B419" s="236" t="s">
        <v>193</v>
      </c>
      <c r="C419" s="236"/>
      <c r="D419" s="293"/>
      <c r="E419" s="236"/>
      <c r="F419" s="236"/>
      <c r="G419" s="236"/>
      <c r="H419" s="366" t="s">
        <v>390</v>
      </c>
      <c r="I419" s="339" t="s">
        <v>396</v>
      </c>
      <c r="J419" s="320">
        <v>40781</v>
      </c>
      <c r="K419" s="288" t="s">
        <v>68</v>
      </c>
      <c r="L419" s="312">
        <v>96</v>
      </c>
      <c r="M419" s="382">
        <v>768</v>
      </c>
      <c r="N419" s="383">
        <v>375</v>
      </c>
      <c r="O419" s="328">
        <f>29056+844874+618474.25+386880.75+207889+130968.5+129398.5+101615+71628.5+47296.5+22263.5+13505+4171.5+5940+3840+5098.5+8056+3564+392+1059+768</f>
        <v>2636738.5</v>
      </c>
      <c r="P419" s="344">
        <f>4385+80857+63348+40336+22079+15879+16790+12949+9380+7537+4227+2497+926+1486+944+1206+1963+892+26+520+375</f>
        <v>288602</v>
      </c>
      <c r="Q419" s="297">
        <v>40991</v>
      </c>
    </row>
    <row r="420" spans="1:17" ht="12" customHeight="1">
      <c r="A420" s="520">
        <v>417</v>
      </c>
      <c r="B420" s="236" t="s">
        <v>193</v>
      </c>
      <c r="C420" s="236"/>
      <c r="D420" s="293"/>
      <c r="E420" s="236"/>
      <c r="F420" s="236"/>
      <c r="G420" s="236"/>
      <c r="H420" s="366" t="s">
        <v>390</v>
      </c>
      <c r="I420" s="339" t="s">
        <v>396</v>
      </c>
      <c r="J420" s="320">
        <v>40781</v>
      </c>
      <c r="K420" s="288" t="s">
        <v>68</v>
      </c>
      <c r="L420" s="312">
        <v>96</v>
      </c>
      <c r="M420" s="382">
        <v>392</v>
      </c>
      <c r="N420" s="383">
        <v>26</v>
      </c>
      <c r="O420" s="328">
        <f>29056+844874+618474.25+386880.75+207889+130968.5+129398.5+101615+71628.5+47296.5+22263.5+13505+4171.5+5940+3840+5098.5+8056+3564+392</f>
        <v>2634911.5</v>
      </c>
      <c r="P420" s="344">
        <f>4385+80857+63348+40336+22079+15879+16790+12949+9380+7537+4227+2497+926+1486+944+1206+1963+892+26</f>
        <v>287707</v>
      </c>
      <c r="Q420" s="297">
        <v>40963</v>
      </c>
    </row>
    <row r="421" spans="1:17" ht="12" customHeight="1">
      <c r="A421" s="520">
        <v>418</v>
      </c>
      <c r="B421" s="293"/>
      <c r="C421" s="293"/>
      <c r="D421" s="236"/>
      <c r="E421" s="236" t="s">
        <v>250</v>
      </c>
      <c r="F421" s="236"/>
      <c r="G421" s="236" t="s">
        <v>54</v>
      </c>
      <c r="H421" s="463" t="s">
        <v>104</v>
      </c>
      <c r="I421" s="312" t="s">
        <v>104</v>
      </c>
      <c r="J421" s="320">
        <v>40879</v>
      </c>
      <c r="K421" s="288" t="s">
        <v>53</v>
      </c>
      <c r="L421" s="312">
        <v>135</v>
      </c>
      <c r="M421" s="378">
        <v>197271.5</v>
      </c>
      <c r="N421" s="379">
        <v>25625</v>
      </c>
      <c r="O421" s="334">
        <f>1709882.25+1194489.75+708906.5+376327+70+197271.5</f>
        <v>4186947</v>
      </c>
      <c r="P421" s="338">
        <f>195314+135261+80447+45395+10+25625</f>
        <v>482052</v>
      </c>
      <c r="Q421" s="297">
        <v>40907</v>
      </c>
    </row>
    <row r="422" spans="1:17" ht="12" customHeight="1">
      <c r="A422" s="520">
        <v>419</v>
      </c>
      <c r="B422" s="293"/>
      <c r="C422" s="293"/>
      <c r="D422" s="236"/>
      <c r="E422" s="236" t="s">
        <v>250</v>
      </c>
      <c r="F422" s="236"/>
      <c r="G422" s="236" t="s">
        <v>54</v>
      </c>
      <c r="H422" s="463" t="s">
        <v>104</v>
      </c>
      <c r="I422" s="312" t="s">
        <v>104</v>
      </c>
      <c r="J422" s="320">
        <v>40879</v>
      </c>
      <c r="K422" s="288" t="s">
        <v>53</v>
      </c>
      <c r="L422" s="312">
        <v>135</v>
      </c>
      <c r="M422" s="378">
        <v>73341.5</v>
      </c>
      <c r="N422" s="379">
        <v>10302</v>
      </c>
      <c r="O422" s="334">
        <f>1709882.25+1194489.75+708906.5+376327+70+197271.5+73341.5</f>
        <v>4260288.5</v>
      </c>
      <c r="P422" s="338">
        <f>195314+135261+80447+45395+10+25625+10302</f>
        <v>492354</v>
      </c>
      <c r="Q422" s="297">
        <v>40914</v>
      </c>
    </row>
    <row r="423" spans="1:17" ht="12" customHeight="1">
      <c r="A423" s="520">
        <v>420</v>
      </c>
      <c r="B423" s="293"/>
      <c r="C423" s="293"/>
      <c r="D423" s="236"/>
      <c r="E423" s="236" t="s">
        <v>250</v>
      </c>
      <c r="F423" s="236"/>
      <c r="G423" s="236" t="s">
        <v>54</v>
      </c>
      <c r="H423" s="463" t="s">
        <v>104</v>
      </c>
      <c r="I423" s="312" t="s">
        <v>104</v>
      </c>
      <c r="J423" s="320">
        <v>40879</v>
      </c>
      <c r="K423" s="288" t="s">
        <v>53</v>
      </c>
      <c r="L423" s="312">
        <v>135</v>
      </c>
      <c r="M423" s="378">
        <v>70692.5</v>
      </c>
      <c r="N423" s="379">
        <v>10950</v>
      </c>
      <c r="O423" s="334">
        <f>1709882.25+1194489.75+708906.5+376327+70+197271.5+73341.5+70692.5</f>
        <v>4330981</v>
      </c>
      <c r="P423" s="338">
        <f>195314+135261+80447+45395+10+25625+10302+10950</f>
        <v>503304</v>
      </c>
      <c r="Q423" s="297">
        <v>40921</v>
      </c>
    </row>
    <row r="424" spans="1:17" ht="12" customHeight="1">
      <c r="A424" s="520">
        <v>421</v>
      </c>
      <c r="B424" s="293"/>
      <c r="C424" s="293"/>
      <c r="D424" s="236"/>
      <c r="E424" s="236" t="s">
        <v>250</v>
      </c>
      <c r="F424" s="236"/>
      <c r="G424" s="236" t="s">
        <v>54</v>
      </c>
      <c r="H424" s="463" t="s">
        <v>104</v>
      </c>
      <c r="I424" s="312" t="s">
        <v>104</v>
      </c>
      <c r="J424" s="320">
        <v>40879</v>
      </c>
      <c r="K424" s="288" t="s">
        <v>53</v>
      </c>
      <c r="L424" s="312">
        <v>135</v>
      </c>
      <c r="M424" s="378">
        <v>50480.5</v>
      </c>
      <c r="N424" s="379">
        <v>7727</v>
      </c>
      <c r="O424" s="334">
        <f>1709882.25+1194489.75+708906.5+376327+70+197271.5+73341.5+70692.5+50480.5</f>
        <v>4381461.5</v>
      </c>
      <c r="P424" s="338">
        <f>195314+135261+80447+45395+10+25625+10302+10950+7727</f>
        <v>511031</v>
      </c>
      <c r="Q424" s="297">
        <v>40928</v>
      </c>
    </row>
    <row r="425" spans="1:17" ht="12" customHeight="1">
      <c r="A425" s="520">
        <v>422</v>
      </c>
      <c r="B425" s="293"/>
      <c r="C425" s="293"/>
      <c r="D425" s="236"/>
      <c r="E425" s="236" t="s">
        <v>250</v>
      </c>
      <c r="F425" s="236"/>
      <c r="G425" s="236" t="s">
        <v>54</v>
      </c>
      <c r="H425" s="463" t="s">
        <v>104</v>
      </c>
      <c r="I425" s="312" t="s">
        <v>104</v>
      </c>
      <c r="J425" s="320">
        <v>40879</v>
      </c>
      <c r="K425" s="288" t="s">
        <v>53</v>
      </c>
      <c r="L425" s="312">
        <v>135</v>
      </c>
      <c r="M425" s="378">
        <v>9953.5</v>
      </c>
      <c r="N425" s="379">
        <v>1402</v>
      </c>
      <c r="O425" s="334">
        <f>1709882.25+1194489.75+708906.5+376327+70+197271.5+73341.5+70692.5+50480.5+9953.5</f>
        <v>4391415</v>
      </c>
      <c r="P425" s="338">
        <f>195314+135261+80447+45395+10+25625+10302+10950+7727+1402</f>
        <v>512433</v>
      </c>
      <c r="Q425" s="297">
        <v>40935</v>
      </c>
    </row>
    <row r="426" spans="1:17" ht="12" customHeight="1">
      <c r="A426" s="520">
        <v>423</v>
      </c>
      <c r="B426" s="293"/>
      <c r="C426" s="293"/>
      <c r="D426" s="236"/>
      <c r="E426" s="236" t="s">
        <v>250</v>
      </c>
      <c r="F426" s="236"/>
      <c r="G426" s="236" t="s">
        <v>54</v>
      </c>
      <c r="H426" s="463" t="s">
        <v>104</v>
      </c>
      <c r="I426" s="312" t="s">
        <v>104</v>
      </c>
      <c r="J426" s="320">
        <v>40879</v>
      </c>
      <c r="K426" s="288" t="s">
        <v>53</v>
      </c>
      <c r="L426" s="312">
        <v>135</v>
      </c>
      <c r="M426" s="378">
        <v>3058</v>
      </c>
      <c r="N426" s="379">
        <v>435</v>
      </c>
      <c r="O426" s="334">
        <f>1709882.25+1194489.75+708906.5+376327+70+197271.5+73341.5+70692.5+50480.5+9953.5+3058</f>
        <v>4394473</v>
      </c>
      <c r="P426" s="338">
        <f>195314+135261+80447+45395+10+25625+10302+10950+7727+1402+435</f>
        <v>512868</v>
      </c>
      <c r="Q426" s="297">
        <v>40942</v>
      </c>
    </row>
    <row r="427" spans="1:17" ht="12" customHeight="1">
      <c r="A427" s="520">
        <v>424</v>
      </c>
      <c r="B427" s="293"/>
      <c r="C427" s="293"/>
      <c r="D427" s="236"/>
      <c r="E427" s="236" t="s">
        <v>250</v>
      </c>
      <c r="F427" s="236"/>
      <c r="G427" s="236" t="s">
        <v>54</v>
      </c>
      <c r="H427" s="361" t="s">
        <v>104</v>
      </c>
      <c r="I427" s="312" t="s">
        <v>104</v>
      </c>
      <c r="J427" s="320">
        <v>40879</v>
      </c>
      <c r="K427" s="288" t="s">
        <v>53</v>
      </c>
      <c r="L427" s="312">
        <v>135</v>
      </c>
      <c r="M427" s="378">
        <v>2402</v>
      </c>
      <c r="N427" s="379">
        <v>480</v>
      </c>
      <c r="O427" s="334">
        <f>1709882.25+1194489.75+708906.5+376327+70+197271.5+73341.5+70692.5+50480.5+9953.5+3058+838+28+63+74+2402</f>
        <v>4397878</v>
      </c>
      <c r="P427" s="338">
        <f>195314+135261+80447+45395+10+25625+10302+10950+7727+1402+435+131+4+9+10+480</f>
        <v>513502</v>
      </c>
      <c r="Q427" s="297">
        <v>40977</v>
      </c>
    </row>
    <row r="428" spans="1:17" ht="12" customHeight="1">
      <c r="A428" s="520">
        <v>425</v>
      </c>
      <c r="B428" s="293"/>
      <c r="C428" s="293"/>
      <c r="D428" s="236"/>
      <c r="E428" s="236" t="s">
        <v>250</v>
      </c>
      <c r="F428" s="236"/>
      <c r="G428" s="236" t="s">
        <v>54</v>
      </c>
      <c r="H428" s="361" t="s">
        <v>104</v>
      </c>
      <c r="I428" s="312" t="s">
        <v>104</v>
      </c>
      <c r="J428" s="370">
        <v>40879</v>
      </c>
      <c r="K428" s="288" t="s">
        <v>53</v>
      </c>
      <c r="L428" s="346">
        <v>135</v>
      </c>
      <c r="M428" s="378">
        <v>1887</v>
      </c>
      <c r="N428" s="379">
        <v>377</v>
      </c>
      <c r="O428" s="334">
        <f>1709882.25+1194489.75+708906.5+376327+70+197271.5+73341.5+70692.5+50480.5+9953.5+3058+838+28+63+74+2402+315+200+1887</f>
        <v>4400280</v>
      </c>
      <c r="P428" s="338">
        <f>195314+135261+80447+45395+10+25625+10302+10950+7727+1402+435+131+4+9+10+480+63+40+377</f>
        <v>513982</v>
      </c>
      <c r="Q428" s="297">
        <v>41040</v>
      </c>
    </row>
    <row r="429" spans="1:17" ht="12" customHeight="1">
      <c r="A429" s="520">
        <v>426</v>
      </c>
      <c r="B429" s="293"/>
      <c r="C429" s="293"/>
      <c r="D429" s="236"/>
      <c r="E429" s="236" t="s">
        <v>250</v>
      </c>
      <c r="F429" s="236"/>
      <c r="G429" s="236" t="s">
        <v>54</v>
      </c>
      <c r="H429" s="361" t="s">
        <v>104</v>
      </c>
      <c r="I429" s="312" t="s">
        <v>104</v>
      </c>
      <c r="J429" s="320">
        <v>40879</v>
      </c>
      <c r="K429" s="288" t="s">
        <v>53</v>
      </c>
      <c r="L429" s="312">
        <v>135</v>
      </c>
      <c r="M429" s="378">
        <v>838</v>
      </c>
      <c r="N429" s="379">
        <v>131</v>
      </c>
      <c r="O429" s="334">
        <f>1709882.25+1194489.75+708906.5+376327+70+197271.5+73341.5+70692.5+50480.5+9953.5+3058+838</f>
        <v>4395311</v>
      </c>
      <c r="P429" s="338">
        <f>195314+135261+80447+45395+10+25625+10302+10950+7727+1402+435+131</f>
        <v>512999</v>
      </c>
      <c r="Q429" s="297">
        <v>40949</v>
      </c>
    </row>
    <row r="430" spans="1:17" ht="12" customHeight="1">
      <c r="A430" s="520">
        <v>427</v>
      </c>
      <c r="B430" s="293"/>
      <c r="C430" s="293"/>
      <c r="D430" s="236"/>
      <c r="E430" s="236" t="s">
        <v>250</v>
      </c>
      <c r="F430" s="236"/>
      <c r="G430" s="236" t="s">
        <v>54</v>
      </c>
      <c r="H430" s="361" t="s">
        <v>104</v>
      </c>
      <c r="I430" s="312"/>
      <c r="J430" s="370">
        <v>40879</v>
      </c>
      <c r="K430" s="288" t="s">
        <v>53</v>
      </c>
      <c r="L430" s="312">
        <v>135</v>
      </c>
      <c r="M430" s="378">
        <v>315</v>
      </c>
      <c r="N430" s="379">
        <v>63</v>
      </c>
      <c r="O430" s="334">
        <f>1709882.25+1194489.75+708906.5+376327+70+197271.5+73341.5+70692.5+50480.5+9953.5+3058+838+28+63+74+2402+315</f>
        <v>4398193</v>
      </c>
      <c r="P430" s="338">
        <f>195314+135261+80447+45395+10+25625+10302+10950+7727+1402+435+131+4+9+10+480+63</f>
        <v>513565</v>
      </c>
      <c r="Q430" s="297">
        <v>41026</v>
      </c>
    </row>
    <row r="431" spans="1:17" ht="12" customHeight="1">
      <c r="A431" s="520">
        <v>428</v>
      </c>
      <c r="B431" s="293"/>
      <c r="C431" s="293"/>
      <c r="D431" s="236"/>
      <c r="E431" s="236" t="s">
        <v>250</v>
      </c>
      <c r="F431" s="236"/>
      <c r="G431" s="236" t="s">
        <v>54</v>
      </c>
      <c r="H431" s="361" t="s">
        <v>104</v>
      </c>
      <c r="I431" s="312" t="s">
        <v>104</v>
      </c>
      <c r="J431" s="320">
        <v>40879</v>
      </c>
      <c r="K431" s="288" t="s">
        <v>53</v>
      </c>
      <c r="L431" s="346">
        <v>135</v>
      </c>
      <c r="M431" s="378">
        <v>200</v>
      </c>
      <c r="N431" s="379">
        <v>40</v>
      </c>
      <c r="O431" s="334">
        <f>1709882.25+1194489.75+708906.5+376327+70+197271.5+73341.5+70692.5+50480.5+9953.5+3058+838+28+63+74+2402+315+200</f>
        <v>4398393</v>
      </c>
      <c r="P431" s="338">
        <f>195314+135261+80447+45395+10+25625+10302+10950+7727+1402+435+131+4+9+10+480+63+40</f>
        <v>513605</v>
      </c>
      <c r="Q431" s="297">
        <v>41033</v>
      </c>
    </row>
    <row r="432" spans="1:17" ht="12" customHeight="1">
      <c r="A432" s="520">
        <v>429</v>
      </c>
      <c r="B432" s="293"/>
      <c r="C432" s="293"/>
      <c r="D432" s="236"/>
      <c r="E432" s="236" t="s">
        <v>250</v>
      </c>
      <c r="F432" s="236"/>
      <c r="G432" s="236" t="s">
        <v>54</v>
      </c>
      <c r="H432" s="361" t="s">
        <v>104</v>
      </c>
      <c r="I432" s="312" t="s">
        <v>104</v>
      </c>
      <c r="J432" s="320">
        <v>40879</v>
      </c>
      <c r="K432" s="288" t="s">
        <v>53</v>
      </c>
      <c r="L432" s="312">
        <v>135</v>
      </c>
      <c r="M432" s="378">
        <v>74</v>
      </c>
      <c r="N432" s="379">
        <v>10</v>
      </c>
      <c r="O432" s="334">
        <f>1709882.25+1194489.75+708906.5+376327+70+197271.5+73341.5+70692.5+50480.5+9953.5+3058+838+28+63+74</f>
        <v>4395476</v>
      </c>
      <c r="P432" s="338">
        <f>195314+135261+80447+45395+10+25625+10302+10950+7727+1402+435+131+4+9+10</f>
        <v>513022</v>
      </c>
      <c r="Q432" s="297">
        <v>40970</v>
      </c>
    </row>
    <row r="433" spans="1:17" ht="12" customHeight="1">
      <c r="A433" s="520">
        <v>430</v>
      </c>
      <c r="B433" s="293"/>
      <c r="C433" s="293"/>
      <c r="D433" s="236"/>
      <c r="E433" s="236" t="s">
        <v>250</v>
      </c>
      <c r="F433" s="236"/>
      <c r="G433" s="236" t="s">
        <v>54</v>
      </c>
      <c r="H433" s="361" t="s">
        <v>104</v>
      </c>
      <c r="I433" s="312" t="s">
        <v>104</v>
      </c>
      <c r="J433" s="320">
        <v>40879</v>
      </c>
      <c r="K433" s="288" t="s">
        <v>53</v>
      </c>
      <c r="L433" s="312">
        <v>135</v>
      </c>
      <c r="M433" s="382">
        <v>63</v>
      </c>
      <c r="N433" s="383">
        <v>9</v>
      </c>
      <c r="O433" s="328">
        <f>1709882.25+1194489.75+708906.5+376327+70+197271.5+73341.5+70692.5+50480.5+9953.5+3058+838+28+63</f>
        <v>4395402</v>
      </c>
      <c r="P433" s="344">
        <f>195314+135261+80447+45395+10+25625+10302+10950+7727+1402+435+131+4+9</f>
        <v>513012</v>
      </c>
      <c r="Q433" s="297">
        <v>40963</v>
      </c>
    </row>
    <row r="434" spans="1:17" ht="12" customHeight="1">
      <c r="A434" s="520">
        <v>431</v>
      </c>
      <c r="B434" s="293"/>
      <c r="C434" s="293"/>
      <c r="D434" s="236"/>
      <c r="E434" s="236" t="s">
        <v>250</v>
      </c>
      <c r="F434" s="236"/>
      <c r="G434" s="236" t="s">
        <v>54</v>
      </c>
      <c r="H434" s="361" t="s">
        <v>104</v>
      </c>
      <c r="I434" s="312" t="s">
        <v>104</v>
      </c>
      <c r="J434" s="320">
        <v>40879</v>
      </c>
      <c r="K434" s="288" t="s">
        <v>53</v>
      </c>
      <c r="L434" s="312">
        <v>135</v>
      </c>
      <c r="M434" s="378">
        <v>28</v>
      </c>
      <c r="N434" s="379">
        <v>4</v>
      </c>
      <c r="O434" s="334">
        <f>1709882.25+1194489.75+708906.5+376327+70+197271.5+73341.5+70692.5+50480.5+9953.5+3058+838+28</f>
        <v>4395339</v>
      </c>
      <c r="P434" s="338">
        <f>195314+135261+80447+45395+10+25625+10302+10950+7727+1402+435+131+4</f>
        <v>513003</v>
      </c>
      <c r="Q434" s="297">
        <v>40956</v>
      </c>
    </row>
    <row r="435" spans="1:17" ht="12" customHeight="1">
      <c r="A435" s="520">
        <v>432</v>
      </c>
      <c r="B435" s="236"/>
      <c r="C435" s="236"/>
      <c r="D435" s="236"/>
      <c r="E435" s="236"/>
      <c r="F435" s="236"/>
      <c r="G435" s="236" t="s">
        <v>54</v>
      </c>
      <c r="H435" s="461" t="s">
        <v>137</v>
      </c>
      <c r="I435" s="288" t="s">
        <v>137</v>
      </c>
      <c r="J435" s="320">
        <v>40900</v>
      </c>
      <c r="K435" s="288" t="s">
        <v>52</v>
      </c>
      <c r="L435" s="331">
        <v>14</v>
      </c>
      <c r="M435" s="474">
        <v>19458.5</v>
      </c>
      <c r="N435" s="475">
        <v>1850</v>
      </c>
      <c r="O435" s="330">
        <f>43848.5+19458.5</f>
        <v>63307</v>
      </c>
      <c r="P435" s="338">
        <f>3764+1850</f>
        <v>5614</v>
      </c>
      <c r="Q435" s="297">
        <v>40907</v>
      </c>
    </row>
    <row r="436" spans="1:17" ht="12" customHeight="1">
      <c r="A436" s="520">
        <v>433</v>
      </c>
      <c r="B436" s="236"/>
      <c r="C436" s="236"/>
      <c r="D436" s="236"/>
      <c r="E436" s="236"/>
      <c r="F436" s="236"/>
      <c r="G436" s="236" t="s">
        <v>54</v>
      </c>
      <c r="H436" s="461" t="s">
        <v>137</v>
      </c>
      <c r="I436" s="288" t="s">
        <v>137</v>
      </c>
      <c r="J436" s="320">
        <v>40900</v>
      </c>
      <c r="K436" s="288" t="s">
        <v>52</v>
      </c>
      <c r="L436" s="331">
        <v>14</v>
      </c>
      <c r="M436" s="474">
        <v>5447</v>
      </c>
      <c r="N436" s="475">
        <v>752</v>
      </c>
      <c r="O436" s="330">
        <f>43848.5+19458.5+4777+1091+5447</f>
        <v>74622</v>
      </c>
      <c r="P436" s="338">
        <f>3764+1850+439+142+752</f>
        <v>6947</v>
      </c>
      <c r="Q436" s="297">
        <v>40928</v>
      </c>
    </row>
    <row r="437" spans="1:17" ht="12" customHeight="1">
      <c r="A437" s="520">
        <v>434</v>
      </c>
      <c r="B437" s="236"/>
      <c r="C437" s="236"/>
      <c r="D437" s="236"/>
      <c r="E437" s="236"/>
      <c r="F437" s="236"/>
      <c r="G437" s="236" t="s">
        <v>54</v>
      </c>
      <c r="H437" s="461" t="s">
        <v>137</v>
      </c>
      <c r="I437" s="288" t="s">
        <v>137</v>
      </c>
      <c r="J437" s="320">
        <v>40900</v>
      </c>
      <c r="K437" s="288" t="s">
        <v>52</v>
      </c>
      <c r="L437" s="331">
        <v>14</v>
      </c>
      <c r="M437" s="474">
        <v>4777</v>
      </c>
      <c r="N437" s="475">
        <v>439</v>
      </c>
      <c r="O437" s="330">
        <f>43848.5+19458.5+4777</f>
        <v>68084</v>
      </c>
      <c r="P437" s="338">
        <f>3764+1850+439</f>
        <v>6053</v>
      </c>
      <c r="Q437" s="297">
        <v>40914</v>
      </c>
    </row>
    <row r="438" spans="1:17" ht="12" customHeight="1">
      <c r="A438" s="520">
        <v>435</v>
      </c>
      <c r="B438" s="236"/>
      <c r="C438" s="236"/>
      <c r="D438" s="236"/>
      <c r="E438" s="236"/>
      <c r="F438" s="236"/>
      <c r="G438" s="236" t="s">
        <v>54</v>
      </c>
      <c r="H438" s="461" t="s">
        <v>137</v>
      </c>
      <c r="I438" s="288" t="s">
        <v>137</v>
      </c>
      <c r="J438" s="320">
        <v>40900</v>
      </c>
      <c r="K438" s="288" t="s">
        <v>52</v>
      </c>
      <c r="L438" s="331">
        <v>14</v>
      </c>
      <c r="M438" s="378">
        <v>2629</v>
      </c>
      <c r="N438" s="379">
        <v>413</v>
      </c>
      <c r="O438" s="334">
        <v>77251</v>
      </c>
      <c r="P438" s="442">
        <v>7360</v>
      </c>
      <c r="Q438" s="297">
        <v>40935</v>
      </c>
    </row>
    <row r="439" spans="1:17" ht="12" customHeight="1">
      <c r="A439" s="520">
        <v>436</v>
      </c>
      <c r="B439" s="236"/>
      <c r="C439" s="236"/>
      <c r="D439" s="236"/>
      <c r="E439" s="236"/>
      <c r="F439" s="236"/>
      <c r="G439" s="236" t="s">
        <v>54</v>
      </c>
      <c r="H439" s="363" t="s">
        <v>137</v>
      </c>
      <c r="I439" s="288"/>
      <c r="J439" s="370">
        <v>40900</v>
      </c>
      <c r="K439" s="288" t="s">
        <v>52</v>
      </c>
      <c r="L439" s="331">
        <v>14</v>
      </c>
      <c r="M439" s="378">
        <v>2376</v>
      </c>
      <c r="N439" s="379">
        <v>475</v>
      </c>
      <c r="O439" s="334">
        <v>80732</v>
      </c>
      <c r="P439" s="338">
        <v>7994</v>
      </c>
      <c r="Q439" s="297">
        <v>41026</v>
      </c>
    </row>
    <row r="440" spans="1:17" ht="12" customHeight="1">
      <c r="A440" s="520">
        <v>437</v>
      </c>
      <c r="B440" s="236"/>
      <c r="C440" s="236"/>
      <c r="D440" s="236"/>
      <c r="E440" s="236"/>
      <c r="F440" s="236"/>
      <c r="G440" s="236" t="s">
        <v>54</v>
      </c>
      <c r="H440" s="363" t="s">
        <v>137</v>
      </c>
      <c r="I440" s="288" t="s">
        <v>137</v>
      </c>
      <c r="J440" s="320">
        <v>40900</v>
      </c>
      <c r="K440" s="288" t="s">
        <v>52</v>
      </c>
      <c r="L440" s="331">
        <v>14</v>
      </c>
      <c r="M440" s="378">
        <v>1105</v>
      </c>
      <c r="N440" s="379">
        <v>159</v>
      </c>
      <c r="O440" s="334">
        <f>43848.5+19458.5+4777+1091+5447+2629+1105</f>
        <v>78356</v>
      </c>
      <c r="P440" s="338">
        <f>3764+1850+439+142+752+413+159</f>
        <v>7519</v>
      </c>
      <c r="Q440" s="297">
        <v>40949</v>
      </c>
    </row>
    <row r="441" spans="1:17" ht="12" customHeight="1">
      <c r="A441" s="520">
        <v>438</v>
      </c>
      <c r="B441" s="236"/>
      <c r="C441" s="236"/>
      <c r="D441" s="236"/>
      <c r="E441" s="236"/>
      <c r="F441" s="236"/>
      <c r="G441" s="236" t="s">
        <v>54</v>
      </c>
      <c r="H441" s="461" t="s">
        <v>137</v>
      </c>
      <c r="I441" s="288" t="s">
        <v>137</v>
      </c>
      <c r="J441" s="320">
        <v>40900</v>
      </c>
      <c r="K441" s="288" t="s">
        <v>52</v>
      </c>
      <c r="L441" s="331">
        <v>14</v>
      </c>
      <c r="M441" s="476">
        <v>1091</v>
      </c>
      <c r="N441" s="477">
        <v>142</v>
      </c>
      <c r="O441" s="453">
        <f>43848.5+19458.5+4777+1091</f>
        <v>69175</v>
      </c>
      <c r="P441" s="338">
        <f>3764+1850+439+142</f>
        <v>6195</v>
      </c>
      <c r="Q441" s="297">
        <v>40921</v>
      </c>
    </row>
    <row r="442" spans="1:17" ht="12" customHeight="1">
      <c r="A442" s="520">
        <v>439</v>
      </c>
      <c r="B442" s="236"/>
      <c r="C442" s="236"/>
      <c r="D442" s="236"/>
      <c r="E442" s="236"/>
      <c r="F442" s="236"/>
      <c r="G442" s="236" t="s">
        <v>54</v>
      </c>
      <c r="H442" s="364" t="s">
        <v>644</v>
      </c>
      <c r="I442" s="340" t="s">
        <v>645</v>
      </c>
      <c r="J442" s="320">
        <v>40480</v>
      </c>
      <c r="K442" s="288" t="s">
        <v>53</v>
      </c>
      <c r="L442" s="346">
        <v>135</v>
      </c>
      <c r="M442" s="378">
        <v>1922</v>
      </c>
      <c r="N442" s="379">
        <v>384</v>
      </c>
      <c r="O442" s="334">
        <f>151771.5+44278.5+20156+4831.5+5960.5+2697+3743.5+81+2518+2320+604+265+1922</f>
        <v>241148.5</v>
      </c>
      <c r="P442" s="338">
        <f>19003+7410+3277+795+995+475+746+11+433+386+91+52+384</f>
        <v>34058</v>
      </c>
      <c r="Q442" s="297">
        <v>40991</v>
      </c>
    </row>
    <row r="443" spans="1:17" ht="12" customHeight="1">
      <c r="A443" s="520">
        <v>440</v>
      </c>
      <c r="B443" s="236"/>
      <c r="C443" s="236"/>
      <c r="D443" s="236"/>
      <c r="E443" s="236"/>
      <c r="F443" s="236"/>
      <c r="G443" s="236"/>
      <c r="H443" s="366" t="s">
        <v>527</v>
      </c>
      <c r="I443" s="339" t="s">
        <v>533</v>
      </c>
      <c r="J443" s="320">
        <v>40662</v>
      </c>
      <c r="K443" s="288" t="s">
        <v>68</v>
      </c>
      <c r="L443" s="312">
        <v>19</v>
      </c>
      <c r="M443" s="382">
        <v>3801.5</v>
      </c>
      <c r="N443" s="383">
        <v>760</v>
      </c>
      <c r="O443" s="328">
        <f>101742.25+50164.5+51750+9401+13450.5+18562.5+28682+16047.5+15912+8384+5213+12043+3980+9461+6303.5+6271+2673+6139.5+1849.5+1109+1307+722+1188+3801.5</f>
        <v>376157.25</v>
      </c>
      <c r="P443" s="344">
        <f>8064+3844+5093+985+1765+2797+3793+2133+2232+1161+795+1735+578+1201+748+718+399+835+292+171+327+184+297+760</f>
        <v>40907</v>
      </c>
      <c r="Q443" s="297">
        <v>40949</v>
      </c>
    </row>
    <row r="444" spans="1:17" ht="12" customHeight="1">
      <c r="A444" s="520">
        <v>441</v>
      </c>
      <c r="B444" s="236"/>
      <c r="C444" s="236"/>
      <c r="D444" s="236"/>
      <c r="E444" s="236"/>
      <c r="F444" s="236"/>
      <c r="G444" s="236"/>
      <c r="H444" s="366" t="s">
        <v>527</v>
      </c>
      <c r="I444" s="339" t="s">
        <v>533</v>
      </c>
      <c r="J444" s="320">
        <v>40662</v>
      </c>
      <c r="K444" s="288" t="s">
        <v>68</v>
      </c>
      <c r="L444" s="312">
        <v>19</v>
      </c>
      <c r="M444" s="382">
        <v>560</v>
      </c>
      <c r="N444" s="383">
        <v>248</v>
      </c>
      <c r="O444" s="328">
        <f>101742.25+50164.5+51750+9401+13450.5+18562.5+28682+16047.5+15912+8384+5213+12043+3980+9461+6303.5+6271+2673+6139.5+1849.5+1109+1307+722+1188+3801.5+560</f>
        <v>376717.25</v>
      </c>
      <c r="P444" s="344">
        <f>8064+3844+5093+985+1765+2797+3793+2133+2232+1161+795+1735+578+1201+748+718+399+835+292+171+327+184+297+760+248</f>
        <v>41155</v>
      </c>
      <c r="Q444" s="297">
        <v>40956</v>
      </c>
    </row>
    <row r="445" spans="1:17" ht="12" customHeight="1">
      <c r="A445" s="520">
        <v>442</v>
      </c>
      <c r="B445" s="236"/>
      <c r="C445" s="236"/>
      <c r="D445" s="236"/>
      <c r="E445" s="236"/>
      <c r="F445" s="236"/>
      <c r="G445" s="236"/>
      <c r="H445" s="461" t="s">
        <v>184</v>
      </c>
      <c r="I445" s="340" t="s">
        <v>185</v>
      </c>
      <c r="J445" s="320">
        <v>40907</v>
      </c>
      <c r="K445" s="288" t="s">
        <v>10</v>
      </c>
      <c r="L445" s="331">
        <v>64</v>
      </c>
      <c r="M445" s="382">
        <v>361708</v>
      </c>
      <c r="N445" s="383">
        <v>32009</v>
      </c>
      <c r="O445" s="328">
        <v>361708</v>
      </c>
      <c r="P445" s="344">
        <v>32009</v>
      </c>
      <c r="Q445" s="297">
        <v>40907</v>
      </c>
    </row>
    <row r="446" spans="1:17" ht="12" customHeight="1">
      <c r="A446" s="520">
        <v>443</v>
      </c>
      <c r="B446" s="236"/>
      <c r="C446" s="236"/>
      <c r="D446" s="236"/>
      <c r="E446" s="236"/>
      <c r="F446" s="236"/>
      <c r="G446" s="236"/>
      <c r="H446" s="461" t="s">
        <v>184</v>
      </c>
      <c r="I446" s="340" t="s">
        <v>185</v>
      </c>
      <c r="J446" s="320">
        <v>40907</v>
      </c>
      <c r="K446" s="288" t="s">
        <v>10</v>
      </c>
      <c r="L446" s="331">
        <v>64</v>
      </c>
      <c r="M446" s="382">
        <f>235686+726</f>
        <v>236412</v>
      </c>
      <c r="N446" s="383">
        <f>20261+65</f>
        <v>20326</v>
      </c>
      <c r="O446" s="328">
        <f>361708+235686+726</f>
        <v>598120</v>
      </c>
      <c r="P446" s="344">
        <f>32009+20261+65</f>
        <v>52335</v>
      </c>
      <c r="Q446" s="297">
        <v>40914</v>
      </c>
    </row>
    <row r="447" spans="1:17" ht="12" customHeight="1">
      <c r="A447" s="520">
        <v>444</v>
      </c>
      <c r="B447" s="236"/>
      <c r="C447" s="236"/>
      <c r="D447" s="236"/>
      <c r="E447" s="236"/>
      <c r="F447" s="236"/>
      <c r="G447" s="236"/>
      <c r="H447" s="461" t="s">
        <v>184</v>
      </c>
      <c r="I447" s="340" t="s">
        <v>185</v>
      </c>
      <c r="J447" s="320">
        <v>40907</v>
      </c>
      <c r="K447" s="288" t="s">
        <v>10</v>
      </c>
      <c r="L447" s="331">
        <v>64</v>
      </c>
      <c r="M447" s="382">
        <v>63689</v>
      </c>
      <c r="N447" s="383">
        <v>5622</v>
      </c>
      <c r="O447" s="328">
        <v>661809</v>
      </c>
      <c r="P447" s="344">
        <v>57957</v>
      </c>
      <c r="Q447" s="297">
        <v>40921</v>
      </c>
    </row>
    <row r="448" spans="1:17" ht="12" customHeight="1">
      <c r="A448" s="520">
        <v>445</v>
      </c>
      <c r="B448" s="236" t="s">
        <v>193</v>
      </c>
      <c r="C448" s="236">
        <v>3</v>
      </c>
      <c r="D448" s="236"/>
      <c r="E448" s="236" t="s">
        <v>250</v>
      </c>
      <c r="F448" s="236"/>
      <c r="G448" s="236"/>
      <c r="H448" s="366" t="s">
        <v>505</v>
      </c>
      <c r="I448" s="339" t="s">
        <v>506</v>
      </c>
      <c r="J448" s="320">
        <v>39955</v>
      </c>
      <c r="K448" s="288" t="s">
        <v>68</v>
      </c>
      <c r="L448" s="312">
        <v>88</v>
      </c>
      <c r="M448" s="382">
        <v>3565</v>
      </c>
      <c r="N448" s="383">
        <v>713</v>
      </c>
      <c r="O448" s="328">
        <f>253985.25+197941+176827+129137.25+73306.5+36496.5+20735+12653+3137+3974+3108+6704.75+3312+1885+643+108556.75+31027+8660.5+1196.5+2137+5262+2140+4040+1780+1188+1780+43620+1424+1780+3565</f>
        <v>1142002</v>
      </c>
      <c r="P448" s="344">
        <f>26929+21325+23241+17550+10624+6388+4049+2644+577+882+663+1354+764+460+116+14641+4967+986+117+181+1185+535+1010+445+297+445+10905+356+356+713</f>
        <v>154705</v>
      </c>
      <c r="Q448" s="297">
        <v>40949</v>
      </c>
    </row>
    <row r="449" spans="1:17" ht="12" customHeight="1">
      <c r="A449" s="520">
        <v>446</v>
      </c>
      <c r="B449" s="236" t="s">
        <v>193</v>
      </c>
      <c r="C449" s="236"/>
      <c r="D449" s="293"/>
      <c r="E449" s="236"/>
      <c r="F449" s="236" t="s">
        <v>55</v>
      </c>
      <c r="G449" s="236"/>
      <c r="H449" s="459" t="s">
        <v>391</v>
      </c>
      <c r="I449" s="339" t="s">
        <v>397</v>
      </c>
      <c r="J449" s="320">
        <v>39864</v>
      </c>
      <c r="K449" s="288" t="s">
        <v>68</v>
      </c>
      <c r="L449" s="312">
        <v>55</v>
      </c>
      <c r="M449" s="382">
        <v>2852</v>
      </c>
      <c r="N449" s="383">
        <v>713</v>
      </c>
      <c r="O449" s="328">
        <f>190777.5+154065+60826.5+20820+23589+29712+19396.5+16102+12940+11034+3005+981+1140+40+98.25+284+1000+300+220+1211.5+155+156+63+1780+5228+1780+450+952+145+640+2445+2376+2376+2376+4752+2376+2852</f>
        <v>578444.25</v>
      </c>
      <c r="P449" s="344">
        <f>20518+17650+7809+3283+4115+5826+3911+3770+2981+2505+653+199+194+8+18+60+100+75+44+292+22+22+19+445+1307+445+75+238+29+128+383+594+594+594+1188+594+713</f>
        <v>81401</v>
      </c>
      <c r="Q449" s="297">
        <v>40928</v>
      </c>
    </row>
    <row r="450" spans="1:17" ht="12" customHeight="1">
      <c r="A450" s="520">
        <v>447</v>
      </c>
      <c r="B450" s="236" t="s">
        <v>193</v>
      </c>
      <c r="C450" s="236"/>
      <c r="D450" s="293"/>
      <c r="E450" s="236"/>
      <c r="F450" s="236" t="s">
        <v>55</v>
      </c>
      <c r="G450" s="236"/>
      <c r="H450" s="366" t="s">
        <v>391</v>
      </c>
      <c r="I450" s="339" t="s">
        <v>397</v>
      </c>
      <c r="J450" s="320">
        <v>39864</v>
      </c>
      <c r="K450" s="288" t="s">
        <v>68</v>
      </c>
      <c r="L450" s="312">
        <v>55</v>
      </c>
      <c r="M450" s="382">
        <v>2850</v>
      </c>
      <c r="N450" s="383">
        <v>570</v>
      </c>
      <c r="O450" s="328">
        <f>190777.5+154065+60826.5+20820+23589+29712+19396.5+16102+12940+11034+3005+981+1140+40+98.25+284+1000+300+220+1211.5+155+156+63+1780+5228+1780+450+952+145+640+2445+2376+2376+2376+4752+2376+2852+1780+950+2375+2850</f>
        <v>586399.25</v>
      </c>
      <c r="P450" s="344">
        <f>20518+17650+7809+3283+4115+5826+3911+3770+2981+2505+653+199+194+8+18+60+100+75+44+292+22+22+19+445+1307+445+75+238+29+128+383+594+594+594+1188+594+713+356+190+475+570</f>
        <v>82992</v>
      </c>
      <c r="Q450" s="297">
        <v>41033</v>
      </c>
    </row>
    <row r="451" spans="1:17" ht="12" customHeight="1">
      <c r="A451" s="520">
        <v>448</v>
      </c>
      <c r="B451" s="236" t="s">
        <v>193</v>
      </c>
      <c r="C451" s="236"/>
      <c r="D451" s="293"/>
      <c r="E451" s="236"/>
      <c r="F451" s="236" t="s">
        <v>55</v>
      </c>
      <c r="G451" s="236"/>
      <c r="H451" s="366" t="s">
        <v>391</v>
      </c>
      <c r="I451" s="339" t="s">
        <v>397</v>
      </c>
      <c r="J451" s="320">
        <v>39864</v>
      </c>
      <c r="K451" s="288" t="s">
        <v>68</v>
      </c>
      <c r="L451" s="312">
        <v>55</v>
      </c>
      <c r="M451" s="382">
        <v>2375</v>
      </c>
      <c r="N451" s="383">
        <v>475</v>
      </c>
      <c r="O451" s="328">
        <f>190777.5+154065+60826.5+20820+23589+29712+19396.5+16102+12940+11034+3005+981+1140+40+98.25+284+1000+300+220+1211.5+155+156+63+1780+5228+1780+450+952+145+640+2445+2376+2376+2376+4752+2376+2852+1780+950+2375</f>
        <v>583549.25</v>
      </c>
      <c r="P451" s="344">
        <f>20518+17650+7809+3283+4115+5826+3911+3770+2981+2505+653+199+194+8+18+60+100+75+44+292+22+22+19+445+1307+445+75+238+29+128+383+594+594+594+1188+594+713+356+190+475</f>
        <v>82422</v>
      </c>
      <c r="Q451" s="297">
        <v>41019</v>
      </c>
    </row>
    <row r="452" spans="1:17" ht="12" customHeight="1">
      <c r="A452" s="520">
        <v>449</v>
      </c>
      <c r="B452" s="236" t="s">
        <v>193</v>
      </c>
      <c r="C452" s="236"/>
      <c r="D452" s="293"/>
      <c r="E452" s="236"/>
      <c r="F452" s="236" t="s">
        <v>55</v>
      </c>
      <c r="G452" s="236"/>
      <c r="H452" s="366" t="s">
        <v>391</v>
      </c>
      <c r="I452" s="339" t="s">
        <v>397</v>
      </c>
      <c r="J452" s="320">
        <v>39864</v>
      </c>
      <c r="K452" s="288" t="s">
        <v>68</v>
      </c>
      <c r="L452" s="312">
        <v>55</v>
      </c>
      <c r="M452" s="382">
        <v>1780</v>
      </c>
      <c r="N452" s="383">
        <v>356</v>
      </c>
      <c r="O452" s="328">
        <f>190777.5+154065+60826.5+20820+23589+29712+19396.5+16102+12940+11034+3005+981+1140+40+98.25+284+1000+300+220+1211.5+155+156+63+1780+5228+1780+450+952+145+640+2445+2376+2376+2376+4752+2376+2852+1780</f>
        <v>580224.25</v>
      </c>
      <c r="P452" s="344">
        <f>20518+17650+7809+3283+4115+5826+3911+3770+2981+2505+653+199+194+8+18+60+100+75+44+292+22+22+19+445+1307+445+75+238+29+128+383+594+594+594+1188+594+713+356</f>
        <v>81757</v>
      </c>
      <c r="Q452" s="297">
        <v>40949</v>
      </c>
    </row>
    <row r="453" spans="1:17" ht="12" customHeight="1">
      <c r="A453" s="520">
        <v>450</v>
      </c>
      <c r="B453" s="236" t="s">
        <v>193</v>
      </c>
      <c r="C453" s="236"/>
      <c r="D453" s="293"/>
      <c r="E453" s="236"/>
      <c r="F453" s="236" t="s">
        <v>55</v>
      </c>
      <c r="G453" s="236"/>
      <c r="H453" s="366" t="s">
        <v>391</v>
      </c>
      <c r="I453" s="339" t="s">
        <v>397</v>
      </c>
      <c r="J453" s="320">
        <v>39864</v>
      </c>
      <c r="K453" s="288" t="s">
        <v>68</v>
      </c>
      <c r="L453" s="312">
        <v>55</v>
      </c>
      <c r="M453" s="382">
        <v>950</v>
      </c>
      <c r="N453" s="383">
        <v>190</v>
      </c>
      <c r="O453" s="328">
        <f>190777.5+154065+60826.5+20820+23589+29712+19396.5+16102+12940+11034+3005+981+1140+40+98.25+284+1000+300+220+1211.5+155+156+63+1780+5228+1780+450+952+145+640+2445+2376+2376+2376+4752+2376+2852+1780+950</f>
        <v>581174.25</v>
      </c>
      <c r="P453" s="344">
        <f>20518+17650+7809+3283+4115+5826+3911+3770+2981+2505+653+199+194+8+18+60+100+75+44+292+22+22+19+445+1307+445+75+238+29+128+383+594+594+594+1188+594+713+356+190</f>
        <v>81947</v>
      </c>
      <c r="Q453" s="297">
        <v>40970</v>
      </c>
    </row>
    <row r="454" spans="1:17" ht="12" customHeight="1">
      <c r="A454" s="520">
        <v>451</v>
      </c>
      <c r="B454" s="236"/>
      <c r="C454" s="236"/>
      <c r="D454" s="236"/>
      <c r="E454" s="236"/>
      <c r="F454" s="236"/>
      <c r="G454" s="236" t="s">
        <v>54</v>
      </c>
      <c r="H454" s="366" t="s">
        <v>696</v>
      </c>
      <c r="I454" s="339" t="s">
        <v>696</v>
      </c>
      <c r="J454" s="320">
        <v>40830</v>
      </c>
      <c r="K454" s="288" t="s">
        <v>68</v>
      </c>
      <c r="L454" s="313">
        <v>20</v>
      </c>
      <c r="M454" s="382">
        <v>976</v>
      </c>
      <c r="N454" s="383">
        <v>144</v>
      </c>
      <c r="O454" s="328">
        <f>26768+13515+1530.5+2017+657+1806.5+358+1117+976</f>
        <v>48745</v>
      </c>
      <c r="P454" s="344">
        <f>3002+1672+228+433+100+551+82+193+144</f>
        <v>6405</v>
      </c>
      <c r="Q454" s="297">
        <v>41005</v>
      </c>
    </row>
    <row r="455" spans="1:17" ht="12" customHeight="1">
      <c r="A455" s="520">
        <v>452</v>
      </c>
      <c r="B455" s="236"/>
      <c r="C455" s="236"/>
      <c r="D455" s="236"/>
      <c r="E455" s="236"/>
      <c r="F455" s="236"/>
      <c r="G455" s="236" t="s">
        <v>54</v>
      </c>
      <c r="H455" s="366" t="s">
        <v>696</v>
      </c>
      <c r="I455" s="339" t="s">
        <v>696</v>
      </c>
      <c r="J455" s="370">
        <v>40830</v>
      </c>
      <c r="K455" s="288" t="s">
        <v>68</v>
      </c>
      <c r="L455" s="313">
        <v>20</v>
      </c>
      <c r="M455" s="468">
        <v>118</v>
      </c>
      <c r="N455" s="469">
        <v>12</v>
      </c>
      <c r="O455" s="317">
        <f>26768+13515+1530.5+2017+657+1806.5+358+1117+976+118</f>
        <v>48863</v>
      </c>
      <c r="P455" s="368">
        <f>3002+1672+228+433+100+551+82+193+144+12</f>
        <v>6417</v>
      </c>
      <c r="Q455" s="297">
        <v>41012</v>
      </c>
    </row>
    <row r="456" spans="1:17" ht="12" customHeight="1">
      <c r="A456" s="520">
        <v>453</v>
      </c>
      <c r="B456" s="236"/>
      <c r="C456" s="236"/>
      <c r="D456" s="236"/>
      <c r="E456" s="236"/>
      <c r="F456" s="236"/>
      <c r="G456" s="236"/>
      <c r="H456" s="366" t="s">
        <v>623</v>
      </c>
      <c r="I456" s="339" t="s">
        <v>624</v>
      </c>
      <c r="J456" s="297">
        <v>38275</v>
      </c>
      <c r="K456" s="288" t="s">
        <v>622</v>
      </c>
      <c r="L456" s="440">
        <v>13</v>
      </c>
      <c r="M456" s="470">
        <v>2158</v>
      </c>
      <c r="N456" s="471">
        <v>361</v>
      </c>
      <c r="O456" s="448">
        <v>91359.5</v>
      </c>
      <c r="P456" s="449">
        <v>14616</v>
      </c>
      <c r="Q456" s="297">
        <v>40984</v>
      </c>
    </row>
    <row r="457" spans="1:17" ht="12" customHeight="1">
      <c r="A457" s="520">
        <v>454</v>
      </c>
      <c r="B457" s="293"/>
      <c r="C457" s="293"/>
      <c r="D457" s="236"/>
      <c r="E457" s="293"/>
      <c r="F457" s="236"/>
      <c r="G457" s="236"/>
      <c r="H457" s="462" t="s">
        <v>249</v>
      </c>
      <c r="I457" s="340" t="s">
        <v>253</v>
      </c>
      <c r="J457" s="320">
        <v>40830</v>
      </c>
      <c r="K457" s="288" t="s">
        <v>10</v>
      </c>
      <c r="L457" s="331">
        <v>62</v>
      </c>
      <c r="M457" s="382">
        <v>1610</v>
      </c>
      <c r="N457" s="383">
        <v>249</v>
      </c>
      <c r="O457" s="328">
        <f>1594092+1610</f>
        <v>1595702</v>
      </c>
      <c r="P457" s="344">
        <f>149626+249</f>
        <v>149875</v>
      </c>
      <c r="Q457" s="297">
        <v>40914</v>
      </c>
    </row>
    <row r="458" spans="1:17" ht="12" customHeight="1">
      <c r="A458" s="520">
        <v>455</v>
      </c>
      <c r="B458" s="293"/>
      <c r="C458" s="293"/>
      <c r="D458" s="236"/>
      <c r="E458" s="293"/>
      <c r="F458" s="236"/>
      <c r="G458" s="236"/>
      <c r="H458" s="462" t="s">
        <v>249</v>
      </c>
      <c r="I458" s="340" t="s">
        <v>253</v>
      </c>
      <c r="J458" s="320">
        <v>40830</v>
      </c>
      <c r="K458" s="288" t="s">
        <v>10</v>
      </c>
      <c r="L458" s="331">
        <v>62</v>
      </c>
      <c r="M458" s="382">
        <v>1190</v>
      </c>
      <c r="N458" s="383">
        <v>170</v>
      </c>
      <c r="O458" s="328">
        <v>1594092</v>
      </c>
      <c r="P458" s="344">
        <v>149626</v>
      </c>
      <c r="Q458" s="297">
        <v>40907</v>
      </c>
    </row>
    <row r="459" spans="1:17" ht="12" customHeight="1">
      <c r="A459" s="520">
        <v>456</v>
      </c>
      <c r="B459" s="293"/>
      <c r="C459" s="293"/>
      <c r="D459" s="236"/>
      <c r="E459" s="293"/>
      <c r="F459" s="236"/>
      <c r="G459" s="236"/>
      <c r="H459" s="364" t="s">
        <v>249</v>
      </c>
      <c r="I459" s="340" t="s">
        <v>253</v>
      </c>
      <c r="J459" s="320">
        <v>40830</v>
      </c>
      <c r="K459" s="288" t="s">
        <v>10</v>
      </c>
      <c r="L459" s="331">
        <v>62</v>
      </c>
      <c r="M459" s="382">
        <v>1165</v>
      </c>
      <c r="N459" s="383">
        <v>167</v>
      </c>
      <c r="O459" s="328">
        <v>1597479</v>
      </c>
      <c r="P459" s="344">
        <v>150144</v>
      </c>
      <c r="Q459" s="297">
        <v>40949</v>
      </c>
    </row>
    <row r="460" spans="1:17" s="486" customFormat="1" ht="12" customHeight="1">
      <c r="A460" s="520">
        <v>457</v>
      </c>
      <c r="B460" s="293"/>
      <c r="C460" s="293"/>
      <c r="D460" s="236"/>
      <c r="E460" s="293"/>
      <c r="F460" s="236"/>
      <c r="G460" s="236"/>
      <c r="H460" s="462" t="s">
        <v>249</v>
      </c>
      <c r="I460" s="340" t="s">
        <v>253</v>
      </c>
      <c r="J460" s="320">
        <v>40830</v>
      </c>
      <c r="K460" s="288" t="s">
        <v>10</v>
      </c>
      <c r="L460" s="331">
        <v>62</v>
      </c>
      <c r="M460" s="382">
        <v>612</v>
      </c>
      <c r="N460" s="383">
        <v>102</v>
      </c>
      <c r="O460" s="328">
        <v>1596314</v>
      </c>
      <c r="P460" s="344">
        <v>149977</v>
      </c>
      <c r="Q460" s="297">
        <v>40921</v>
      </c>
    </row>
    <row r="461" spans="1:17" s="486" customFormat="1" ht="12" customHeight="1">
      <c r="A461" s="520">
        <v>458</v>
      </c>
      <c r="B461" s="236" t="s">
        <v>193</v>
      </c>
      <c r="C461" s="236"/>
      <c r="D461" s="236"/>
      <c r="E461" s="236" t="s">
        <v>250</v>
      </c>
      <c r="F461" s="236" t="s">
        <v>55</v>
      </c>
      <c r="G461" s="236"/>
      <c r="H461" s="459" t="s">
        <v>314</v>
      </c>
      <c r="I461" s="339" t="s">
        <v>315</v>
      </c>
      <c r="J461" s="320">
        <v>39829</v>
      </c>
      <c r="K461" s="288" t="s">
        <v>68</v>
      </c>
      <c r="L461" s="312">
        <v>65</v>
      </c>
      <c r="M461" s="382">
        <v>1424</v>
      </c>
      <c r="N461" s="383">
        <v>356</v>
      </c>
      <c r="O461" s="328">
        <f>237023+244842+160469+47021+21536+18820+18020.5+26440+10695+9162.5+9870+6322+1787+2032+757+348+420.5+158+4053+339.5+3161.5+1729.5+752+1417+1780+64+1208+952+552+139.5+544+40+8072+1780+1424+1780+440+1780+1188+2612+952+712+4276+1424</f>
        <v>858895.5</v>
      </c>
      <c r="P461" s="344">
        <f>25678+28966+21290+6590+4890+3520+3479+4786+1907+1716+2388+1533+368+541+126+70+67+48+991+81+743+414+155+169+445+16+302+238+117+23+48+12+2018+445+356+445+55+445+297+653+238+178+1069+356</f>
        <v>118272</v>
      </c>
      <c r="Q461" s="297">
        <v>40914</v>
      </c>
    </row>
    <row r="462" spans="1:17" s="486" customFormat="1" ht="12" customHeight="1">
      <c r="A462" s="520">
        <v>459</v>
      </c>
      <c r="B462" s="236" t="s">
        <v>193</v>
      </c>
      <c r="C462" s="236"/>
      <c r="D462" s="236"/>
      <c r="E462" s="236" t="s">
        <v>250</v>
      </c>
      <c r="F462" s="236" t="s">
        <v>55</v>
      </c>
      <c r="G462" s="236"/>
      <c r="H462" s="366" t="s">
        <v>530</v>
      </c>
      <c r="I462" s="339" t="s">
        <v>534</v>
      </c>
      <c r="J462" s="320">
        <v>40515</v>
      </c>
      <c r="K462" s="288" t="s">
        <v>68</v>
      </c>
      <c r="L462" s="312">
        <v>62</v>
      </c>
      <c r="M462" s="382">
        <v>1622</v>
      </c>
      <c r="N462" s="383">
        <v>787</v>
      </c>
      <c r="O462" s="328">
        <f>353151+191248+132731.5+71376+47862+26248.5+19265+34650.5+35095.5+42312+25849+10987+7528+3248+2395.5+3280.5+3141.5+4280+3042+1597+6128+4358+2107+777+4230+4335.5+1718.5+594+1978+2020+7747.5+1188+329+1188+823+1622</f>
        <v>1060432</v>
      </c>
      <c r="P462" s="344">
        <f>34650+19352+14525+10591+7581+5012+3223+6065+6865+6589+3930+1782+1091+624+468+512+688+987+804+306+1395+991+478+166+1058+1084+430+148+474+261+1593+297+63+238+398+787</f>
        <v>135506</v>
      </c>
      <c r="Q462" s="297">
        <v>40977</v>
      </c>
    </row>
    <row r="463" spans="1:17" s="486" customFormat="1" ht="12" customHeight="1">
      <c r="A463" s="520">
        <v>460</v>
      </c>
      <c r="B463" s="236" t="s">
        <v>193</v>
      </c>
      <c r="C463" s="236"/>
      <c r="D463" s="236"/>
      <c r="E463" s="236" t="s">
        <v>250</v>
      </c>
      <c r="F463" s="236" t="s">
        <v>55</v>
      </c>
      <c r="G463" s="236"/>
      <c r="H463" s="366" t="s">
        <v>530</v>
      </c>
      <c r="I463" s="339" t="s">
        <v>534</v>
      </c>
      <c r="J463" s="320">
        <v>40515</v>
      </c>
      <c r="K463" s="288" t="s">
        <v>68</v>
      </c>
      <c r="L463" s="312">
        <v>62</v>
      </c>
      <c r="M463" s="382">
        <v>1425.5</v>
      </c>
      <c r="N463" s="383">
        <v>285</v>
      </c>
      <c r="O463" s="328">
        <f>353151+191248+132731.5+71376+47862+26248.5+19265+34650.5+35095.5+42312+25849+10987+7528+3248+2395.5+3280.5+3141.5+4280+3042+1597+6128+4358+2107+777+4230+4335.5+1718.5+594+1978+2020+7747.5+1188+329+1188+823+1622+1425.5</f>
        <v>1061857.5</v>
      </c>
      <c r="P463" s="344">
        <f>34650+19352+14525+10591+7581+5012+3223+6065+6865+6589+3930+1782+1091+624+468+512+688+987+804+306+1395+991+478+166+1058+1084+430+148+474+261+1593+297+63+238+398+787+285</f>
        <v>135791</v>
      </c>
      <c r="Q463" s="297">
        <v>41019</v>
      </c>
    </row>
    <row r="464" spans="1:17" s="486" customFormat="1" ht="12" customHeight="1">
      <c r="A464" s="520">
        <v>461</v>
      </c>
      <c r="B464" s="236" t="s">
        <v>193</v>
      </c>
      <c r="C464" s="236"/>
      <c r="D464" s="236"/>
      <c r="E464" s="236" t="s">
        <v>250</v>
      </c>
      <c r="F464" s="236" t="s">
        <v>55</v>
      </c>
      <c r="G464" s="236"/>
      <c r="H464" s="366" t="s">
        <v>530</v>
      </c>
      <c r="I464" s="339" t="s">
        <v>534</v>
      </c>
      <c r="J464" s="320">
        <v>40515</v>
      </c>
      <c r="K464" s="288" t="s">
        <v>68</v>
      </c>
      <c r="L464" s="312">
        <v>62</v>
      </c>
      <c r="M464" s="382">
        <v>1188</v>
      </c>
      <c r="N464" s="383">
        <v>238</v>
      </c>
      <c r="O464" s="328">
        <f>353151+191248+132731.5+71376+47862+26248.5+19265+34650.5+35095.5+42312+25849+10987+7528+3248+2395.5+3280.5+3141.5+4280+3042+1597+6128+4358+2107+777+4230+4335.5+1718.5+594+1978+2020+7747.5+1188+329+1188</f>
        <v>1057987</v>
      </c>
      <c r="P464" s="344">
        <f>34650+19352+14525+10591+7581+5012+3223+6065+6865+6589+3930+1782+1091+624+468+512+688+987+804+306+1395+991+478+166+1058+1084+430+148+474+261+1593+297+63+238</f>
        <v>134321</v>
      </c>
      <c r="Q464" s="297">
        <v>40949</v>
      </c>
    </row>
    <row r="465" spans="1:17" s="486" customFormat="1" ht="12" customHeight="1">
      <c r="A465" s="520">
        <v>462</v>
      </c>
      <c r="B465" s="236" t="s">
        <v>193</v>
      </c>
      <c r="C465" s="236"/>
      <c r="D465" s="236"/>
      <c r="E465" s="236" t="s">
        <v>250</v>
      </c>
      <c r="F465" s="236" t="s">
        <v>55</v>
      </c>
      <c r="G465" s="236"/>
      <c r="H465" s="366" t="s">
        <v>530</v>
      </c>
      <c r="I465" s="339" t="s">
        <v>534</v>
      </c>
      <c r="J465" s="320">
        <v>40515</v>
      </c>
      <c r="K465" s="288" t="s">
        <v>68</v>
      </c>
      <c r="L465" s="312">
        <v>62</v>
      </c>
      <c r="M465" s="382">
        <v>823</v>
      </c>
      <c r="N465" s="383">
        <v>398</v>
      </c>
      <c r="O465" s="328">
        <f>353151+191248+132731.5+71376+47862+26248.5+19265+34650.5+35095.5+42312+25849+10987+7528+3248+2395.5+3280.5+3141.5+4280+3042+1597+6128+4358+2107+777+4230+4335.5+1718.5+594+1978+2020+7747.5+1188+329+1188+823</f>
        <v>1058810</v>
      </c>
      <c r="P465" s="344">
        <f>34650+19352+14525+10591+7581+5012+3223+6065+6865+6589+3930+1782+1091+624+468+512+688+987+804+306+1395+991+478+166+1058+1084+430+148+474+261+1593+297+63+238+398</f>
        <v>134719</v>
      </c>
      <c r="Q465" s="297">
        <v>40970</v>
      </c>
    </row>
    <row r="466" spans="1:17" s="486" customFormat="1" ht="12" customHeight="1">
      <c r="A466" s="520">
        <v>463</v>
      </c>
      <c r="B466" s="236"/>
      <c r="C466" s="236"/>
      <c r="D466" s="236"/>
      <c r="E466" s="236"/>
      <c r="F466" s="236" t="s">
        <v>55</v>
      </c>
      <c r="G466" s="236"/>
      <c r="H466" s="366" t="s">
        <v>571</v>
      </c>
      <c r="I466" s="339" t="s">
        <v>572</v>
      </c>
      <c r="J466" s="370">
        <v>40816</v>
      </c>
      <c r="K466" s="288" t="s">
        <v>68</v>
      </c>
      <c r="L466" s="313">
        <v>20</v>
      </c>
      <c r="M466" s="468">
        <v>1782</v>
      </c>
      <c r="N466" s="469">
        <v>356</v>
      </c>
      <c r="O466" s="317">
        <f>75142.5+52388.5+8679+971+3899.5+2877+58+4904+58+2376+150+440+1782</f>
        <v>153725.5</v>
      </c>
      <c r="P466" s="368">
        <f>6131+4590+666+86+328+725+26+1257+26+594+15+63+356</f>
        <v>14863</v>
      </c>
      <c r="Q466" s="297">
        <v>41012</v>
      </c>
    </row>
    <row r="467" spans="1:17" s="486" customFormat="1" ht="12" customHeight="1">
      <c r="A467" s="520">
        <v>464</v>
      </c>
      <c r="B467" s="236"/>
      <c r="C467" s="236"/>
      <c r="D467" s="236"/>
      <c r="E467" s="236"/>
      <c r="F467" s="236" t="s">
        <v>55</v>
      </c>
      <c r="G467" s="236"/>
      <c r="H467" s="366" t="s">
        <v>571</v>
      </c>
      <c r="I467" s="339" t="s">
        <v>572</v>
      </c>
      <c r="J467" s="320">
        <v>40816</v>
      </c>
      <c r="K467" s="288" t="s">
        <v>68</v>
      </c>
      <c r="L467" s="312">
        <v>20</v>
      </c>
      <c r="M467" s="382">
        <v>440</v>
      </c>
      <c r="N467" s="383">
        <v>63</v>
      </c>
      <c r="O467" s="328">
        <f>75142.5+52388.5+8679+971+3899.5+2877+58+4904+58+2376+150+440</f>
        <v>151943.5</v>
      </c>
      <c r="P467" s="344">
        <f>6131+4590+666+86+328+725+26+1257+26+594+15+63</f>
        <v>14507</v>
      </c>
      <c r="Q467" s="297">
        <v>40970</v>
      </c>
    </row>
    <row r="468" spans="1:17" s="486" customFormat="1" ht="12" customHeight="1">
      <c r="A468" s="520">
        <v>465</v>
      </c>
      <c r="B468" s="236"/>
      <c r="C468" s="236"/>
      <c r="D468" s="236"/>
      <c r="E468" s="236"/>
      <c r="F468" s="236" t="s">
        <v>55</v>
      </c>
      <c r="G468" s="236"/>
      <c r="H468" s="366" t="s">
        <v>571</v>
      </c>
      <c r="I468" s="339" t="s">
        <v>572</v>
      </c>
      <c r="J468" s="320">
        <v>40816</v>
      </c>
      <c r="K468" s="288" t="s">
        <v>68</v>
      </c>
      <c r="L468" s="312">
        <v>20</v>
      </c>
      <c r="M468" s="382">
        <v>150</v>
      </c>
      <c r="N468" s="383">
        <v>15</v>
      </c>
      <c r="O468" s="328">
        <f>75142.5+52388.5+8679+971+3899.5+2877+58+4904+58+2376+150</f>
        <v>151503.5</v>
      </c>
      <c r="P468" s="344">
        <f>6131+4590+666+86+328+725+26+1257+26+594+15</f>
        <v>14444</v>
      </c>
      <c r="Q468" s="297">
        <v>40963</v>
      </c>
    </row>
    <row r="469" spans="1:17" s="486" customFormat="1" ht="12" customHeight="1">
      <c r="A469" s="520">
        <v>466</v>
      </c>
      <c r="B469" s="236"/>
      <c r="C469" s="236"/>
      <c r="D469" s="236"/>
      <c r="E469" s="236"/>
      <c r="F469" s="236"/>
      <c r="G469" s="236" t="s">
        <v>54</v>
      </c>
      <c r="H469" s="366" t="s">
        <v>590</v>
      </c>
      <c r="I469" s="339" t="s">
        <v>590</v>
      </c>
      <c r="J469" s="320">
        <v>39836</v>
      </c>
      <c r="K469" s="288" t="s">
        <v>68</v>
      </c>
      <c r="L469" s="312">
        <v>13</v>
      </c>
      <c r="M469" s="382">
        <v>1780</v>
      </c>
      <c r="N469" s="383">
        <v>356</v>
      </c>
      <c r="O469" s="328">
        <f>57133.5+23554+18557+9186+29743.5+13631.5+13446+7072+7029+8018.5+7220.5+2856.5+1828+102+3517+635+324+30+2146+1842+376+154+799+463.52+415.64+339.28+4160+712+230+1780</f>
        <v>217301.44</v>
      </c>
      <c r="P469" s="344">
        <f>5405+2651+2356+1389+3583+1713+1661+1216+1174+1324+1425+542+453+16+757+96+108+10+508+436+35+14+67+102+95+80+1040+178+60+356</f>
        <v>28850</v>
      </c>
      <c r="Q469" s="297">
        <v>40970</v>
      </c>
    </row>
    <row r="470" spans="1:17" s="486" customFormat="1" ht="12" customHeight="1">
      <c r="A470" s="520">
        <v>467</v>
      </c>
      <c r="B470" s="236"/>
      <c r="C470" s="236"/>
      <c r="D470" s="236"/>
      <c r="E470" s="236" t="s">
        <v>250</v>
      </c>
      <c r="F470" s="236"/>
      <c r="G470" s="236"/>
      <c r="H470" s="460" t="s">
        <v>65</v>
      </c>
      <c r="I470" s="341" t="s">
        <v>65</v>
      </c>
      <c r="J470" s="297">
        <v>40837</v>
      </c>
      <c r="K470" s="288" t="s">
        <v>12</v>
      </c>
      <c r="L470" s="312">
        <v>112</v>
      </c>
      <c r="M470" s="378">
        <v>4349</v>
      </c>
      <c r="N470" s="379">
        <v>651</v>
      </c>
      <c r="O470" s="334">
        <v>2336338</v>
      </c>
      <c r="P470" s="338">
        <v>245652</v>
      </c>
      <c r="Q470" s="297">
        <v>40907</v>
      </c>
    </row>
    <row r="471" spans="1:17" s="486" customFormat="1" ht="12" customHeight="1">
      <c r="A471" s="520">
        <v>468</v>
      </c>
      <c r="B471" s="236"/>
      <c r="C471" s="236"/>
      <c r="D471" s="236"/>
      <c r="E471" s="236" t="s">
        <v>250</v>
      </c>
      <c r="F471" s="236"/>
      <c r="G471" s="236"/>
      <c r="H471" s="460" t="s">
        <v>65</v>
      </c>
      <c r="I471" s="341" t="s">
        <v>65</v>
      </c>
      <c r="J471" s="297">
        <v>40837</v>
      </c>
      <c r="K471" s="288" t="s">
        <v>12</v>
      </c>
      <c r="L471" s="312">
        <v>112</v>
      </c>
      <c r="M471" s="378">
        <v>3941</v>
      </c>
      <c r="N471" s="379">
        <v>554</v>
      </c>
      <c r="O471" s="334">
        <v>2341282</v>
      </c>
      <c r="P471" s="338">
        <v>246371</v>
      </c>
      <c r="Q471" s="297">
        <v>40928</v>
      </c>
    </row>
    <row r="472" spans="1:17" s="486" customFormat="1" ht="12" customHeight="1">
      <c r="A472" s="520">
        <v>469</v>
      </c>
      <c r="B472" s="236"/>
      <c r="C472" s="236"/>
      <c r="D472" s="236"/>
      <c r="E472" s="236" t="s">
        <v>250</v>
      </c>
      <c r="F472" s="236"/>
      <c r="G472" s="236"/>
      <c r="H472" s="460" t="s">
        <v>65</v>
      </c>
      <c r="I472" s="341" t="s">
        <v>65</v>
      </c>
      <c r="J472" s="297">
        <v>40837</v>
      </c>
      <c r="K472" s="288" t="s">
        <v>12</v>
      </c>
      <c r="L472" s="312">
        <v>112</v>
      </c>
      <c r="M472" s="378">
        <v>1003</v>
      </c>
      <c r="N472" s="379">
        <v>165</v>
      </c>
      <c r="O472" s="334">
        <v>2337341</v>
      </c>
      <c r="P472" s="338">
        <v>245817</v>
      </c>
      <c r="Q472" s="297">
        <v>40914</v>
      </c>
    </row>
    <row r="473" spans="1:17" s="486" customFormat="1" ht="12" customHeight="1">
      <c r="A473" s="520">
        <v>470</v>
      </c>
      <c r="B473" s="236" t="s">
        <v>193</v>
      </c>
      <c r="C473" s="236"/>
      <c r="D473" s="236">
        <v>2</v>
      </c>
      <c r="E473" s="236"/>
      <c r="F473" s="236"/>
      <c r="G473" s="236"/>
      <c r="H473" s="366" t="s">
        <v>553</v>
      </c>
      <c r="I473" s="339" t="s">
        <v>558</v>
      </c>
      <c r="J473" s="320">
        <v>40228</v>
      </c>
      <c r="K473" s="288" t="s">
        <v>68</v>
      </c>
      <c r="L473" s="312">
        <v>88</v>
      </c>
      <c r="M473" s="382">
        <v>1782</v>
      </c>
      <c r="N473" s="383">
        <v>356</v>
      </c>
      <c r="O473" s="328">
        <f>848677.55+469+99+661+35+1782+1782+1782</f>
        <v>855287.55</v>
      </c>
      <c r="P473" s="344">
        <f>99747+71+15+97+3+445+445+356</f>
        <v>101179</v>
      </c>
      <c r="Q473" s="297">
        <v>40956</v>
      </c>
    </row>
    <row r="474" spans="1:17" s="486" customFormat="1" ht="12" customHeight="1">
      <c r="A474" s="520">
        <v>471</v>
      </c>
      <c r="B474" s="236"/>
      <c r="C474" s="236"/>
      <c r="D474" s="236"/>
      <c r="E474" s="236"/>
      <c r="F474" s="236"/>
      <c r="G474" s="236"/>
      <c r="H474" s="459" t="s">
        <v>143</v>
      </c>
      <c r="I474" s="339" t="s">
        <v>144</v>
      </c>
      <c r="J474" s="297">
        <v>40781</v>
      </c>
      <c r="K474" s="288" t="s">
        <v>68</v>
      </c>
      <c r="L474" s="312">
        <v>25</v>
      </c>
      <c r="M474" s="382">
        <v>3841</v>
      </c>
      <c r="N474" s="383">
        <v>653</v>
      </c>
      <c r="O474" s="328">
        <f>144733+112570+56967.5+34113.5+30823.5+33890.5+41306+25896.5+24762.5+2776+2376+588+744+1788+950.5+3841</f>
        <v>518126.5</v>
      </c>
      <c r="P474" s="344">
        <f>11669+10065+5619+3946+3929+4284+5351+3682+3657+420+594+249+124+397+237+653</f>
        <v>54876</v>
      </c>
      <c r="Q474" s="297">
        <v>40907</v>
      </c>
    </row>
    <row r="475" spans="1:17" s="486" customFormat="1" ht="12" customHeight="1">
      <c r="A475" s="520">
        <v>472</v>
      </c>
      <c r="B475" s="236"/>
      <c r="C475" s="236"/>
      <c r="D475" s="236"/>
      <c r="E475" s="236"/>
      <c r="F475" s="236"/>
      <c r="G475" s="236"/>
      <c r="H475" s="366" t="s">
        <v>143</v>
      </c>
      <c r="I475" s="339" t="s">
        <v>144</v>
      </c>
      <c r="J475" s="297">
        <v>40781</v>
      </c>
      <c r="K475" s="288" t="s">
        <v>68</v>
      </c>
      <c r="L475" s="312">
        <v>25</v>
      </c>
      <c r="M475" s="470">
        <v>3801.5</v>
      </c>
      <c r="N475" s="471">
        <v>760</v>
      </c>
      <c r="O475" s="448">
        <f>144733+112570+56967.5+34113.5+30823.5+33890.5+41306+25896.5+24762.5+2776+2376+588+744+1788+950.5+3841+1705+854+3801.5</f>
        <v>524487</v>
      </c>
      <c r="P475" s="449">
        <f>11669+10065+5619+3946+3929+4284+5351+3682+3657+420+594+249+124+397+237+653+271+126+760</f>
        <v>56033</v>
      </c>
      <c r="Q475" s="297">
        <v>40984</v>
      </c>
    </row>
    <row r="476" spans="1:17" s="486" customFormat="1" ht="12" customHeight="1">
      <c r="A476" s="520">
        <v>473</v>
      </c>
      <c r="B476" s="236"/>
      <c r="C476" s="236"/>
      <c r="D476" s="236"/>
      <c r="E476" s="236"/>
      <c r="F476" s="236"/>
      <c r="G476" s="236"/>
      <c r="H476" s="459" t="s">
        <v>143</v>
      </c>
      <c r="I476" s="339" t="s">
        <v>144</v>
      </c>
      <c r="J476" s="297">
        <v>40781</v>
      </c>
      <c r="K476" s="288" t="s">
        <v>68</v>
      </c>
      <c r="L476" s="312">
        <v>25</v>
      </c>
      <c r="M476" s="382">
        <v>1705</v>
      </c>
      <c r="N476" s="383">
        <v>271</v>
      </c>
      <c r="O476" s="328">
        <f>144733+112570+56967.5+34113.5+30823.5+33890.5+41306+25896.5+24762.5+2776+2376+588+744+1788+950.5+3841+1705</f>
        <v>519831.5</v>
      </c>
      <c r="P476" s="344">
        <f>11669+10065+5619+3946+3929+4284+5351+3682+3657+420+594+249+124+397+237+653+271</f>
        <v>55147</v>
      </c>
      <c r="Q476" s="297">
        <v>40914</v>
      </c>
    </row>
    <row r="477" spans="1:17" s="486" customFormat="1" ht="12" customHeight="1">
      <c r="A477" s="520">
        <v>474</v>
      </c>
      <c r="B477" s="236"/>
      <c r="C477" s="236"/>
      <c r="D477" s="236"/>
      <c r="E477" s="236"/>
      <c r="F477" s="236"/>
      <c r="G477" s="236"/>
      <c r="H477" s="459" t="s">
        <v>143</v>
      </c>
      <c r="I477" s="339" t="s">
        <v>144</v>
      </c>
      <c r="J477" s="297">
        <v>40781</v>
      </c>
      <c r="K477" s="288" t="s">
        <v>68</v>
      </c>
      <c r="L477" s="312">
        <v>25</v>
      </c>
      <c r="M477" s="382">
        <v>854</v>
      </c>
      <c r="N477" s="383">
        <v>126</v>
      </c>
      <c r="O477" s="328">
        <f>144733+112570+56967.5+34113.5+30823.5+33890.5+41306+25896.5+24762.5+2776+2376+588+744+1788+950.5+3841+1705+854</f>
        <v>520685.5</v>
      </c>
      <c r="P477" s="344">
        <f>11669+10065+5619+3946+3929+4284+5351+3682+3657+420+594+249+124+397+237+653+271+126</f>
        <v>55273</v>
      </c>
      <c r="Q477" s="297">
        <v>40921</v>
      </c>
    </row>
    <row r="478" spans="1:17" s="486" customFormat="1" ht="12" customHeight="1">
      <c r="A478" s="520">
        <v>475</v>
      </c>
      <c r="B478" s="236" t="s">
        <v>193</v>
      </c>
      <c r="C478" s="236">
        <v>3</v>
      </c>
      <c r="D478" s="236">
        <v>2</v>
      </c>
      <c r="E478" s="236" t="s">
        <v>250</v>
      </c>
      <c r="F478" s="236"/>
      <c r="G478" s="236"/>
      <c r="H478" s="362" t="s">
        <v>550</v>
      </c>
      <c r="I478" s="341" t="s">
        <v>551</v>
      </c>
      <c r="J478" s="320">
        <v>40682</v>
      </c>
      <c r="K478" s="288" t="s">
        <v>12</v>
      </c>
      <c r="L478" s="312">
        <v>115</v>
      </c>
      <c r="M478" s="378">
        <v>1197</v>
      </c>
      <c r="N478" s="379">
        <v>189</v>
      </c>
      <c r="O478" s="334">
        <v>13129579</v>
      </c>
      <c r="P478" s="338">
        <v>1170992</v>
      </c>
      <c r="Q478" s="297">
        <v>40991</v>
      </c>
    </row>
    <row r="479" spans="1:17" s="486" customFormat="1" ht="12" customHeight="1">
      <c r="A479" s="520">
        <v>476</v>
      </c>
      <c r="B479" s="236" t="s">
        <v>193</v>
      </c>
      <c r="C479" s="236">
        <v>3</v>
      </c>
      <c r="D479" s="236">
        <v>2</v>
      </c>
      <c r="E479" s="236" t="s">
        <v>250</v>
      </c>
      <c r="F479" s="236"/>
      <c r="G479" s="236"/>
      <c r="H479" s="362" t="s">
        <v>550</v>
      </c>
      <c r="I479" s="341" t="s">
        <v>551</v>
      </c>
      <c r="J479" s="320">
        <v>40682</v>
      </c>
      <c r="K479" s="288" t="s">
        <v>12</v>
      </c>
      <c r="L479" s="313">
        <v>115</v>
      </c>
      <c r="M479" s="378">
        <v>1197</v>
      </c>
      <c r="N479" s="379">
        <v>189</v>
      </c>
      <c r="O479" s="334">
        <v>13130776</v>
      </c>
      <c r="P479" s="338">
        <v>1171181</v>
      </c>
      <c r="Q479" s="297">
        <v>40998</v>
      </c>
    </row>
    <row r="480" spans="1:17" s="486" customFormat="1" ht="12" customHeight="1">
      <c r="A480" s="520">
        <v>477</v>
      </c>
      <c r="B480" s="236" t="s">
        <v>193</v>
      </c>
      <c r="C480" s="236">
        <v>3</v>
      </c>
      <c r="D480" s="236">
        <v>2</v>
      </c>
      <c r="E480" s="236" t="s">
        <v>250</v>
      </c>
      <c r="F480" s="236"/>
      <c r="G480" s="236"/>
      <c r="H480" s="362" t="s">
        <v>550</v>
      </c>
      <c r="I480" s="341" t="s">
        <v>551</v>
      </c>
      <c r="J480" s="320">
        <v>40682</v>
      </c>
      <c r="K480" s="288" t="s">
        <v>12</v>
      </c>
      <c r="L480" s="312">
        <v>115</v>
      </c>
      <c r="M480" s="378">
        <v>320</v>
      </c>
      <c r="N480" s="379">
        <v>20</v>
      </c>
      <c r="O480" s="334">
        <v>13128382</v>
      </c>
      <c r="P480" s="338">
        <v>1170803</v>
      </c>
      <c r="Q480" s="297">
        <v>40956</v>
      </c>
    </row>
    <row r="481" spans="1:17" s="486" customFormat="1" ht="12" customHeight="1">
      <c r="A481" s="520">
        <v>478</v>
      </c>
      <c r="B481" s="236"/>
      <c r="C481" s="236"/>
      <c r="D481" s="236"/>
      <c r="E481" s="236"/>
      <c r="F481" s="236" t="s">
        <v>55</v>
      </c>
      <c r="G481" s="236"/>
      <c r="H481" s="459" t="s">
        <v>311</v>
      </c>
      <c r="I481" s="339" t="s">
        <v>318</v>
      </c>
      <c r="J481" s="320">
        <v>40347</v>
      </c>
      <c r="K481" s="288" t="s">
        <v>68</v>
      </c>
      <c r="L481" s="312">
        <v>66</v>
      </c>
      <c r="M481" s="382">
        <v>2138.5</v>
      </c>
      <c r="N481" s="383">
        <v>535</v>
      </c>
      <c r="O481" s="328">
        <f>478213+7083+3309.5+6055+4900+8378+4378.5+2349+3103+2074+7679.5+6108+2991.5+2180+2234+642+2775.5+1757+1151+3382+60+1782+2851+1188+713+286+2138.5+2138.5+2138.5</f>
        <v>564039</v>
      </c>
      <c r="P481" s="344">
        <f>55327+1259+553+1133+756+1285+650+408+682+334+1688+1394+539+483+475+201+677+260+202+852+20+445+712+297+178+67+535+535+535</f>
        <v>72482</v>
      </c>
      <c r="Q481" s="297">
        <v>40928</v>
      </c>
    </row>
    <row r="482" spans="1:17" s="486" customFormat="1" ht="12" customHeight="1">
      <c r="A482" s="520">
        <v>479</v>
      </c>
      <c r="B482" s="236"/>
      <c r="C482" s="236"/>
      <c r="D482" s="236"/>
      <c r="E482" s="236"/>
      <c r="F482" s="236" t="s">
        <v>55</v>
      </c>
      <c r="G482" s="236"/>
      <c r="H482" s="459" t="s">
        <v>311</v>
      </c>
      <c r="I482" s="339" t="s">
        <v>318</v>
      </c>
      <c r="J482" s="320">
        <v>40347</v>
      </c>
      <c r="K482" s="288" t="s">
        <v>68</v>
      </c>
      <c r="L482" s="312">
        <v>66</v>
      </c>
      <c r="M482" s="382">
        <v>2138.5</v>
      </c>
      <c r="N482" s="383">
        <v>535</v>
      </c>
      <c r="O482" s="328">
        <f>478213+7083+3309.5+6055+4900+8378+4378.5+2349+3103+2074+7679.5+6108+2991.5+2180+2234+642+2775.5+1757+1151+3382+60+1782+2851+1188+713+286+2138.5+2138.5</f>
        <v>561900.5</v>
      </c>
      <c r="P482" s="344">
        <f>55327+1259+553+1133+756+1285+650+408+682+334+1688+1394+539+483+475+201+677+260+202+852+20+445+712+297+178+67+535+535</f>
        <v>71947</v>
      </c>
      <c r="Q482" s="297">
        <v>40921</v>
      </c>
    </row>
    <row r="483" spans="1:17" s="486" customFormat="1" ht="12" customHeight="1">
      <c r="A483" s="520">
        <v>480</v>
      </c>
      <c r="B483" s="236"/>
      <c r="C483" s="236"/>
      <c r="D483" s="236"/>
      <c r="E483" s="236"/>
      <c r="F483" s="236" t="s">
        <v>55</v>
      </c>
      <c r="G483" s="236"/>
      <c r="H483" s="459" t="s">
        <v>311</v>
      </c>
      <c r="I483" s="339" t="s">
        <v>318</v>
      </c>
      <c r="J483" s="320">
        <v>40347</v>
      </c>
      <c r="K483" s="288" t="s">
        <v>68</v>
      </c>
      <c r="L483" s="312">
        <v>66</v>
      </c>
      <c r="M483" s="382">
        <v>2138.5</v>
      </c>
      <c r="N483" s="383">
        <v>535</v>
      </c>
      <c r="O483" s="328">
        <f>478213+7083+3309.5+6055+4900+8378+4378.5+2349+3103+2074+7679.5+6108+2991.5+2180+2234+642+2775.5+1757+1151+3382+60+1782+2851+1188+713+286+2138.5</f>
        <v>559762</v>
      </c>
      <c r="P483" s="344">
        <f>55327+1259+553+1133+756+1285+650+408+682+334+1688+1394+539+483+475+201+677+260+202+852+20+445+712+297+178+67+535</f>
        <v>71412</v>
      </c>
      <c r="Q483" s="297">
        <v>40914</v>
      </c>
    </row>
    <row r="484" spans="1:17" s="486" customFormat="1" ht="12" customHeight="1">
      <c r="A484" s="520">
        <v>481</v>
      </c>
      <c r="B484" s="236"/>
      <c r="C484" s="236"/>
      <c r="D484" s="236"/>
      <c r="E484" s="236"/>
      <c r="F484" s="236"/>
      <c r="G484" s="236" t="s">
        <v>54</v>
      </c>
      <c r="H484" s="366" t="s">
        <v>532</v>
      </c>
      <c r="I484" s="339" t="s">
        <v>532</v>
      </c>
      <c r="J484" s="320">
        <v>40620</v>
      </c>
      <c r="K484" s="288" t="s">
        <v>68</v>
      </c>
      <c r="L484" s="312">
        <v>18</v>
      </c>
      <c r="M484" s="382">
        <v>713</v>
      </c>
      <c r="N484" s="383">
        <v>143</v>
      </c>
      <c r="O484" s="328">
        <f>39453.5+44225+30459.5+23462+13989+8982.5+6844+2370+4120+2588+1886+275+713</f>
        <v>179367.5</v>
      </c>
      <c r="P484" s="344">
        <f>5345+6302+4080+3427+1964+1106+1298+366+730+571+456+44+143</f>
        <v>25832</v>
      </c>
      <c r="Q484" s="297">
        <v>40949</v>
      </c>
    </row>
    <row r="485" spans="1:17" s="486" customFormat="1" ht="12" customHeight="1">
      <c r="A485" s="520">
        <v>482</v>
      </c>
      <c r="B485" s="236" t="s">
        <v>193</v>
      </c>
      <c r="C485" s="236">
        <v>3</v>
      </c>
      <c r="D485" s="236">
        <v>2</v>
      </c>
      <c r="E485" s="236"/>
      <c r="F485" s="236" t="s">
        <v>55</v>
      </c>
      <c r="G485" s="236"/>
      <c r="H485" s="459" t="s">
        <v>336</v>
      </c>
      <c r="I485" s="339" t="s">
        <v>337</v>
      </c>
      <c r="J485" s="320">
        <v>40921</v>
      </c>
      <c r="K485" s="288" t="s">
        <v>12</v>
      </c>
      <c r="L485" s="312">
        <v>101</v>
      </c>
      <c r="M485" s="378">
        <v>2186377</v>
      </c>
      <c r="N485" s="379">
        <v>209171</v>
      </c>
      <c r="O485" s="334">
        <v>2186377</v>
      </c>
      <c r="P485" s="338">
        <v>209171</v>
      </c>
      <c r="Q485" s="297">
        <v>40921</v>
      </c>
    </row>
    <row r="486" spans="1:17" s="486" customFormat="1" ht="12" customHeight="1">
      <c r="A486" s="520">
        <v>483</v>
      </c>
      <c r="B486" s="236"/>
      <c r="C486" s="236"/>
      <c r="D486" s="236"/>
      <c r="E486" s="236"/>
      <c r="F486" s="236" t="s">
        <v>55</v>
      </c>
      <c r="G486" s="236"/>
      <c r="H486" s="460" t="s">
        <v>175</v>
      </c>
      <c r="I486" s="341" t="s">
        <v>175</v>
      </c>
      <c r="J486" s="320">
        <v>40606</v>
      </c>
      <c r="K486" s="288" t="s">
        <v>12</v>
      </c>
      <c r="L486" s="312">
        <v>104</v>
      </c>
      <c r="M486" s="378">
        <v>1197</v>
      </c>
      <c r="N486" s="379">
        <v>189</v>
      </c>
      <c r="O486" s="334">
        <v>1288731</v>
      </c>
      <c r="P486" s="338">
        <v>133813</v>
      </c>
      <c r="Q486" s="297">
        <v>40935</v>
      </c>
    </row>
    <row r="487" spans="1:17" s="486" customFormat="1" ht="12" customHeight="1">
      <c r="A487" s="520">
        <v>484</v>
      </c>
      <c r="B487" s="236"/>
      <c r="C487" s="236"/>
      <c r="D487" s="236"/>
      <c r="E487" s="236"/>
      <c r="F487" s="236" t="s">
        <v>55</v>
      </c>
      <c r="G487" s="236"/>
      <c r="H487" s="460" t="s">
        <v>175</v>
      </c>
      <c r="I487" s="341" t="s">
        <v>175</v>
      </c>
      <c r="J487" s="320">
        <v>40606</v>
      </c>
      <c r="K487" s="288" t="s">
        <v>12</v>
      </c>
      <c r="L487" s="312">
        <v>104</v>
      </c>
      <c r="M487" s="378">
        <v>297</v>
      </c>
      <c r="N487" s="379">
        <v>59</v>
      </c>
      <c r="O487" s="334">
        <v>1287202</v>
      </c>
      <c r="P487" s="338">
        <v>133558</v>
      </c>
      <c r="Q487" s="297">
        <v>40907</v>
      </c>
    </row>
    <row r="488" spans="1:17" s="486" customFormat="1" ht="12" customHeight="1">
      <c r="A488" s="520">
        <v>485</v>
      </c>
      <c r="B488" s="236"/>
      <c r="C488" s="236"/>
      <c r="D488" s="236"/>
      <c r="E488" s="236"/>
      <c r="F488" s="236" t="s">
        <v>55</v>
      </c>
      <c r="G488" s="236"/>
      <c r="H488" s="460" t="s">
        <v>174</v>
      </c>
      <c r="I488" s="341" t="s">
        <v>178</v>
      </c>
      <c r="J488" s="320">
        <v>40823</v>
      </c>
      <c r="K488" s="288" t="s">
        <v>12</v>
      </c>
      <c r="L488" s="312">
        <v>105</v>
      </c>
      <c r="M488" s="378">
        <v>2631</v>
      </c>
      <c r="N488" s="379">
        <v>391</v>
      </c>
      <c r="O488" s="334">
        <v>1141116</v>
      </c>
      <c r="P488" s="338">
        <v>122643</v>
      </c>
      <c r="Q488" s="297">
        <v>40914</v>
      </c>
    </row>
    <row r="489" spans="1:17" s="486" customFormat="1" ht="12" customHeight="1">
      <c r="A489" s="520">
        <v>486</v>
      </c>
      <c r="B489" s="236"/>
      <c r="C489" s="236"/>
      <c r="D489" s="236"/>
      <c r="E489" s="236"/>
      <c r="F489" s="236" t="s">
        <v>55</v>
      </c>
      <c r="G489" s="236"/>
      <c r="H489" s="460" t="s">
        <v>174</v>
      </c>
      <c r="I489" s="341" t="s">
        <v>178</v>
      </c>
      <c r="J489" s="320">
        <v>40823</v>
      </c>
      <c r="K489" s="288" t="s">
        <v>12</v>
      </c>
      <c r="L489" s="312">
        <v>105</v>
      </c>
      <c r="M489" s="378">
        <v>781</v>
      </c>
      <c r="N489" s="379">
        <v>132</v>
      </c>
      <c r="O489" s="334">
        <v>1138485</v>
      </c>
      <c r="P489" s="338">
        <v>122252</v>
      </c>
      <c r="Q489" s="297">
        <v>40907</v>
      </c>
    </row>
    <row r="490" spans="1:17" s="486" customFormat="1" ht="12" customHeight="1">
      <c r="A490" s="520">
        <v>487</v>
      </c>
      <c r="B490" s="236"/>
      <c r="C490" s="236"/>
      <c r="D490" s="236"/>
      <c r="E490" s="236"/>
      <c r="F490" s="236" t="s">
        <v>55</v>
      </c>
      <c r="G490" s="236"/>
      <c r="H490" s="460" t="s">
        <v>174</v>
      </c>
      <c r="I490" s="341" t="s">
        <v>178</v>
      </c>
      <c r="J490" s="320">
        <v>40823</v>
      </c>
      <c r="K490" s="288" t="s">
        <v>12</v>
      </c>
      <c r="L490" s="312">
        <v>105</v>
      </c>
      <c r="M490" s="378">
        <v>639</v>
      </c>
      <c r="N490" s="379">
        <v>93</v>
      </c>
      <c r="O490" s="334">
        <v>1141755</v>
      </c>
      <c r="P490" s="338">
        <v>122736</v>
      </c>
      <c r="Q490" s="297">
        <v>40921</v>
      </c>
    </row>
    <row r="491" spans="1:17" ht="12" customHeight="1">
      <c r="A491" s="520">
        <v>488</v>
      </c>
      <c r="B491" s="236"/>
      <c r="C491" s="236"/>
      <c r="D491" s="236"/>
      <c r="E491" s="236"/>
      <c r="F491" s="236"/>
      <c r="G491" s="236" t="s">
        <v>54</v>
      </c>
      <c r="H491" s="463" t="s">
        <v>261</v>
      </c>
      <c r="I491" s="319" t="s">
        <v>105</v>
      </c>
      <c r="J491" s="320">
        <v>40886</v>
      </c>
      <c r="K491" s="288" t="s">
        <v>52</v>
      </c>
      <c r="L491" s="341">
        <v>8</v>
      </c>
      <c r="M491" s="476">
        <v>1920</v>
      </c>
      <c r="N491" s="477">
        <v>379</v>
      </c>
      <c r="O491" s="453">
        <f>11392+5145+695+1862+1920</f>
        <v>21014</v>
      </c>
      <c r="P491" s="338">
        <f>1392+701+109+241+379</f>
        <v>2822</v>
      </c>
      <c r="Q491" s="297">
        <v>40921</v>
      </c>
    </row>
    <row r="492" spans="1:17" ht="12" customHeight="1">
      <c r="A492" s="520">
        <v>489</v>
      </c>
      <c r="B492" s="236"/>
      <c r="C492" s="236"/>
      <c r="D492" s="236"/>
      <c r="E492" s="236"/>
      <c r="F492" s="236"/>
      <c r="G492" s="236" t="s">
        <v>54</v>
      </c>
      <c r="H492" s="463" t="s">
        <v>261</v>
      </c>
      <c r="I492" s="319" t="s">
        <v>105</v>
      </c>
      <c r="J492" s="320">
        <v>40886</v>
      </c>
      <c r="K492" s="288" t="s">
        <v>52</v>
      </c>
      <c r="L492" s="341">
        <v>8</v>
      </c>
      <c r="M492" s="474">
        <v>1862</v>
      </c>
      <c r="N492" s="475">
        <v>241</v>
      </c>
      <c r="O492" s="330">
        <f>11392+5145+695+1862</f>
        <v>19094</v>
      </c>
      <c r="P492" s="338">
        <f>1392+701+109+241</f>
        <v>2443</v>
      </c>
      <c r="Q492" s="297">
        <v>40907</v>
      </c>
    </row>
    <row r="493" spans="1:17" ht="12" customHeight="1">
      <c r="A493" s="520">
        <v>490</v>
      </c>
      <c r="B493" s="236"/>
      <c r="C493" s="236"/>
      <c r="D493" s="236"/>
      <c r="E493" s="236"/>
      <c r="F493" s="236"/>
      <c r="G493" s="236" t="s">
        <v>54</v>
      </c>
      <c r="H493" s="361" t="s">
        <v>261</v>
      </c>
      <c r="I493" s="319" t="s">
        <v>105</v>
      </c>
      <c r="J493" s="320">
        <v>40886</v>
      </c>
      <c r="K493" s="288" t="s">
        <v>52</v>
      </c>
      <c r="L493" s="341">
        <v>8</v>
      </c>
      <c r="M493" s="378">
        <v>1782</v>
      </c>
      <c r="N493" s="379">
        <v>356</v>
      </c>
      <c r="O493" s="334">
        <f>11392+5145+695+1862+1920+1782</f>
        <v>22796</v>
      </c>
      <c r="P493" s="338">
        <f>1392+701+109+241+379+356</f>
        <v>3178</v>
      </c>
      <c r="Q493" s="297">
        <v>40949</v>
      </c>
    </row>
    <row r="494" spans="1:17" ht="12" customHeight="1">
      <c r="A494" s="520">
        <v>491</v>
      </c>
      <c r="B494" s="236"/>
      <c r="C494" s="236"/>
      <c r="D494" s="236"/>
      <c r="E494" s="236"/>
      <c r="F494" s="236"/>
      <c r="G494" s="236" t="s">
        <v>54</v>
      </c>
      <c r="H494" s="361" t="s">
        <v>261</v>
      </c>
      <c r="I494" s="312" t="s">
        <v>106</v>
      </c>
      <c r="J494" s="370">
        <v>40886</v>
      </c>
      <c r="K494" s="288" t="s">
        <v>52</v>
      </c>
      <c r="L494" s="341">
        <v>8</v>
      </c>
      <c r="M494" s="378">
        <v>684</v>
      </c>
      <c r="N494" s="379">
        <v>108</v>
      </c>
      <c r="O494" s="334">
        <v>23480</v>
      </c>
      <c r="P494" s="338">
        <v>3286</v>
      </c>
      <c r="Q494" s="297">
        <v>41026</v>
      </c>
    </row>
    <row r="495" spans="1:17" ht="12" customHeight="1">
      <c r="A495" s="520">
        <v>492</v>
      </c>
      <c r="B495" s="236"/>
      <c r="C495" s="236"/>
      <c r="D495" s="236"/>
      <c r="E495" s="236"/>
      <c r="F495" s="236"/>
      <c r="G495" s="236"/>
      <c r="H495" s="459" t="s">
        <v>170</v>
      </c>
      <c r="I495" s="339" t="s">
        <v>172</v>
      </c>
      <c r="J495" s="320">
        <v>40816</v>
      </c>
      <c r="K495" s="288" t="s">
        <v>68</v>
      </c>
      <c r="L495" s="312">
        <v>25</v>
      </c>
      <c r="M495" s="382">
        <v>5134</v>
      </c>
      <c r="N495" s="383">
        <v>664</v>
      </c>
      <c r="O495" s="328">
        <f>80510.5+53296+49611.5+29276.5+2781+46429+5648+1635+6908.5+15320.5+732+943+3320+5134</f>
        <v>301545.5</v>
      </c>
      <c r="P495" s="344">
        <f>8978+6079+6067+4144+482+6937+761+224+842+1960+107+134+565+664</f>
        <v>37944</v>
      </c>
      <c r="Q495" s="297">
        <v>40928</v>
      </c>
    </row>
    <row r="496" spans="1:17" ht="12" customHeight="1">
      <c r="A496" s="520">
        <v>493</v>
      </c>
      <c r="B496" s="236"/>
      <c r="C496" s="236"/>
      <c r="D496" s="236"/>
      <c r="E496" s="236"/>
      <c r="F496" s="236"/>
      <c r="G496" s="236"/>
      <c r="H496" s="459" t="s">
        <v>170</v>
      </c>
      <c r="I496" s="339" t="s">
        <v>172</v>
      </c>
      <c r="J496" s="320">
        <v>40816</v>
      </c>
      <c r="K496" s="288" t="s">
        <v>68</v>
      </c>
      <c r="L496" s="312">
        <v>25</v>
      </c>
      <c r="M496" s="382">
        <v>3320</v>
      </c>
      <c r="N496" s="383">
        <v>565</v>
      </c>
      <c r="O496" s="328">
        <f>80510.5+53296+49611.5+29276.5+2781+46429+5648+1635+6908.5+15320.5+732+943+3320</f>
        <v>296411.5</v>
      </c>
      <c r="P496" s="344">
        <f>8978+6079+6067+4144+482+6937+761+224+842+1960+107+134+565</f>
        <v>37280</v>
      </c>
      <c r="Q496" s="297">
        <v>40907</v>
      </c>
    </row>
    <row r="497" spans="1:17" ht="12" customHeight="1">
      <c r="A497" s="520">
        <v>494</v>
      </c>
      <c r="B497" s="236"/>
      <c r="C497" s="236"/>
      <c r="D497" s="236"/>
      <c r="E497" s="236"/>
      <c r="F497" s="236"/>
      <c r="G497" s="236"/>
      <c r="H497" s="366" t="s">
        <v>170</v>
      </c>
      <c r="I497" s="339" t="s">
        <v>172</v>
      </c>
      <c r="J497" s="320">
        <v>40816</v>
      </c>
      <c r="K497" s="288" t="s">
        <v>68</v>
      </c>
      <c r="L497" s="312">
        <v>25</v>
      </c>
      <c r="M497" s="382">
        <v>495</v>
      </c>
      <c r="N497" s="383">
        <v>72</v>
      </c>
      <c r="O497" s="328">
        <f>80510.5+53296+49611.5+29276.5+2781+46429+5648+1635+6908.5+15320.5+732+943+3320+5134+495</f>
        <v>302040.5</v>
      </c>
      <c r="P497" s="344">
        <f>8978+6079+6067+4144+482+6937+761+224+842+1960+107+134+565+664+72</f>
        <v>38016</v>
      </c>
      <c r="Q497" s="297">
        <v>40949</v>
      </c>
    </row>
    <row r="498" spans="1:17" ht="12" customHeight="1">
      <c r="A498" s="520">
        <v>495</v>
      </c>
      <c r="B498" s="236"/>
      <c r="C498" s="236"/>
      <c r="D498" s="236"/>
      <c r="E498" s="236"/>
      <c r="F498" s="236" t="s">
        <v>55</v>
      </c>
      <c r="G498" s="236"/>
      <c r="H498" s="366" t="s">
        <v>310</v>
      </c>
      <c r="I498" s="339" t="s">
        <v>310</v>
      </c>
      <c r="J498" s="320">
        <v>40641</v>
      </c>
      <c r="K498" s="288" t="s">
        <v>68</v>
      </c>
      <c r="L498" s="312">
        <v>137</v>
      </c>
      <c r="M498" s="382">
        <v>7841</v>
      </c>
      <c r="N498" s="383">
        <v>1569</v>
      </c>
      <c r="O498" s="328">
        <f>1093950.25+883807.25+882248.49+232093.5+101981.5+57830.5+19947.5+33359.5+10973.5+10465+4630+3501.5+10659+9758.5+3633+5790+6145.5+1329.5+1868.5+1128+2980.5+1299.5+16988+15449+14138+200+1908+7960+4871+1544.5+1533+891+3175+713+425+224+993+2318+3705+4989.5+1188+831+1188+7841</f>
        <v>3472453.49</v>
      </c>
      <c r="P498" s="344">
        <f>103570+88345+90215+25333+13427+8958+3731+5336+2366+2057+997+691+1831+2140+654+1021+736+207+401+189+424+234+4142+3841+3526+40+471+1991+1218+386+96+56+735+178+84+42+228+1120+1571+1248+238+166+238+1569</f>
        <v>376047</v>
      </c>
      <c r="Q498" s="297">
        <v>41019</v>
      </c>
    </row>
    <row r="499" spans="1:17" ht="12" customHeight="1">
      <c r="A499" s="520">
        <v>496</v>
      </c>
      <c r="B499" s="236"/>
      <c r="C499" s="236"/>
      <c r="D499" s="236"/>
      <c r="E499" s="236"/>
      <c r="F499" s="236" t="s">
        <v>55</v>
      </c>
      <c r="G499" s="236"/>
      <c r="H499" s="459" t="s">
        <v>310</v>
      </c>
      <c r="I499" s="339" t="s">
        <v>310</v>
      </c>
      <c r="J499" s="320">
        <v>40641</v>
      </c>
      <c r="K499" s="288" t="s">
        <v>68</v>
      </c>
      <c r="L499" s="312">
        <v>137</v>
      </c>
      <c r="M499" s="382">
        <v>4989.5</v>
      </c>
      <c r="N499" s="383">
        <v>1248</v>
      </c>
      <c r="O499" s="328">
        <f>1093950.25+883807.25+882248.49+232093.5+101981.5+57830.5+19947.5+33359.5+10973.5+10465+4630+3501.5+10659+9758.5+3633+5790+6145.5+1329.5+1868.5+1128+2980.5+1299.5+16988+15449+14138+200+1908+7960+4871+1544.5+1533+891+3175+713+425+224+993+2318+3705+4989.5</f>
        <v>3461405.49</v>
      </c>
      <c r="P499" s="344">
        <f>103570+88345+90215+25333+13427+8958+3731+5336+2366+2057+997+691+1831+2140+654+1021+736+207+401+189+424+234+4142+3841+3526+40+471+1991+1218+386+96+56+735+178+84+42+228+1120+1571+1248</f>
        <v>373836</v>
      </c>
      <c r="Q499" s="297">
        <v>40928</v>
      </c>
    </row>
    <row r="500" spans="1:17" ht="12" customHeight="1">
      <c r="A500" s="520">
        <v>497</v>
      </c>
      <c r="B500" s="236"/>
      <c r="C500" s="236"/>
      <c r="D500" s="236"/>
      <c r="E500" s="236"/>
      <c r="F500" s="236" t="s">
        <v>55</v>
      </c>
      <c r="G500" s="236"/>
      <c r="H500" s="459" t="s">
        <v>310</v>
      </c>
      <c r="I500" s="339" t="s">
        <v>310</v>
      </c>
      <c r="J500" s="320">
        <v>40641</v>
      </c>
      <c r="K500" s="288" t="s">
        <v>68</v>
      </c>
      <c r="L500" s="312">
        <v>137</v>
      </c>
      <c r="M500" s="382">
        <v>3705</v>
      </c>
      <c r="N500" s="383">
        <v>1571</v>
      </c>
      <c r="O500" s="328">
        <f>1093950.25+883807.25+882248.49+232093.5+101981.5+57830.5+19947.5+33359.5+10973.5+10465+4630+3501.5+10659+9758.5+3633+5790+6145.5+1329.5+1868.5+1128+2980.5+1299.5+16988+15449+14138+200+1908+7960+4871+1544.5+1533+891+3175+713+425+224+993+2318+3705</f>
        <v>3456415.99</v>
      </c>
      <c r="P500" s="344">
        <f>103570+88345+90215+25333+13427+8958+3731+5336+2366+2057+997+691+1831+2140+654+1021+736+207+401+189+424+234+4142+3841+3526+40+471+1991+1218+386+96+56+735+178+84+42+228+1120+1571</f>
        <v>372588</v>
      </c>
      <c r="Q500" s="297">
        <v>40921</v>
      </c>
    </row>
    <row r="501" spans="1:17" ht="12" customHeight="1">
      <c r="A501" s="520">
        <v>498</v>
      </c>
      <c r="B501" s="236"/>
      <c r="C501" s="236"/>
      <c r="D501" s="236"/>
      <c r="E501" s="236"/>
      <c r="F501" s="236" t="s">
        <v>55</v>
      </c>
      <c r="G501" s="236"/>
      <c r="H501" s="459" t="s">
        <v>310</v>
      </c>
      <c r="I501" s="339" t="s">
        <v>310</v>
      </c>
      <c r="J501" s="320">
        <v>40641</v>
      </c>
      <c r="K501" s="288" t="s">
        <v>68</v>
      </c>
      <c r="L501" s="312">
        <v>137</v>
      </c>
      <c r="M501" s="382">
        <v>2318</v>
      </c>
      <c r="N501" s="383">
        <v>1120</v>
      </c>
      <c r="O501" s="328">
        <f>1093950.25+883807.25+882248.49+232093.5+101981.5+57830.5+19947.5+33359.5+10973.5+10465+4630+3501.5+10659+9758.5+3633+5790+6145.5+1329.5+1868.5+1128+2980.5+1299.5+16988+15449+14138+200+1908+7960+4871+1544.5+1533+891+3175+713+425+224+993+2318</f>
        <v>3452710.99</v>
      </c>
      <c r="P501" s="344">
        <f>103570+88345+90215+25333+13427+8958+3731+5336+2366+2057+997+691+1831+2140+654+1021+736+207+401+189+424+234+4142+3841+3526+40+471+1991+1218+386+96+56+735+178+84+42+228+1120</f>
        <v>371017</v>
      </c>
      <c r="Q501" s="297">
        <v>40914</v>
      </c>
    </row>
    <row r="502" spans="1:17" ht="12" customHeight="1">
      <c r="A502" s="520">
        <v>499</v>
      </c>
      <c r="B502" s="236"/>
      <c r="C502" s="236"/>
      <c r="D502" s="236"/>
      <c r="E502" s="236"/>
      <c r="F502" s="236" t="s">
        <v>55</v>
      </c>
      <c r="G502" s="236"/>
      <c r="H502" s="366" t="s">
        <v>310</v>
      </c>
      <c r="I502" s="339" t="s">
        <v>310</v>
      </c>
      <c r="J502" s="320">
        <v>40641</v>
      </c>
      <c r="K502" s="288" t="s">
        <v>68</v>
      </c>
      <c r="L502" s="312">
        <v>137</v>
      </c>
      <c r="M502" s="382">
        <v>1425.5</v>
      </c>
      <c r="N502" s="383">
        <v>285</v>
      </c>
      <c r="O502" s="328">
        <f>1093950.25+883807.25+882248.49+232093.5+101981.5+57830.5+19947.5+33359.5+10973.5+10465+4630+3501.5+10659+9758.5+3633+5790+6145.5+1329.5+1868.5+1128+2980.5+1299.5+16988+15449+14138+200+1908+7960+4871+1544.5+1533+891+3175+713+425+224+993+2318+3705+4989.5+1188+831+1188+7841+1425.5</f>
        <v>3473878.99</v>
      </c>
      <c r="P502" s="344">
        <f>103570+88345+90215+25333+13427+8958+3731+5336+2366+2057+997+691+1831+2140+654+1021+736+207+401+189+424+234+4142+3841+3526+40+471+1991+1218+386+96+56+735+178+84+42+228+1120+1571+1248+238+166+238+1569+285</f>
        <v>376332</v>
      </c>
      <c r="Q502" s="297">
        <v>41033</v>
      </c>
    </row>
    <row r="503" spans="1:17" ht="12" customHeight="1">
      <c r="A503" s="520">
        <v>500</v>
      </c>
      <c r="B503" s="236"/>
      <c r="C503" s="236"/>
      <c r="D503" s="236"/>
      <c r="E503" s="236"/>
      <c r="F503" s="236" t="s">
        <v>55</v>
      </c>
      <c r="G503" s="236"/>
      <c r="H503" s="366" t="s">
        <v>310</v>
      </c>
      <c r="I503" s="339" t="s">
        <v>310</v>
      </c>
      <c r="J503" s="320">
        <v>40641</v>
      </c>
      <c r="K503" s="288" t="s">
        <v>68</v>
      </c>
      <c r="L503" s="312">
        <v>137</v>
      </c>
      <c r="M503" s="470">
        <v>1188</v>
      </c>
      <c r="N503" s="471">
        <v>238</v>
      </c>
      <c r="O503" s="448">
        <f>1093950.25+883807.25+882248.49+232093.5+101981.5+57830.5+19947.5+33359.5+10973.5+10465+4630+3501.5+10659+9758.5+3633+5790+6145.5+1329.5+1868.5+1128+2980.5+1299.5+16988+15449+14138+200+1908+7960+4871+1544.5+1533+891+3175+713+425+224+993+2318+3705+4989.5+1188+831+1188</f>
        <v>3464612.49</v>
      </c>
      <c r="P503" s="449">
        <f>103570+88345+90215+25333+13427+8958+3731+5336+2366+2057+997+691+1831+2140+654+1021+736+207+401+189+424+234+4142+3841+3526+40+471+1991+1218+386+96+56+735+178+84+42+228+1120+1571+1248+238+166+238</f>
        <v>374478</v>
      </c>
      <c r="Q503" s="297">
        <v>40984</v>
      </c>
    </row>
    <row r="504" spans="1:17" ht="12" customHeight="1">
      <c r="A504" s="520">
        <v>501</v>
      </c>
      <c r="B504" s="236"/>
      <c r="C504" s="236"/>
      <c r="D504" s="236"/>
      <c r="E504" s="236"/>
      <c r="F504" s="236" t="s">
        <v>55</v>
      </c>
      <c r="G504" s="236"/>
      <c r="H504" s="366" t="s">
        <v>310</v>
      </c>
      <c r="I504" s="339" t="s">
        <v>310</v>
      </c>
      <c r="J504" s="320">
        <v>40641</v>
      </c>
      <c r="K504" s="288" t="s">
        <v>68</v>
      </c>
      <c r="L504" s="312">
        <v>137</v>
      </c>
      <c r="M504" s="382">
        <v>831</v>
      </c>
      <c r="N504" s="383">
        <v>166</v>
      </c>
      <c r="O504" s="328">
        <f>1093950.25+883807.25+882248.49+232093.5+101981.5+57830.5+19947.5+33359.5+10973.5+10465+4630+3501.5+10659+9758.5+3633+5790+6145.5+1329.5+1868.5+1128+2980.5+1299.5+16988+15449+14138+200+1908+7960+4871+1544.5+1533+891+3175+713+425+224+993+2318+3705+4989.5+1188+831</f>
        <v>3463424.49</v>
      </c>
      <c r="P504" s="344">
        <f>103570+88345+90215+25333+13427+8958+3731+5336+2366+2057+997+691+1831+2140+654+1021+736+207+401+189+424+234+4142+3841+3526+40+471+1991+1218+386+96+56+735+178+84+42+228+1120+1571+1248+238+166</f>
        <v>374240</v>
      </c>
      <c r="Q504" s="297">
        <v>40963</v>
      </c>
    </row>
    <row r="505" spans="1:17" ht="12" customHeight="1">
      <c r="A505" s="520">
        <v>502</v>
      </c>
      <c r="B505" s="236" t="s">
        <v>193</v>
      </c>
      <c r="C505" s="236"/>
      <c r="D505" s="236">
        <v>2</v>
      </c>
      <c r="E505" s="236"/>
      <c r="F505" s="236"/>
      <c r="G505" s="236"/>
      <c r="H505" s="366" t="s">
        <v>552</v>
      </c>
      <c r="I505" s="339" t="s">
        <v>557</v>
      </c>
      <c r="J505" s="320">
        <v>40760</v>
      </c>
      <c r="K505" s="288" t="s">
        <v>68</v>
      </c>
      <c r="L505" s="312">
        <v>101</v>
      </c>
      <c r="M505" s="382">
        <v>1782</v>
      </c>
      <c r="N505" s="383">
        <v>356</v>
      </c>
      <c r="O505" s="328">
        <f>1123387+667871.5+450599+390225.5+158633+89754+30860+15969.5+11575.5+6763.5+3494.5+5145+1782+1782+950.5+4039+1425.5+1782</f>
        <v>2966039</v>
      </c>
      <c r="P505" s="344">
        <f>108166+64485+43907+41233+19918+12468+4923+2605+2337+1591+622+1207+446+446+238+1009+356+356</f>
        <v>306313</v>
      </c>
      <c r="Q505" s="297">
        <v>40956</v>
      </c>
    </row>
    <row r="506" spans="1:17" ht="12" customHeight="1">
      <c r="A506" s="520">
        <v>503</v>
      </c>
      <c r="B506" s="236"/>
      <c r="C506" s="236"/>
      <c r="D506" s="236"/>
      <c r="E506" s="236"/>
      <c r="F506" s="236"/>
      <c r="G506" s="236" t="s">
        <v>54</v>
      </c>
      <c r="H506" s="459" t="s">
        <v>312</v>
      </c>
      <c r="I506" s="339" t="s">
        <v>312</v>
      </c>
      <c r="J506" s="320">
        <v>40795</v>
      </c>
      <c r="K506" s="288" t="s">
        <v>68</v>
      </c>
      <c r="L506" s="312">
        <v>3</v>
      </c>
      <c r="M506" s="382">
        <v>1782</v>
      </c>
      <c r="N506" s="383">
        <v>446</v>
      </c>
      <c r="O506" s="328">
        <f>4125+2511+398+1048+854+482+594+1782</f>
        <v>11794</v>
      </c>
      <c r="P506" s="344">
        <f>422+287+52+100+134+61+149+446</f>
        <v>1651</v>
      </c>
      <c r="Q506" s="297">
        <v>40914</v>
      </c>
    </row>
    <row r="507" spans="1:17" ht="12" customHeight="1">
      <c r="A507" s="520">
        <v>504</v>
      </c>
      <c r="B507" s="236"/>
      <c r="C507" s="236"/>
      <c r="D507" s="236"/>
      <c r="E507" s="236"/>
      <c r="F507" s="236"/>
      <c r="G507" s="236" t="s">
        <v>54</v>
      </c>
      <c r="H507" s="366" t="s">
        <v>312</v>
      </c>
      <c r="I507" s="339" t="s">
        <v>312</v>
      </c>
      <c r="J507" s="320">
        <v>40795</v>
      </c>
      <c r="K507" s="288" t="s">
        <v>68</v>
      </c>
      <c r="L507" s="312">
        <v>3</v>
      </c>
      <c r="M507" s="382">
        <v>1188</v>
      </c>
      <c r="N507" s="383">
        <v>238</v>
      </c>
      <c r="O507" s="328">
        <f>4125+2511+398+1048+854+482+594+1782+713+950.5+1188</f>
        <v>14645.5</v>
      </c>
      <c r="P507" s="344">
        <f>422+287+52+100+134+61+149+446+143+190+238</f>
        <v>2222</v>
      </c>
      <c r="Q507" s="297">
        <v>40991</v>
      </c>
    </row>
    <row r="508" spans="1:17" ht="12" customHeight="1">
      <c r="A508" s="520">
        <v>505</v>
      </c>
      <c r="B508" s="236"/>
      <c r="C508" s="236"/>
      <c r="D508" s="236"/>
      <c r="E508" s="236"/>
      <c r="F508" s="236"/>
      <c r="G508" s="236" t="s">
        <v>54</v>
      </c>
      <c r="H508" s="366" t="s">
        <v>312</v>
      </c>
      <c r="I508" s="339" t="s">
        <v>312</v>
      </c>
      <c r="J508" s="320">
        <v>40795</v>
      </c>
      <c r="K508" s="288" t="s">
        <v>68</v>
      </c>
      <c r="L508" s="312">
        <v>3</v>
      </c>
      <c r="M508" s="382">
        <v>1188</v>
      </c>
      <c r="N508" s="383">
        <v>238</v>
      </c>
      <c r="O508" s="328">
        <f>4125+2511+398+1048+854+482+594+1782+713+950.5+1188+1188</f>
        <v>15833.5</v>
      </c>
      <c r="P508" s="344">
        <f>422+287+52+100+134+61+149+446+143+190+238+238</f>
        <v>2460</v>
      </c>
      <c r="Q508" s="297">
        <v>41005</v>
      </c>
    </row>
    <row r="509" spans="1:17" ht="12" customHeight="1">
      <c r="A509" s="520">
        <v>506</v>
      </c>
      <c r="B509" s="236"/>
      <c r="C509" s="236"/>
      <c r="D509" s="236"/>
      <c r="E509" s="236"/>
      <c r="F509" s="236"/>
      <c r="G509" s="236" t="s">
        <v>54</v>
      </c>
      <c r="H509" s="366" t="s">
        <v>312</v>
      </c>
      <c r="I509" s="312" t="s">
        <v>90</v>
      </c>
      <c r="J509" s="370">
        <v>40795</v>
      </c>
      <c r="K509" s="288" t="s">
        <v>68</v>
      </c>
      <c r="L509" s="312">
        <v>3</v>
      </c>
      <c r="M509" s="468">
        <v>1188</v>
      </c>
      <c r="N509" s="469">
        <v>238</v>
      </c>
      <c r="O509" s="317">
        <f>4125+2511+398+1048+854+482+594+1782+713+950.5+1188+1188+1188</f>
        <v>17021.5</v>
      </c>
      <c r="P509" s="368">
        <f>422+287+52+100+134+61+149+446+143+190+238+238+238</f>
        <v>2698</v>
      </c>
      <c r="Q509" s="297">
        <v>41026</v>
      </c>
    </row>
    <row r="510" spans="1:17" ht="12" customHeight="1">
      <c r="A510" s="520">
        <v>507</v>
      </c>
      <c r="B510" s="236"/>
      <c r="C510" s="236"/>
      <c r="D510" s="236"/>
      <c r="E510" s="236"/>
      <c r="F510" s="236"/>
      <c r="G510" s="236" t="s">
        <v>54</v>
      </c>
      <c r="H510" s="366" t="s">
        <v>312</v>
      </c>
      <c r="I510" s="339" t="s">
        <v>312</v>
      </c>
      <c r="J510" s="320">
        <v>40795</v>
      </c>
      <c r="K510" s="288" t="s">
        <v>68</v>
      </c>
      <c r="L510" s="312">
        <v>3</v>
      </c>
      <c r="M510" s="382">
        <v>1188</v>
      </c>
      <c r="N510" s="383">
        <v>238</v>
      </c>
      <c r="O510" s="328">
        <f>4125+2511+398+1048+854+482+594+1782+713+950.5+1188+1188+1188+1188</f>
        <v>18209.5</v>
      </c>
      <c r="P510" s="344">
        <f>422+287+52+100+134+61+149+446+143+190+238+238+238+238</f>
        <v>2936</v>
      </c>
      <c r="Q510" s="297">
        <v>41033</v>
      </c>
    </row>
    <row r="511" spans="1:17" ht="12" customHeight="1">
      <c r="A511" s="520">
        <v>508</v>
      </c>
      <c r="B511" s="236"/>
      <c r="C511" s="236"/>
      <c r="D511" s="236"/>
      <c r="E511" s="236"/>
      <c r="F511" s="236"/>
      <c r="G511" s="236" t="s">
        <v>54</v>
      </c>
      <c r="H511" s="366" t="s">
        <v>312</v>
      </c>
      <c r="I511" s="339" t="s">
        <v>312</v>
      </c>
      <c r="J511" s="320">
        <v>40795</v>
      </c>
      <c r="K511" s="288" t="s">
        <v>68</v>
      </c>
      <c r="L511" s="312">
        <v>3</v>
      </c>
      <c r="M511" s="382">
        <v>950.5</v>
      </c>
      <c r="N511" s="383">
        <v>190</v>
      </c>
      <c r="O511" s="328">
        <f>4125+2511+398+1048+854+482+594+1782+713+950.5</f>
        <v>13457.5</v>
      </c>
      <c r="P511" s="344">
        <f>422+287+52+100+134+61+149+446+143+190</f>
        <v>1984</v>
      </c>
      <c r="Q511" s="297">
        <v>40977</v>
      </c>
    </row>
    <row r="512" spans="1:17" ht="12" customHeight="1">
      <c r="A512" s="520">
        <v>509</v>
      </c>
      <c r="B512" s="236"/>
      <c r="C512" s="236"/>
      <c r="D512" s="236"/>
      <c r="E512" s="236"/>
      <c r="F512" s="236"/>
      <c r="G512" s="236" t="s">
        <v>54</v>
      </c>
      <c r="H512" s="366" t="s">
        <v>312</v>
      </c>
      <c r="I512" s="339" t="s">
        <v>312</v>
      </c>
      <c r="J512" s="320">
        <v>40795</v>
      </c>
      <c r="K512" s="288" t="s">
        <v>68</v>
      </c>
      <c r="L512" s="312">
        <v>3</v>
      </c>
      <c r="M512" s="382">
        <v>713</v>
      </c>
      <c r="N512" s="383">
        <v>143</v>
      </c>
      <c r="O512" s="328">
        <f>4125+2511+398+1048+854+482+594+1782+713</f>
        <v>12507</v>
      </c>
      <c r="P512" s="344">
        <f>422+287+52+100+134+61+149+446+143</f>
        <v>1794</v>
      </c>
      <c r="Q512" s="297">
        <v>40949</v>
      </c>
    </row>
    <row r="513" spans="1:17" ht="12" customHeight="1">
      <c r="A513" s="520">
        <v>510</v>
      </c>
      <c r="B513" s="236"/>
      <c r="C513" s="236"/>
      <c r="D513" s="236"/>
      <c r="E513" s="236"/>
      <c r="F513" s="236"/>
      <c r="G513" s="236" t="s">
        <v>54</v>
      </c>
      <c r="H513" s="366" t="s">
        <v>591</v>
      </c>
      <c r="I513" s="339" t="s">
        <v>591</v>
      </c>
      <c r="J513" s="320">
        <v>40613</v>
      </c>
      <c r="K513" s="288" t="s">
        <v>68</v>
      </c>
      <c r="L513" s="312">
        <v>25</v>
      </c>
      <c r="M513" s="382">
        <v>1632</v>
      </c>
      <c r="N513" s="383">
        <v>204</v>
      </c>
      <c r="O513" s="328">
        <f>75934+53479.5+29060+17465+26762+20460.5+20847+12710+19039+8622+2147+3636+459+653+4560+770+4752+402+297+502+464+1127+1384+88+276+1188+1632</f>
        <v>308716</v>
      </c>
      <c r="P513" s="344">
        <f>9554+7103+4053+2490+4055+3124+3295+2389+2957+1767+459+626+92+107+609+124+1188+40+48+86+74+161+193+16+46+297+204</f>
        <v>45157</v>
      </c>
      <c r="Q513" s="297">
        <v>40970</v>
      </c>
    </row>
    <row r="514" spans="1:17" ht="12" customHeight="1">
      <c r="A514" s="520">
        <v>511</v>
      </c>
      <c r="B514" s="236"/>
      <c r="C514" s="236"/>
      <c r="D514" s="236"/>
      <c r="E514" s="236"/>
      <c r="F514" s="236"/>
      <c r="G514" s="236"/>
      <c r="H514" s="460" t="s">
        <v>102</v>
      </c>
      <c r="I514" s="341" t="s">
        <v>103</v>
      </c>
      <c r="J514" s="320">
        <v>40879</v>
      </c>
      <c r="K514" s="288" t="s">
        <v>12</v>
      </c>
      <c r="L514" s="312">
        <v>38</v>
      </c>
      <c r="M514" s="378">
        <v>10036</v>
      </c>
      <c r="N514" s="379">
        <v>1553</v>
      </c>
      <c r="O514" s="334">
        <v>481544</v>
      </c>
      <c r="P514" s="338">
        <v>44903</v>
      </c>
      <c r="Q514" s="297">
        <v>40914</v>
      </c>
    </row>
    <row r="515" spans="1:17" ht="12" customHeight="1">
      <c r="A515" s="520">
        <v>512</v>
      </c>
      <c r="B515" s="236"/>
      <c r="C515" s="236"/>
      <c r="D515" s="236"/>
      <c r="E515" s="236"/>
      <c r="F515" s="236"/>
      <c r="G515" s="236"/>
      <c r="H515" s="460" t="s">
        <v>102</v>
      </c>
      <c r="I515" s="341" t="s">
        <v>103</v>
      </c>
      <c r="J515" s="320">
        <v>40879</v>
      </c>
      <c r="K515" s="288" t="s">
        <v>12</v>
      </c>
      <c r="L515" s="312">
        <v>38</v>
      </c>
      <c r="M515" s="378">
        <v>10036</v>
      </c>
      <c r="N515" s="379">
        <v>1553</v>
      </c>
      <c r="O515" s="334">
        <v>481544</v>
      </c>
      <c r="P515" s="338">
        <v>44903</v>
      </c>
      <c r="Q515" s="297">
        <v>40907</v>
      </c>
    </row>
    <row r="516" spans="1:17" ht="12" customHeight="1">
      <c r="A516" s="520">
        <v>513</v>
      </c>
      <c r="B516" s="236"/>
      <c r="C516" s="236"/>
      <c r="D516" s="236"/>
      <c r="E516" s="236"/>
      <c r="F516" s="236"/>
      <c r="G516" s="236"/>
      <c r="H516" s="460" t="s">
        <v>102</v>
      </c>
      <c r="I516" s="341" t="s">
        <v>103</v>
      </c>
      <c r="J516" s="320">
        <v>40879</v>
      </c>
      <c r="K516" s="288" t="s">
        <v>12</v>
      </c>
      <c r="L516" s="312">
        <v>38</v>
      </c>
      <c r="M516" s="378">
        <v>3119</v>
      </c>
      <c r="N516" s="379">
        <v>502</v>
      </c>
      <c r="O516" s="334">
        <v>491017</v>
      </c>
      <c r="P516" s="338">
        <v>46303</v>
      </c>
      <c r="Q516" s="297">
        <v>40921</v>
      </c>
    </row>
    <row r="517" spans="1:17" ht="12" customHeight="1">
      <c r="A517" s="520">
        <v>514</v>
      </c>
      <c r="B517" s="236"/>
      <c r="C517" s="236"/>
      <c r="D517" s="236"/>
      <c r="E517" s="236"/>
      <c r="F517" s="236"/>
      <c r="G517" s="236"/>
      <c r="H517" s="362" t="s">
        <v>102</v>
      </c>
      <c r="I517" s="341" t="s">
        <v>103</v>
      </c>
      <c r="J517" s="320">
        <v>40879</v>
      </c>
      <c r="K517" s="288" t="s">
        <v>12</v>
      </c>
      <c r="L517" s="312">
        <v>38</v>
      </c>
      <c r="M517" s="378">
        <v>2509</v>
      </c>
      <c r="N517" s="379">
        <v>332</v>
      </c>
      <c r="O517" s="334">
        <v>495830</v>
      </c>
      <c r="P517" s="338">
        <v>47001</v>
      </c>
      <c r="Q517" s="297">
        <v>40949</v>
      </c>
    </row>
    <row r="518" spans="1:17" ht="12" customHeight="1">
      <c r="A518" s="520">
        <v>515</v>
      </c>
      <c r="B518" s="236"/>
      <c r="C518" s="236"/>
      <c r="D518" s="236"/>
      <c r="E518" s="236"/>
      <c r="F518" s="236"/>
      <c r="G518" s="236"/>
      <c r="H518" s="460" t="s">
        <v>102</v>
      </c>
      <c r="I518" s="341" t="s">
        <v>103</v>
      </c>
      <c r="J518" s="320">
        <v>40879</v>
      </c>
      <c r="K518" s="288" t="s">
        <v>12</v>
      </c>
      <c r="L518" s="312">
        <v>38</v>
      </c>
      <c r="M518" s="378">
        <v>2304</v>
      </c>
      <c r="N518" s="379">
        <v>366</v>
      </c>
      <c r="O518" s="334">
        <v>493321</v>
      </c>
      <c r="P518" s="338">
        <v>46669</v>
      </c>
      <c r="Q518" s="297">
        <v>40928</v>
      </c>
    </row>
    <row r="519" spans="1:17" ht="12" customHeight="1">
      <c r="A519" s="520">
        <v>516</v>
      </c>
      <c r="B519" s="236"/>
      <c r="C519" s="236">
        <v>3</v>
      </c>
      <c r="D519" s="236"/>
      <c r="E519" s="236"/>
      <c r="F519" s="236"/>
      <c r="G519" s="236"/>
      <c r="H519" s="461" t="s">
        <v>136</v>
      </c>
      <c r="I519" s="288" t="s">
        <v>142</v>
      </c>
      <c r="J519" s="320">
        <v>40900</v>
      </c>
      <c r="K519" s="288" t="s">
        <v>52</v>
      </c>
      <c r="L519" s="331">
        <v>69</v>
      </c>
      <c r="M519" s="474">
        <v>100865</v>
      </c>
      <c r="N519" s="475">
        <v>10455</v>
      </c>
      <c r="O519" s="330">
        <f>247246+100865</f>
        <v>348111</v>
      </c>
      <c r="P519" s="338">
        <f>24388+10455</f>
        <v>34843</v>
      </c>
      <c r="Q519" s="297">
        <v>40907</v>
      </c>
    </row>
    <row r="520" spans="1:17" ht="12" customHeight="1">
      <c r="A520" s="520">
        <v>517</v>
      </c>
      <c r="B520" s="236"/>
      <c r="C520" s="236">
        <v>3</v>
      </c>
      <c r="D520" s="236"/>
      <c r="E520" s="236"/>
      <c r="F520" s="236"/>
      <c r="G520" s="236"/>
      <c r="H520" s="461" t="s">
        <v>136</v>
      </c>
      <c r="I520" s="288" t="s">
        <v>142</v>
      </c>
      <c r="J520" s="320">
        <v>40900</v>
      </c>
      <c r="K520" s="288" t="s">
        <v>52</v>
      </c>
      <c r="L520" s="331">
        <v>69</v>
      </c>
      <c r="M520" s="474">
        <v>4174</v>
      </c>
      <c r="N520" s="475">
        <v>350</v>
      </c>
      <c r="O520" s="330">
        <f>247246+100865+4174</f>
        <v>352285</v>
      </c>
      <c r="P520" s="338">
        <f>24388+10455+350</f>
        <v>35193</v>
      </c>
      <c r="Q520" s="297">
        <v>40914</v>
      </c>
    </row>
    <row r="521" spans="1:17" ht="12" customHeight="1">
      <c r="A521" s="520">
        <v>518</v>
      </c>
      <c r="B521" s="236"/>
      <c r="C521" s="236">
        <v>3</v>
      </c>
      <c r="D521" s="236"/>
      <c r="E521" s="236"/>
      <c r="F521" s="236"/>
      <c r="G521" s="236"/>
      <c r="H521" s="461" t="s">
        <v>136</v>
      </c>
      <c r="I521" s="288" t="s">
        <v>142</v>
      </c>
      <c r="J521" s="320">
        <v>40900</v>
      </c>
      <c r="K521" s="288" t="s">
        <v>52</v>
      </c>
      <c r="L521" s="331">
        <v>69</v>
      </c>
      <c r="M521" s="476">
        <v>1569</v>
      </c>
      <c r="N521" s="477">
        <v>207</v>
      </c>
      <c r="O521" s="453">
        <f>247246+100865+4174+1569</f>
        <v>353854</v>
      </c>
      <c r="P521" s="338">
        <f>24388+10455+350+207</f>
        <v>35400</v>
      </c>
      <c r="Q521" s="297">
        <v>40921</v>
      </c>
    </row>
    <row r="522" spans="1:17" ht="12" customHeight="1">
      <c r="A522" s="520">
        <v>519</v>
      </c>
      <c r="B522" s="236"/>
      <c r="C522" s="236">
        <v>3</v>
      </c>
      <c r="D522" s="236"/>
      <c r="E522" s="236"/>
      <c r="F522" s="236"/>
      <c r="G522" s="236"/>
      <c r="H522" s="363" t="s">
        <v>136</v>
      </c>
      <c r="I522" s="288" t="s">
        <v>142</v>
      </c>
      <c r="J522" s="320">
        <v>40900</v>
      </c>
      <c r="K522" s="288" t="s">
        <v>52</v>
      </c>
      <c r="L522" s="331">
        <v>69</v>
      </c>
      <c r="M522" s="382">
        <v>1480</v>
      </c>
      <c r="N522" s="383">
        <v>151</v>
      </c>
      <c r="O522" s="328">
        <f>247246+100865+4174+1569+1480</f>
        <v>355334</v>
      </c>
      <c r="P522" s="344">
        <f>24388+10455+350+207+151</f>
        <v>35551</v>
      </c>
      <c r="Q522" s="297">
        <v>40963</v>
      </c>
    </row>
    <row r="523" spans="1:17" ht="12" customHeight="1">
      <c r="A523" s="520">
        <v>520</v>
      </c>
      <c r="B523" s="236"/>
      <c r="C523" s="236"/>
      <c r="D523" s="236"/>
      <c r="E523" s="236" t="s">
        <v>250</v>
      </c>
      <c r="F523" s="294"/>
      <c r="G523" s="293"/>
      <c r="H523" s="464" t="s">
        <v>191</v>
      </c>
      <c r="I523" s="288" t="s">
        <v>135</v>
      </c>
      <c r="J523" s="297">
        <v>40893</v>
      </c>
      <c r="K523" s="288" t="s">
        <v>10</v>
      </c>
      <c r="L523" s="312">
        <v>133</v>
      </c>
      <c r="M523" s="382">
        <v>916701</v>
      </c>
      <c r="N523" s="383">
        <v>91574</v>
      </c>
      <c r="O523" s="328">
        <v>5181376</v>
      </c>
      <c r="P523" s="344">
        <v>509965</v>
      </c>
      <c r="Q523" s="297">
        <v>40907</v>
      </c>
    </row>
    <row r="524" spans="1:17" ht="12" customHeight="1">
      <c r="A524" s="520">
        <v>521</v>
      </c>
      <c r="B524" s="236"/>
      <c r="C524" s="236"/>
      <c r="D524" s="236"/>
      <c r="E524" s="236" t="s">
        <v>250</v>
      </c>
      <c r="F524" s="294"/>
      <c r="G524" s="293"/>
      <c r="H524" s="460" t="s">
        <v>191</v>
      </c>
      <c r="I524" s="288" t="s">
        <v>135</v>
      </c>
      <c r="J524" s="297">
        <v>40893</v>
      </c>
      <c r="K524" s="288" t="s">
        <v>10</v>
      </c>
      <c r="L524" s="312">
        <v>133</v>
      </c>
      <c r="M524" s="382">
        <f>765772+1082</f>
        <v>766854</v>
      </c>
      <c r="N524" s="383">
        <f>73798+89</f>
        <v>73887</v>
      </c>
      <c r="O524" s="328">
        <f>5181376+765772+1082</f>
        <v>5948230</v>
      </c>
      <c r="P524" s="344">
        <f>509965+73798+89</f>
        <v>583852</v>
      </c>
      <c r="Q524" s="297">
        <v>40914</v>
      </c>
    </row>
    <row r="525" spans="1:17" ht="12" customHeight="1">
      <c r="A525" s="520">
        <v>522</v>
      </c>
      <c r="B525" s="236"/>
      <c r="C525" s="236"/>
      <c r="D525" s="236"/>
      <c r="E525" s="236" t="s">
        <v>250</v>
      </c>
      <c r="F525" s="294"/>
      <c r="G525" s="293"/>
      <c r="H525" s="460" t="s">
        <v>191</v>
      </c>
      <c r="I525" s="288" t="s">
        <v>135</v>
      </c>
      <c r="J525" s="297">
        <v>40893</v>
      </c>
      <c r="K525" s="288" t="s">
        <v>10</v>
      </c>
      <c r="L525" s="312">
        <v>133</v>
      </c>
      <c r="M525" s="382">
        <v>564431</v>
      </c>
      <c r="N525" s="383">
        <v>57561</v>
      </c>
      <c r="O525" s="328">
        <v>6512661</v>
      </c>
      <c r="P525" s="344">
        <v>641413</v>
      </c>
      <c r="Q525" s="297">
        <v>40921</v>
      </c>
    </row>
    <row r="526" spans="1:17" ht="12" customHeight="1">
      <c r="A526" s="520">
        <v>523</v>
      </c>
      <c r="B526" s="236"/>
      <c r="C526" s="236"/>
      <c r="D526" s="236"/>
      <c r="E526" s="236" t="s">
        <v>250</v>
      </c>
      <c r="F526" s="294"/>
      <c r="G526" s="293"/>
      <c r="H526" s="460" t="s">
        <v>191</v>
      </c>
      <c r="I526" s="288" t="s">
        <v>135</v>
      </c>
      <c r="J526" s="297">
        <v>40893</v>
      </c>
      <c r="K526" s="288" t="s">
        <v>10</v>
      </c>
      <c r="L526" s="312">
        <v>133</v>
      </c>
      <c r="M526" s="382">
        <v>474772</v>
      </c>
      <c r="N526" s="383">
        <v>47798</v>
      </c>
      <c r="O526" s="328">
        <v>6987433</v>
      </c>
      <c r="P526" s="344">
        <v>689211</v>
      </c>
      <c r="Q526" s="297">
        <v>40928</v>
      </c>
    </row>
    <row r="527" spans="1:17" ht="12" customHeight="1">
      <c r="A527" s="520">
        <v>524</v>
      </c>
      <c r="B527" s="236"/>
      <c r="C527" s="236"/>
      <c r="D527" s="236"/>
      <c r="E527" s="236" t="s">
        <v>250</v>
      </c>
      <c r="F527" s="294"/>
      <c r="G527" s="293"/>
      <c r="H527" s="460" t="s">
        <v>191</v>
      </c>
      <c r="I527" s="288" t="s">
        <v>135</v>
      </c>
      <c r="J527" s="297">
        <v>40893</v>
      </c>
      <c r="K527" s="288" t="s">
        <v>10</v>
      </c>
      <c r="L527" s="312">
        <v>133</v>
      </c>
      <c r="M527" s="382">
        <v>145930</v>
      </c>
      <c r="N527" s="383">
        <v>14703</v>
      </c>
      <c r="O527" s="328">
        <v>7133363</v>
      </c>
      <c r="P527" s="344">
        <v>703914</v>
      </c>
      <c r="Q527" s="297">
        <v>40935</v>
      </c>
    </row>
    <row r="528" spans="1:17" ht="12" customHeight="1">
      <c r="A528" s="520">
        <v>525</v>
      </c>
      <c r="B528" s="236"/>
      <c r="C528" s="236"/>
      <c r="D528" s="236"/>
      <c r="E528" s="236" t="s">
        <v>250</v>
      </c>
      <c r="F528" s="294"/>
      <c r="G528" s="293"/>
      <c r="H528" s="460" t="s">
        <v>191</v>
      </c>
      <c r="I528" s="288" t="s">
        <v>135</v>
      </c>
      <c r="J528" s="297">
        <v>40893</v>
      </c>
      <c r="K528" s="288" t="s">
        <v>10</v>
      </c>
      <c r="L528" s="312">
        <v>133</v>
      </c>
      <c r="M528" s="382">
        <v>49746</v>
      </c>
      <c r="N528" s="383">
        <v>4961</v>
      </c>
      <c r="O528" s="328">
        <v>7183109</v>
      </c>
      <c r="P528" s="344">
        <v>708875</v>
      </c>
      <c r="Q528" s="297">
        <v>40942</v>
      </c>
    </row>
    <row r="529" spans="1:17" ht="12" customHeight="1">
      <c r="A529" s="520">
        <v>526</v>
      </c>
      <c r="B529" s="236"/>
      <c r="C529" s="236"/>
      <c r="D529" s="236"/>
      <c r="E529" s="236" t="s">
        <v>250</v>
      </c>
      <c r="F529" s="294"/>
      <c r="G529" s="293"/>
      <c r="H529" s="362" t="s">
        <v>191</v>
      </c>
      <c r="I529" s="288" t="s">
        <v>135</v>
      </c>
      <c r="J529" s="297">
        <v>40893</v>
      </c>
      <c r="K529" s="288" t="s">
        <v>10</v>
      </c>
      <c r="L529" s="312">
        <v>133</v>
      </c>
      <c r="M529" s="382">
        <v>22843</v>
      </c>
      <c r="N529" s="383">
        <v>2889</v>
      </c>
      <c r="O529" s="328">
        <v>7205952</v>
      </c>
      <c r="P529" s="344">
        <v>711764</v>
      </c>
      <c r="Q529" s="297">
        <v>40949</v>
      </c>
    </row>
    <row r="530" spans="1:17" ht="12" customHeight="1">
      <c r="A530" s="520">
        <v>527</v>
      </c>
      <c r="B530" s="236"/>
      <c r="C530" s="236"/>
      <c r="D530" s="236"/>
      <c r="E530" s="236" t="s">
        <v>250</v>
      </c>
      <c r="F530" s="294"/>
      <c r="G530" s="293"/>
      <c r="H530" s="362" t="s">
        <v>191</v>
      </c>
      <c r="I530" s="288" t="s">
        <v>135</v>
      </c>
      <c r="J530" s="297">
        <v>40893</v>
      </c>
      <c r="K530" s="288" t="s">
        <v>10</v>
      </c>
      <c r="L530" s="312">
        <v>133</v>
      </c>
      <c r="M530" s="382">
        <v>4932</v>
      </c>
      <c r="N530" s="383">
        <v>721</v>
      </c>
      <c r="O530" s="328">
        <v>7215300</v>
      </c>
      <c r="P530" s="344">
        <v>713745</v>
      </c>
      <c r="Q530" s="297">
        <v>40963</v>
      </c>
    </row>
    <row r="531" spans="1:17" ht="12" customHeight="1">
      <c r="A531" s="520">
        <v>528</v>
      </c>
      <c r="B531" s="236"/>
      <c r="C531" s="236"/>
      <c r="D531" s="236"/>
      <c r="E531" s="236" t="s">
        <v>250</v>
      </c>
      <c r="F531" s="294"/>
      <c r="G531" s="293"/>
      <c r="H531" s="362" t="s">
        <v>191</v>
      </c>
      <c r="I531" s="288" t="s">
        <v>135</v>
      </c>
      <c r="J531" s="297">
        <v>40893</v>
      </c>
      <c r="K531" s="288" t="s">
        <v>10</v>
      </c>
      <c r="L531" s="312">
        <v>133</v>
      </c>
      <c r="M531" s="382">
        <v>4416</v>
      </c>
      <c r="N531" s="383">
        <v>1260</v>
      </c>
      <c r="O531" s="328">
        <v>7210368</v>
      </c>
      <c r="P531" s="344">
        <v>713024</v>
      </c>
      <c r="Q531" s="297">
        <v>40956</v>
      </c>
    </row>
    <row r="532" spans="1:17" ht="12" customHeight="1">
      <c r="A532" s="520">
        <v>529</v>
      </c>
      <c r="B532" s="236"/>
      <c r="C532" s="236"/>
      <c r="D532" s="236"/>
      <c r="E532" s="236" t="s">
        <v>250</v>
      </c>
      <c r="F532" s="294"/>
      <c r="G532" s="293"/>
      <c r="H532" s="362" t="s">
        <v>191</v>
      </c>
      <c r="I532" s="288" t="s">
        <v>135</v>
      </c>
      <c r="J532" s="369">
        <v>40893</v>
      </c>
      <c r="K532" s="288" t="s">
        <v>10</v>
      </c>
      <c r="L532" s="312">
        <v>133</v>
      </c>
      <c r="M532" s="382">
        <v>1785</v>
      </c>
      <c r="N532" s="383">
        <v>446</v>
      </c>
      <c r="O532" s="328">
        <v>7221451</v>
      </c>
      <c r="P532" s="344">
        <v>715115</v>
      </c>
      <c r="Q532" s="297">
        <v>41040</v>
      </c>
    </row>
    <row r="533" spans="1:17" ht="12" customHeight="1">
      <c r="A533" s="520">
        <v>530</v>
      </c>
      <c r="B533" s="236"/>
      <c r="C533" s="236"/>
      <c r="D533" s="236"/>
      <c r="E533" s="236" t="s">
        <v>250</v>
      </c>
      <c r="F533" s="294"/>
      <c r="G533" s="293"/>
      <c r="H533" s="362" t="s">
        <v>191</v>
      </c>
      <c r="I533" s="288" t="s">
        <v>135</v>
      </c>
      <c r="J533" s="297">
        <v>40893</v>
      </c>
      <c r="K533" s="288" t="s">
        <v>10</v>
      </c>
      <c r="L533" s="312">
        <v>133</v>
      </c>
      <c r="M533" s="380">
        <v>1785</v>
      </c>
      <c r="N533" s="381">
        <v>357</v>
      </c>
      <c r="O533" s="342">
        <v>7217881</v>
      </c>
      <c r="P533" s="343">
        <v>714312</v>
      </c>
      <c r="Q533" s="297">
        <v>41005</v>
      </c>
    </row>
    <row r="534" spans="1:17" ht="12" customHeight="1">
      <c r="A534" s="520">
        <v>531</v>
      </c>
      <c r="B534" s="236"/>
      <c r="C534" s="236"/>
      <c r="D534" s="236"/>
      <c r="E534" s="236" t="s">
        <v>250</v>
      </c>
      <c r="F534" s="294"/>
      <c r="G534" s="293"/>
      <c r="H534" s="362" t="s">
        <v>191</v>
      </c>
      <c r="I534" s="288" t="s">
        <v>705</v>
      </c>
      <c r="J534" s="369">
        <v>40893</v>
      </c>
      <c r="K534" s="288" t="s">
        <v>10</v>
      </c>
      <c r="L534" s="312">
        <v>133</v>
      </c>
      <c r="M534" s="382">
        <v>1785</v>
      </c>
      <c r="N534" s="383">
        <v>357</v>
      </c>
      <c r="O534" s="328">
        <v>7219666</v>
      </c>
      <c r="P534" s="344">
        <v>714669</v>
      </c>
      <c r="Q534" s="297">
        <v>41026</v>
      </c>
    </row>
    <row r="535" spans="1:17" ht="12" customHeight="1">
      <c r="A535" s="520">
        <v>532</v>
      </c>
      <c r="B535" s="236"/>
      <c r="C535" s="236"/>
      <c r="D535" s="236"/>
      <c r="E535" s="236" t="s">
        <v>250</v>
      </c>
      <c r="F535" s="294"/>
      <c r="G535" s="293"/>
      <c r="H535" s="362" t="s">
        <v>191</v>
      </c>
      <c r="I535" s="288" t="s">
        <v>135</v>
      </c>
      <c r="J535" s="297">
        <v>40893</v>
      </c>
      <c r="K535" s="288" t="s">
        <v>10</v>
      </c>
      <c r="L535" s="312">
        <v>133</v>
      </c>
      <c r="M535" s="382">
        <v>796</v>
      </c>
      <c r="N535" s="383">
        <v>210</v>
      </c>
      <c r="O535" s="328">
        <v>7216096</v>
      </c>
      <c r="P535" s="344">
        <v>713955</v>
      </c>
      <c r="Q535" s="297">
        <v>40977</v>
      </c>
    </row>
    <row r="536" spans="1:17" ht="12" customHeight="1">
      <c r="A536" s="520">
        <v>533</v>
      </c>
      <c r="B536" s="236"/>
      <c r="C536" s="236"/>
      <c r="D536" s="293"/>
      <c r="E536" s="236"/>
      <c r="F536" s="236"/>
      <c r="G536" s="236"/>
      <c r="H536" s="366" t="s">
        <v>394</v>
      </c>
      <c r="I536" s="339" t="s">
        <v>400</v>
      </c>
      <c r="J536" s="320">
        <v>40753</v>
      </c>
      <c r="K536" s="288" t="s">
        <v>68</v>
      </c>
      <c r="L536" s="312">
        <v>13</v>
      </c>
      <c r="M536" s="382">
        <v>3801.5</v>
      </c>
      <c r="N536" s="383">
        <v>760</v>
      </c>
      <c r="O536" s="328">
        <f>37355+12427+7492+8213.5+4676+5757+7050+1356+2892.5+6045+5978+639+919+810+143.5+1188+1188+1188+3801.5</f>
        <v>109119</v>
      </c>
      <c r="P536" s="344">
        <f>3112+1234+925+858+645+791+1079+205+381+739+757+85+126+135+31+238+238+238+760</f>
        <v>12577</v>
      </c>
      <c r="Q536" s="297">
        <v>40998</v>
      </c>
    </row>
    <row r="537" spans="1:17" ht="12" customHeight="1">
      <c r="A537" s="520">
        <v>534</v>
      </c>
      <c r="B537" s="236"/>
      <c r="C537" s="236"/>
      <c r="D537" s="293"/>
      <c r="E537" s="236"/>
      <c r="F537" s="236"/>
      <c r="G537" s="236"/>
      <c r="H537" s="366" t="s">
        <v>394</v>
      </c>
      <c r="I537" s="339" t="s">
        <v>400</v>
      </c>
      <c r="J537" s="320">
        <v>40753</v>
      </c>
      <c r="K537" s="288" t="s">
        <v>68</v>
      </c>
      <c r="L537" s="312">
        <v>13</v>
      </c>
      <c r="M537" s="382">
        <v>1188</v>
      </c>
      <c r="N537" s="383">
        <v>238</v>
      </c>
      <c r="O537" s="328">
        <f>37355+12427+7492+8213.5+4676+5757+7050+1356+2892.5+6045+5978+639+919+810+143.5+1188+1188+1188</f>
        <v>105317.5</v>
      </c>
      <c r="P537" s="344">
        <f>3112+1234+925+858+645+791+1079+205+381+739+757+85+126+135+31+238+238+238</f>
        <v>11817</v>
      </c>
      <c r="Q537" s="297">
        <v>40977</v>
      </c>
    </row>
    <row r="538" spans="1:17" ht="12" customHeight="1">
      <c r="A538" s="520">
        <v>535</v>
      </c>
      <c r="B538" s="236"/>
      <c r="C538" s="236"/>
      <c r="D538" s="293"/>
      <c r="E538" s="236"/>
      <c r="F538" s="236"/>
      <c r="G538" s="236"/>
      <c r="H538" s="366" t="s">
        <v>394</v>
      </c>
      <c r="I538" s="339" t="s">
        <v>400</v>
      </c>
      <c r="J538" s="320">
        <v>40753</v>
      </c>
      <c r="K538" s="288" t="s">
        <v>68</v>
      </c>
      <c r="L538" s="312">
        <v>13</v>
      </c>
      <c r="M538" s="382">
        <v>1188</v>
      </c>
      <c r="N538" s="383">
        <v>238</v>
      </c>
      <c r="O538" s="328">
        <f>37355+12427+7492+8213.5+4676+5757+7050+1356+2892.5+6045+5978+639+919+810+143.5+1188+1188</f>
        <v>104129.5</v>
      </c>
      <c r="P538" s="344">
        <f>3112+1234+925+858+645+791+1079+205+381+739+757+85+126+135+31+238+238</f>
        <v>11579</v>
      </c>
      <c r="Q538" s="297">
        <v>40963</v>
      </c>
    </row>
    <row r="539" spans="1:17" ht="12" customHeight="1">
      <c r="A539" s="520">
        <v>536</v>
      </c>
      <c r="B539" s="236"/>
      <c r="C539" s="236"/>
      <c r="D539" s="293"/>
      <c r="E539" s="236"/>
      <c r="F539" s="236"/>
      <c r="G539" s="236"/>
      <c r="H539" s="366" t="s">
        <v>394</v>
      </c>
      <c r="I539" s="339" t="s">
        <v>400</v>
      </c>
      <c r="J539" s="320">
        <v>40753</v>
      </c>
      <c r="K539" s="288" t="s">
        <v>68</v>
      </c>
      <c r="L539" s="312">
        <v>13</v>
      </c>
      <c r="M539" s="382">
        <v>1188</v>
      </c>
      <c r="N539" s="383">
        <v>238</v>
      </c>
      <c r="O539" s="328">
        <f>37355+12427+7492+8213.5+4676+5757+7050+1356+2892.5+6045+5978+639+919+810+143.5+1188</f>
        <v>102941.5</v>
      </c>
      <c r="P539" s="344">
        <f>3112+1234+925+858+645+791+1079+205+381+739+757+85+126+135+31+238</f>
        <v>11341</v>
      </c>
      <c r="Q539" s="297">
        <v>40949</v>
      </c>
    </row>
    <row r="540" spans="1:17" ht="12" customHeight="1">
      <c r="A540" s="520">
        <v>537</v>
      </c>
      <c r="B540" s="236"/>
      <c r="C540" s="236"/>
      <c r="D540" s="293"/>
      <c r="E540" s="236"/>
      <c r="F540" s="236"/>
      <c r="G540" s="236"/>
      <c r="H540" s="459" t="s">
        <v>394</v>
      </c>
      <c r="I540" s="339" t="s">
        <v>400</v>
      </c>
      <c r="J540" s="320">
        <v>40753</v>
      </c>
      <c r="K540" s="288" t="s">
        <v>68</v>
      </c>
      <c r="L540" s="312">
        <v>13</v>
      </c>
      <c r="M540" s="382">
        <v>810</v>
      </c>
      <c r="N540" s="383">
        <v>135</v>
      </c>
      <c r="O540" s="328">
        <f>37355+12427+7492+8213.5+4676+5757+7050+1356+2892.5+6045+5978+639+919+810</f>
        <v>101610</v>
      </c>
      <c r="P540" s="344">
        <f>3112+1234+925+858+645+791+1079+205+381+739+757+85+126+135</f>
        <v>11072</v>
      </c>
      <c r="Q540" s="297">
        <v>40928</v>
      </c>
    </row>
    <row r="541" spans="1:17" ht="12" customHeight="1">
      <c r="A541" s="520">
        <v>538</v>
      </c>
      <c r="B541" s="236"/>
      <c r="C541" s="236"/>
      <c r="D541" s="293"/>
      <c r="E541" s="236"/>
      <c r="F541" s="236"/>
      <c r="G541" s="236"/>
      <c r="H541" s="459" t="s">
        <v>394</v>
      </c>
      <c r="I541" s="339" t="s">
        <v>400</v>
      </c>
      <c r="J541" s="320">
        <v>40753</v>
      </c>
      <c r="K541" s="288" t="s">
        <v>68</v>
      </c>
      <c r="L541" s="312">
        <v>13</v>
      </c>
      <c r="M541" s="382">
        <v>143.5</v>
      </c>
      <c r="N541" s="383">
        <v>31</v>
      </c>
      <c r="O541" s="328">
        <f>37355+12427+7492+8213.5+4676+5757+7050+1356+2892.5+6045+5978+639+919+810+143.5</f>
        <v>101753.5</v>
      </c>
      <c r="P541" s="344">
        <f>3112+1234+925+858+645+791+1079+205+381+739+757+85+126+135+31</f>
        <v>11103</v>
      </c>
      <c r="Q541" s="297">
        <v>40942</v>
      </c>
    </row>
    <row r="542" spans="1:17" ht="12" customHeight="1">
      <c r="A542" s="520">
        <v>539</v>
      </c>
      <c r="B542" s="236"/>
      <c r="C542" s="236"/>
      <c r="D542" s="236"/>
      <c r="E542" s="236"/>
      <c r="F542" s="236"/>
      <c r="G542" s="236"/>
      <c r="H542" s="459" t="s">
        <v>476</v>
      </c>
      <c r="I542" s="339" t="s">
        <v>477</v>
      </c>
      <c r="J542" s="320">
        <v>40683</v>
      </c>
      <c r="K542" s="288" t="s">
        <v>68</v>
      </c>
      <c r="L542" s="312">
        <v>6</v>
      </c>
      <c r="M542" s="382">
        <v>3801.5</v>
      </c>
      <c r="N542" s="383">
        <v>760</v>
      </c>
      <c r="O542" s="328">
        <f>16905.5+10044+3710+2342+9911.5+7248+6024+1678+1960+374+2139+2655.5+2562+447+1328+1270+869+1782+475+25+3801.5</f>
        <v>77551</v>
      </c>
      <c r="P542" s="344">
        <f>1241+811+837+224+905+1125+738+283+277+57+267+346+338+61+166+189+146+446+119+5+760</f>
        <v>9341</v>
      </c>
      <c r="Q542" s="297">
        <v>40942</v>
      </c>
    </row>
    <row r="543" spans="1:17" ht="12" customHeight="1">
      <c r="A543" s="520">
        <v>540</v>
      </c>
      <c r="B543" s="236"/>
      <c r="C543" s="236"/>
      <c r="D543" s="236"/>
      <c r="E543" s="236"/>
      <c r="F543" s="236"/>
      <c r="G543" s="236"/>
      <c r="H543" s="463" t="s">
        <v>214</v>
      </c>
      <c r="I543" s="288" t="s">
        <v>215</v>
      </c>
      <c r="J543" s="320">
        <v>40753</v>
      </c>
      <c r="K543" s="288" t="s">
        <v>13</v>
      </c>
      <c r="L543" s="440">
        <v>3</v>
      </c>
      <c r="M543" s="378">
        <v>1188</v>
      </c>
      <c r="N543" s="379">
        <v>237</v>
      </c>
      <c r="O543" s="334">
        <v>16007.5</v>
      </c>
      <c r="P543" s="338">
        <v>1536</v>
      </c>
      <c r="Q543" s="297">
        <v>40907</v>
      </c>
    </row>
    <row r="544" spans="1:17" ht="12" customHeight="1">
      <c r="A544" s="520">
        <v>541</v>
      </c>
      <c r="B544" s="236" t="s">
        <v>193</v>
      </c>
      <c r="C544" s="236"/>
      <c r="D544" s="236">
        <v>2</v>
      </c>
      <c r="E544" s="236"/>
      <c r="F544" s="236"/>
      <c r="G544" s="236"/>
      <c r="H544" s="460" t="s">
        <v>303</v>
      </c>
      <c r="I544" s="341" t="s">
        <v>303</v>
      </c>
      <c r="J544" s="320">
        <v>40648</v>
      </c>
      <c r="K544" s="288" t="s">
        <v>12</v>
      </c>
      <c r="L544" s="312">
        <v>151</v>
      </c>
      <c r="M544" s="378">
        <v>615</v>
      </c>
      <c r="N544" s="379">
        <v>123</v>
      </c>
      <c r="O544" s="334">
        <v>1956708</v>
      </c>
      <c r="P544" s="338">
        <v>218938</v>
      </c>
      <c r="Q544" s="297">
        <v>40914</v>
      </c>
    </row>
    <row r="545" spans="1:17" ht="12" customHeight="1">
      <c r="A545" s="520">
        <v>542</v>
      </c>
      <c r="B545" s="236"/>
      <c r="C545" s="236"/>
      <c r="D545" s="236"/>
      <c r="E545" s="236"/>
      <c r="F545" s="294"/>
      <c r="G545" s="236" t="s">
        <v>54</v>
      </c>
      <c r="H545" s="462" t="s">
        <v>130</v>
      </c>
      <c r="I545" s="340" t="s">
        <v>130</v>
      </c>
      <c r="J545" s="297">
        <v>40893</v>
      </c>
      <c r="K545" s="288" t="s">
        <v>8</v>
      </c>
      <c r="L545" s="340">
        <v>131</v>
      </c>
      <c r="M545" s="382">
        <v>2464903</v>
      </c>
      <c r="N545" s="383">
        <v>273690</v>
      </c>
      <c r="O545" s="328">
        <v>8604215</v>
      </c>
      <c r="P545" s="344">
        <v>960307</v>
      </c>
      <c r="Q545" s="297">
        <v>40907</v>
      </c>
    </row>
    <row r="546" spans="1:17" ht="12" customHeight="1">
      <c r="A546" s="520">
        <v>543</v>
      </c>
      <c r="B546" s="236"/>
      <c r="C546" s="236"/>
      <c r="D546" s="236"/>
      <c r="E546" s="236"/>
      <c r="F546" s="294"/>
      <c r="G546" s="236" t="s">
        <v>54</v>
      </c>
      <c r="H546" s="462" t="s">
        <v>130</v>
      </c>
      <c r="I546" s="340" t="s">
        <v>130</v>
      </c>
      <c r="J546" s="297">
        <v>40893</v>
      </c>
      <c r="K546" s="288" t="s">
        <v>8</v>
      </c>
      <c r="L546" s="340">
        <v>131</v>
      </c>
      <c r="M546" s="382">
        <v>1826075</v>
      </c>
      <c r="N546" s="383">
        <v>198737</v>
      </c>
      <c r="O546" s="328">
        <v>10430290</v>
      </c>
      <c r="P546" s="344">
        <v>1159044</v>
      </c>
      <c r="Q546" s="297">
        <v>40914</v>
      </c>
    </row>
    <row r="547" spans="1:17" ht="12" customHeight="1">
      <c r="A547" s="520">
        <v>544</v>
      </c>
      <c r="B547" s="236"/>
      <c r="C547" s="236"/>
      <c r="D547" s="236"/>
      <c r="E547" s="236"/>
      <c r="F547" s="294"/>
      <c r="G547" s="236" t="s">
        <v>54</v>
      </c>
      <c r="H547" s="462" t="s">
        <v>130</v>
      </c>
      <c r="I547" s="340" t="s">
        <v>130</v>
      </c>
      <c r="J547" s="297">
        <v>40893</v>
      </c>
      <c r="K547" s="288" t="s">
        <v>8</v>
      </c>
      <c r="L547" s="340">
        <v>131</v>
      </c>
      <c r="M547" s="382">
        <v>1674165</v>
      </c>
      <c r="N547" s="383">
        <v>188583</v>
      </c>
      <c r="O547" s="328">
        <v>13641012</v>
      </c>
      <c r="P547" s="344">
        <v>1519587</v>
      </c>
      <c r="Q547" s="297">
        <v>40928</v>
      </c>
    </row>
    <row r="548" spans="1:17" ht="12" customHeight="1">
      <c r="A548" s="520">
        <v>545</v>
      </c>
      <c r="B548" s="236"/>
      <c r="C548" s="236"/>
      <c r="D548" s="236"/>
      <c r="E548" s="236"/>
      <c r="F548" s="294"/>
      <c r="G548" s="236" t="s">
        <v>54</v>
      </c>
      <c r="H548" s="462" t="s">
        <v>130</v>
      </c>
      <c r="I548" s="340" t="s">
        <v>130</v>
      </c>
      <c r="J548" s="297">
        <v>40893</v>
      </c>
      <c r="K548" s="288" t="s">
        <v>8</v>
      </c>
      <c r="L548" s="340">
        <v>131</v>
      </c>
      <c r="M548" s="384">
        <v>1536557</v>
      </c>
      <c r="N548" s="385">
        <v>171960</v>
      </c>
      <c r="O548" s="328">
        <v>11382284</v>
      </c>
      <c r="P548" s="344">
        <v>1257533</v>
      </c>
      <c r="Q548" s="297">
        <v>40921</v>
      </c>
    </row>
    <row r="549" spans="1:17" ht="12" customHeight="1">
      <c r="A549" s="520">
        <v>546</v>
      </c>
      <c r="B549" s="236"/>
      <c r="C549" s="236"/>
      <c r="D549" s="236"/>
      <c r="E549" s="236"/>
      <c r="F549" s="294"/>
      <c r="G549" s="236" t="s">
        <v>54</v>
      </c>
      <c r="H549" s="462" t="s">
        <v>130</v>
      </c>
      <c r="I549" s="340" t="s">
        <v>130</v>
      </c>
      <c r="J549" s="297">
        <v>40893</v>
      </c>
      <c r="K549" s="288" t="s">
        <v>8</v>
      </c>
      <c r="L549" s="340">
        <v>131</v>
      </c>
      <c r="M549" s="384">
        <v>782818</v>
      </c>
      <c r="N549" s="385">
        <v>90206</v>
      </c>
      <c r="O549" s="332">
        <v>14423830</v>
      </c>
      <c r="P549" s="333">
        <v>1609793</v>
      </c>
      <c r="Q549" s="297">
        <v>40935</v>
      </c>
    </row>
    <row r="550" spans="1:17" ht="12" customHeight="1">
      <c r="A550" s="520">
        <v>547</v>
      </c>
      <c r="B550" s="236"/>
      <c r="C550" s="236"/>
      <c r="D550" s="236"/>
      <c r="E550" s="236"/>
      <c r="F550" s="294"/>
      <c r="G550" s="236" t="s">
        <v>54</v>
      </c>
      <c r="H550" s="462" t="s">
        <v>130</v>
      </c>
      <c r="I550" s="340" t="s">
        <v>130</v>
      </c>
      <c r="J550" s="297">
        <v>40893</v>
      </c>
      <c r="K550" s="288" t="s">
        <v>8</v>
      </c>
      <c r="L550" s="340">
        <v>131</v>
      </c>
      <c r="M550" s="382">
        <v>546513</v>
      </c>
      <c r="N550" s="482">
        <v>61901</v>
      </c>
      <c r="O550" s="328">
        <v>14970343</v>
      </c>
      <c r="P550" s="357">
        <v>1671694</v>
      </c>
      <c r="Q550" s="297">
        <v>40942</v>
      </c>
    </row>
    <row r="551" spans="1:17" ht="12" customHeight="1">
      <c r="A551" s="520">
        <v>548</v>
      </c>
      <c r="B551" s="236"/>
      <c r="C551" s="236"/>
      <c r="D551" s="236"/>
      <c r="E551" s="236"/>
      <c r="F551" s="294"/>
      <c r="G551" s="236" t="s">
        <v>54</v>
      </c>
      <c r="H551" s="364" t="s">
        <v>130</v>
      </c>
      <c r="I551" s="340" t="s">
        <v>130</v>
      </c>
      <c r="J551" s="297">
        <v>40893</v>
      </c>
      <c r="K551" s="288" t="s">
        <v>8</v>
      </c>
      <c r="L551" s="340">
        <v>131</v>
      </c>
      <c r="M551" s="382">
        <v>387361</v>
      </c>
      <c r="N551" s="383">
        <v>45227</v>
      </c>
      <c r="O551" s="328">
        <v>15357703</v>
      </c>
      <c r="P551" s="344">
        <v>1716921</v>
      </c>
      <c r="Q551" s="297">
        <v>40949</v>
      </c>
    </row>
    <row r="552" spans="1:17" ht="12" customHeight="1">
      <c r="A552" s="520">
        <v>549</v>
      </c>
      <c r="B552" s="236"/>
      <c r="C552" s="236"/>
      <c r="D552" s="236"/>
      <c r="E552" s="236"/>
      <c r="F552" s="294"/>
      <c r="G552" s="236" t="s">
        <v>54</v>
      </c>
      <c r="H552" s="364" t="s">
        <v>130</v>
      </c>
      <c r="I552" s="340" t="s">
        <v>130</v>
      </c>
      <c r="J552" s="297">
        <v>40893</v>
      </c>
      <c r="K552" s="288" t="s">
        <v>8</v>
      </c>
      <c r="L552" s="340">
        <v>131</v>
      </c>
      <c r="M552" s="382">
        <v>71809</v>
      </c>
      <c r="N552" s="383">
        <v>8523</v>
      </c>
      <c r="O552" s="328">
        <v>15429512</v>
      </c>
      <c r="P552" s="344">
        <v>1725444</v>
      </c>
      <c r="Q552" s="297">
        <v>40956</v>
      </c>
    </row>
    <row r="553" spans="1:17" ht="12" customHeight="1">
      <c r="A553" s="520">
        <v>550</v>
      </c>
      <c r="B553" s="236"/>
      <c r="C553" s="236"/>
      <c r="D553" s="236"/>
      <c r="E553" s="236"/>
      <c r="F553" s="294"/>
      <c r="G553" s="236" t="s">
        <v>54</v>
      </c>
      <c r="H553" s="364" t="s">
        <v>130</v>
      </c>
      <c r="I553" s="340" t="s">
        <v>130</v>
      </c>
      <c r="J553" s="297">
        <v>40893</v>
      </c>
      <c r="K553" s="288" t="s">
        <v>8</v>
      </c>
      <c r="L553" s="340">
        <v>131</v>
      </c>
      <c r="M553" s="382">
        <v>33707</v>
      </c>
      <c r="N553" s="383">
        <v>4300</v>
      </c>
      <c r="O553" s="328">
        <v>15464802</v>
      </c>
      <c r="P553" s="344">
        <v>1729952</v>
      </c>
      <c r="Q553" s="297">
        <v>40963</v>
      </c>
    </row>
    <row r="554" spans="1:17" ht="12" customHeight="1">
      <c r="A554" s="520">
        <v>551</v>
      </c>
      <c r="B554" s="236"/>
      <c r="C554" s="236"/>
      <c r="D554" s="236"/>
      <c r="E554" s="236"/>
      <c r="F554" s="294"/>
      <c r="G554" s="236" t="s">
        <v>54</v>
      </c>
      <c r="H554" s="364" t="s">
        <v>130</v>
      </c>
      <c r="I554" s="340" t="s">
        <v>130</v>
      </c>
      <c r="J554" s="297">
        <v>40893</v>
      </c>
      <c r="K554" s="288" t="s">
        <v>8</v>
      </c>
      <c r="L554" s="340">
        <v>131</v>
      </c>
      <c r="M554" s="382">
        <v>1843</v>
      </c>
      <c r="N554" s="383">
        <v>250</v>
      </c>
      <c r="O554" s="328">
        <v>15466645</v>
      </c>
      <c r="P554" s="344">
        <v>1730202</v>
      </c>
      <c r="Q554" s="297">
        <v>40970</v>
      </c>
    </row>
    <row r="555" spans="1:17" ht="12" customHeight="1">
      <c r="A555" s="520">
        <v>552</v>
      </c>
      <c r="B555" s="236"/>
      <c r="C555" s="236"/>
      <c r="D555" s="236"/>
      <c r="E555" s="236"/>
      <c r="F555" s="294"/>
      <c r="G555" s="236" t="s">
        <v>54</v>
      </c>
      <c r="H555" s="364" t="s">
        <v>130</v>
      </c>
      <c r="I555" s="340" t="s">
        <v>130</v>
      </c>
      <c r="J555" s="297">
        <v>40893</v>
      </c>
      <c r="K555" s="288" t="s">
        <v>8</v>
      </c>
      <c r="L555" s="340">
        <v>131</v>
      </c>
      <c r="M555" s="382">
        <v>1295</v>
      </c>
      <c r="N555" s="383">
        <v>205</v>
      </c>
      <c r="O555" s="328">
        <v>15467940</v>
      </c>
      <c r="P555" s="344">
        <v>1730407</v>
      </c>
      <c r="Q555" s="297">
        <v>40977</v>
      </c>
    </row>
    <row r="556" spans="1:17" ht="12" customHeight="1">
      <c r="A556" s="520">
        <v>553</v>
      </c>
      <c r="B556" s="236"/>
      <c r="C556" s="236"/>
      <c r="D556" s="236"/>
      <c r="E556" s="236"/>
      <c r="F556" s="294"/>
      <c r="G556" s="236" t="s">
        <v>54</v>
      </c>
      <c r="H556" s="364" t="s">
        <v>130</v>
      </c>
      <c r="I556" s="340" t="s">
        <v>130</v>
      </c>
      <c r="J556" s="297">
        <v>40893</v>
      </c>
      <c r="K556" s="288" t="s">
        <v>8</v>
      </c>
      <c r="L556" s="446">
        <v>131</v>
      </c>
      <c r="M556" s="470">
        <v>1066</v>
      </c>
      <c r="N556" s="471">
        <v>289</v>
      </c>
      <c r="O556" s="448">
        <v>15469006</v>
      </c>
      <c r="P556" s="449">
        <v>1730696</v>
      </c>
      <c r="Q556" s="297">
        <v>40984</v>
      </c>
    </row>
    <row r="557" spans="1:17" ht="12" customHeight="1">
      <c r="A557" s="520">
        <v>554</v>
      </c>
      <c r="B557" s="236"/>
      <c r="C557" s="236"/>
      <c r="D557" s="236"/>
      <c r="E557" s="236"/>
      <c r="F557" s="236"/>
      <c r="G557" s="236"/>
      <c r="H557" s="463" t="s">
        <v>221</v>
      </c>
      <c r="I557" s="288" t="s">
        <v>210</v>
      </c>
      <c r="J557" s="320">
        <v>40739</v>
      </c>
      <c r="K557" s="288" t="s">
        <v>13</v>
      </c>
      <c r="L557" s="440">
        <v>3</v>
      </c>
      <c r="M557" s="378">
        <v>2608</v>
      </c>
      <c r="N557" s="379">
        <v>520</v>
      </c>
      <c r="O557" s="334">
        <v>43756.5</v>
      </c>
      <c r="P557" s="338">
        <v>5487</v>
      </c>
      <c r="Q557" s="297">
        <v>40907</v>
      </c>
    </row>
    <row r="558" spans="1:17" ht="12" customHeight="1">
      <c r="A558" s="520">
        <v>555</v>
      </c>
      <c r="B558" s="236"/>
      <c r="C558" s="236"/>
      <c r="D558" s="236"/>
      <c r="E558" s="236"/>
      <c r="F558" s="236"/>
      <c r="G558" s="236"/>
      <c r="H558" s="463" t="s">
        <v>221</v>
      </c>
      <c r="I558" s="288" t="s">
        <v>210</v>
      </c>
      <c r="J558" s="320">
        <v>40739</v>
      </c>
      <c r="K558" s="288" t="s">
        <v>13</v>
      </c>
      <c r="L558" s="312">
        <v>3</v>
      </c>
      <c r="M558" s="378">
        <v>1188</v>
      </c>
      <c r="N558" s="379">
        <v>238</v>
      </c>
      <c r="O558" s="334">
        <v>44944.5</v>
      </c>
      <c r="P558" s="338">
        <v>5725</v>
      </c>
      <c r="Q558" s="297">
        <v>40970</v>
      </c>
    </row>
    <row r="559" spans="1:17" ht="12" customHeight="1">
      <c r="A559" s="520">
        <v>556</v>
      </c>
      <c r="B559" s="236" t="s">
        <v>193</v>
      </c>
      <c r="C559" s="236"/>
      <c r="D559" s="293"/>
      <c r="E559" s="236" t="s">
        <v>250</v>
      </c>
      <c r="F559" s="236"/>
      <c r="G559" s="236"/>
      <c r="H559" s="366" t="s">
        <v>470</v>
      </c>
      <c r="I559" s="339" t="s">
        <v>407</v>
      </c>
      <c r="J559" s="320">
        <v>40522</v>
      </c>
      <c r="K559" s="288" t="s">
        <v>68</v>
      </c>
      <c r="L559" s="312">
        <v>127</v>
      </c>
      <c r="M559" s="382">
        <v>1782</v>
      </c>
      <c r="N559" s="383">
        <v>356</v>
      </c>
      <c r="O559" s="328">
        <f>1048675+809166.5+457718.5+70165.5+7102+12164+8619.5+11777.5+6559.5+3338.5+10420.5+3303+3205+2076+1722.5+314+264+550+5455+5583.5+1818.5+950.5+1188+1782</f>
        <v>2473919</v>
      </c>
      <c r="P559" s="344">
        <f>92481+73795+43350+8841+1153+2869+1615+2831+1620+630+2477+726+513+481+318+38+33+104+1359+1394+447+238+297+356</f>
        <v>237966</v>
      </c>
      <c r="Q559" s="297">
        <v>40956</v>
      </c>
    </row>
    <row r="560" spans="1:17" ht="12" customHeight="1">
      <c r="A560" s="520">
        <v>557</v>
      </c>
      <c r="B560" s="236" t="s">
        <v>193</v>
      </c>
      <c r="C560" s="236"/>
      <c r="D560" s="293"/>
      <c r="E560" s="236" t="s">
        <v>250</v>
      </c>
      <c r="F560" s="236"/>
      <c r="G560" s="236"/>
      <c r="H560" s="459" t="s">
        <v>470</v>
      </c>
      <c r="I560" s="339" t="s">
        <v>407</v>
      </c>
      <c r="J560" s="320">
        <v>40522</v>
      </c>
      <c r="K560" s="288" t="s">
        <v>68</v>
      </c>
      <c r="L560" s="312">
        <v>127</v>
      </c>
      <c r="M560" s="382">
        <v>1188</v>
      </c>
      <c r="N560" s="383">
        <v>297</v>
      </c>
      <c r="O560" s="328">
        <f>1048675+809166.5+457718.5+70165.5+7102+12164+8619.5+11777.5+6559.5+3338.5+10420.5+3303+3205+2076+1722.5+314+264+550+5455+5583.5+1818.5+950.5+1188</f>
        <v>2472137</v>
      </c>
      <c r="P560" s="344">
        <f>92481+73795+43350+8841+1153+2869+1615+2831+1620+630+2477+726+513+481+318+38+33+104+1359+1394+447+238+297</f>
        <v>237610</v>
      </c>
      <c r="Q560" s="297">
        <v>40928</v>
      </c>
    </row>
    <row r="561" spans="1:17" ht="12" customHeight="1">
      <c r="A561" s="520">
        <v>558</v>
      </c>
      <c r="B561" s="293"/>
      <c r="C561" s="293"/>
      <c r="D561" s="236"/>
      <c r="E561" s="236"/>
      <c r="F561" s="236"/>
      <c r="G561" s="236"/>
      <c r="H561" s="366" t="s">
        <v>652</v>
      </c>
      <c r="I561" s="340" t="s">
        <v>654</v>
      </c>
      <c r="J561" s="320">
        <v>40774</v>
      </c>
      <c r="K561" s="288" t="s">
        <v>68</v>
      </c>
      <c r="L561" s="340">
        <v>25</v>
      </c>
      <c r="M561" s="382">
        <v>1425.5</v>
      </c>
      <c r="N561" s="383">
        <v>285</v>
      </c>
      <c r="O561" s="328">
        <f>71665+23168+6045+9867+5511.5+7115.5+3954.5+6872+2674+324+1001+1425.5</f>
        <v>139623</v>
      </c>
      <c r="P561" s="344">
        <f>5766+2127+747+1564+727+1254+590+980+592+25+143+285</f>
        <v>14800</v>
      </c>
      <c r="Q561" s="297">
        <v>40991</v>
      </c>
    </row>
    <row r="562" spans="1:17" ht="12" customHeight="1">
      <c r="A562" s="520">
        <v>559</v>
      </c>
      <c r="B562" s="293"/>
      <c r="C562" s="293"/>
      <c r="D562" s="236"/>
      <c r="E562" s="236"/>
      <c r="F562" s="236"/>
      <c r="G562" s="236"/>
      <c r="H562" s="366" t="s">
        <v>652</v>
      </c>
      <c r="I562" s="340" t="s">
        <v>654</v>
      </c>
      <c r="J562" s="320">
        <v>40774</v>
      </c>
      <c r="K562" s="288" t="s">
        <v>68</v>
      </c>
      <c r="L562" s="352">
        <v>25</v>
      </c>
      <c r="M562" s="382">
        <v>1425.5</v>
      </c>
      <c r="N562" s="383">
        <v>285</v>
      </c>
      <c r="O562" s="328">
        <f>71665+23168+6045+9867+5511.5+7115.5+3954.5+6872+2674+324+1001+1425.5+1425.5</f>
        <v>141048.5</v>
      </c>
      <c r="P562" s="344">
        <f>5766+2127+747+1564+727+1254+590+980+592+25+143+285+285</f>
        <v>15085</v>
      </c>
      <c r="Q562" s="297">
        <v>41005</v>
      </c>
    </row>
    <row r="563" spans="1:17" ht="12" customHeight="1">
      <c r="A563" s="520">
        <v>560</v>
      </c>
      <c r="B563" s="293"/>
      <c r="C563" s="293"/>
      <c r="D563" s="236"/>
      <c r="E563" s="236"/>
      <c r="F563" s="236"/>
      <c r="G563" s="236"/>
      <c r="H563" s="366" t="s">
        <v>652</v>
      </c>
      <c r="I563" s="288" t="s">
        <v>703</v>
      </c>
      <c r="J563" s="370">
        <v>40774</v>
      </c>
      <c r="K563" s="288" t="s">
        <v>68</v>
      </c>
      <c r="L563" s="340">
        <v>25</v>
      </c>
      <c r="M563" s="468">
        <v>1425.5</v>
      </c>
      <c r="N563" s="469">
        <v>285</v>
      </c>
      <c r="O563" s="317">
        <f>71665+23168+6045+9867+5511.5+7115.5+3954.5+6872+2674+324+1001+1425.5+1425.5+1425.5</f>
        <v>142474</v>
      </c>
      <c r="P563" s="368">
        <f>5766+2127+747+1564+727+1254+590+980+592+25+143+285+285+285</f>
        <v>15370</v>
      </c>
      <c r="Q563" s="297">
        <v>41026</v>
      </c>
    </row>
    <row r="564" spans="1:17" ht="12" customHeight="1">
      <c r="A564" s="520">
        <v>561</v>
      </c>
      <c r="B564" s="236"/>
      <c r="C564" s="236"/>
      <c r="D564" s="236"/>
      <c r="E564" s="236"/>
      <c r="F564" s="236"/>
      <c r="G564" s="236"/>
      <c r="H564" s="462" t="s">
        <v>302</v>
      </c>
      <c r="I564" s="340" t="s">
        <v>308</v>
      </c>
      <c r="J564" s="297">
        <v>40914</v>
      </c>
      <c r="K564" s="288" t="s">
        <v>68</v>
      </c>
      <c r="L564" s="312">
        <v>66</v>
      </c>
      <c r="M564" s="382">
        <v>683638.5</v>
      </c>
      <c r="N564" s="383">
        <v>65177</v>
      </c>
      <c r="O564" s="328">
        <v>683638.5</v>
      </c>
      <c r="P564" s="344">
        <v>65177</v>
      </c>
      <c r="Q564" s="297">
        <v>40914</v>
      </c>
    </row>
    <row r="565" spans="1:17" ht="12" customHeight="1">
      <c r="A565" s="520">
        <v>562</v>
      </c>
      <c r="B565" s="236"/>
      <c r="C565" s="236">
        <v>3</v>
      </c>
      <c r="D565" s="236"/>
      <c r="E565" s="236"/>
      <c r="F565" s="236"/>
      <c r="G565" s="236"/>
      <c r="H565" s="462" t="s">
        <v>302</v>
      </c>
      <c r="I565" s="340" t="s">
        <v>308</v>
      </c>
      <c r="J565" s="297">
        <v>40914</v>
      </c>
      <c r="K565" s="288" t="s">
        <v>68</v>
      </c>
      <c r="L565" s="312">
        <v>66</v>
      </c>
      <c r="M565" s="382">
        <v>541400</v>
      </c>
      <c r="N565" s="383">
        <v>52837</v>
      </c>
      <c r="O565" s="328">
        <f>683638.5+541400</f>
        <v>1225038.5</v>
      </c>
      <c r="P565" s="344">
        <f>65177+52837</f>
        <v>118014</v>
      </c>
      <c r="Q565" s="297">
        <v>40921</v>
      </c>
    </row>
    <row r="566" spans="1:17" ht="12" customHeight="1">
      <c r="A566" s="520">
        <v>563</v>
      </c>
      <c r="B566" s="236"/>
      <c r="C566" s="236"/>
      <c r="D566" s="236"/>
      <c r="E566" s="236"/>
      <c r="F566" s="236"/>
      <c r="G566" s="293"/>
      <c r="H566" s="461" t="s">
        <v>155</v>
      </c>
      <c r="I566" s="319" t="s">
        <v>157</v>
      </c>
      <c r="J566" s="320">
        <v>40830</v>
      </c>
      <c r="K566" s="288" t="s">
        <v>52</v>
      </c>
      <c r="L566" s="331">
        <v>24</v>
      </c>
      <c r="M566" s="474">
        <v>1775</v>
      </c>
      <c r="N566" s="475">
        <v>204</v>
      </c>
      <c r="O566" s="330">
        <f>39089+12457+497+1407+378+156+1775</f>
        <v>55759</v>
      </c>
      <c r="P566" s="338">
        <f>3631+1290+71+217+63+19+204</f>
        <v>5495</v>
      </c>
      <c r="Q566" s="297">
        <v>40907</v>
      </c>
    </row>
    <row r="567" spans="1:17" ht="12" customHeight="1">
      <c r="A567" s="520">
        <v>564</v>
      </c>
      <c r="B567" s="236"/>
      <c r="C567" s="236"/>
      <c r="D567" s="236"/>
      <c r="E567" s="236"/>
      <c r="F567" s="236"/>
      <c r="G567" s="293"/>
      <c r="H567" s="461" t="s">
        <v>155</v>
      </c>
      <c r="I567" s="319" t="s">
        <v>157</v>
      </c>
      <c r="J567" s="320">
        <v>40830</v>
      </c>
      <c r="K567" s="288" t="s">
        <v>52</v>
      </c>
      <c r="L567" s="331">
        <v>24</v>
      </c>
      <c r="M567" s="474">
        <v>525</v>
      </c>
      <c r="N567" s="475">
        <v>69</v>
      </c>
      <c r="O567" s="330">
        <f>39089+12457+497+1407+378+156+1775+429+525</f>
        <v>56713</v>
      </c>
      <c r="P567" s="338">
        <f>3631+1290+71+217+63+19+204+72+69</f>
        <v>5636</v>
      </c>
      <c r="Q567" s="297">
        <v>40928</v>
      </c>
    </row>
    <row r="568" spans="1:17" ht="12" customHeight="1">
      <c r="A568" s="520">
        <v>565</v>
      </c>
      <c r="B568" s="236"/>
      <c r="C568" s="236"/>
      <c r="D568" s="236"/>
      <c r="E568" s="236"/>
      <c r="F568" s="236"/>
      <c r="G568" s="293"/>
      <c r="H568" s="461" t="s">
        <v>155</v>
      </c>
      <c r="I568" s="319" t="s">
        <v>157</v>
      </c>
      <c r="J568" s="320">
        <v>40830</v>
      </c>
      <c r="K568" s="288" t="s">
        <v>52</v>
      </c>
      <c r="L568" s="331">
        <v>24</v>
      </c>
      <c r="M568" s="476">
        <v>429</v>
      </c>
      <c r="N568" s="477">
        <v>72</v>
      </c>
      <c r="O568" s="453">
        <f>39089+12457+497+1407+378+156+1775+429</f>
        <v>56188</v>
      </c>
      <c r="P568" s="338">
        <f>3631+1290+71+217+63+19+204+72</f>
        <v>5567</v>
      </c>
      <c r="Q568" s="297">
        <v>40921</v>
      </c>
    </row>
    <row r="569" spans="1:17" ht="12" customHeight="1">
      <c r="A569" s="520">
        <v>566</v>
      </c>
      <c r="B569" s="236"/>
      <c r="C569" s="236"/>
      <c r="D569" s="236"/>
      <c r="E569" s="236"/>
      <c r="F569" s="236"/>
      <c r="G569" s="293"/>
      <c r="H569" s="463" t="s">
        <v>384</v>
      </c>
      <c r="I569" s="340" t="s">
        <v>385</v>
      </c>
      <c r="J569" s="320">
        <v>40844</v>
      </c>
      <c r="K569" s="288" t="s">
        <v>8</v>
      </c>
      <c r="L569" s="354">
        <v>29</v>
      </c>
      <c r="M569" s="382">
        <v>680</v>
      </c>
      <c r="N569" s="383">
        <v>92</v>
      </c>
      <c r="O569" s="328">
        <v>343647</v>
      </c>
      <c r="P569" s="344">
        <v>27776</v>
      </c>
      <c r="Q569" s="297">
        <v>40928</v>
      </c>
    </row>
    <row r="570" spans="1:17" ht="12" customHeight="1">
      <c r="A570" s="520">
        <v>567</v>
      </c>
      <c r="B570" s="236"/>
      <c r="C570" s="236"/>
      <c r="D570" s="236"/>
      <c r="E570" s="236"/>
      <c r="F570" s="236"/>
      <c r="G570" s="236"/>
      <c r="H570" s="366" t="s">
        <v>569</v>
      </c>
      <c r="I570" s="339" t="s">
        <v>573</v>
      </c>
      <c r="J570" s="320">
        <v>40718</v>
      </c>
      <c r="K570" s="288" t="s">
        <v>68</v>
      </c>
      <c r="L570" s="312">
        <v>25</v>
      </c>
      <c r="M570" s="382">
        <v>950.5</v>
      </c>
      <c r="N570" s="383">
        <v>190</v>
      </c>
      <c r="O570" s="328">
        <f>57373+29138.5+18608.5+18274+18081+33158.5+15047+12993+4041+3825+2818+2748+473+119+6415.5+950.5</f>
        <v>224063.5</v>
      </c>
      <c r="P570" s="344">
        <f>5353+2775+2460+2094+2184+3706+2068+1709+576+481+366+567+74+16+1605+190</f>
        <v>26224</v>
      </c>
      <c r="Q570" s="297">
        <v>40963</v>
      </c>
    </row>
    <row r="571" spans="1:17" ht="12" customHeight="1">
      <c r="A571" s="520">
        <v>568</v>
      </c>
      <c r="B571" s="236"/>
      <c r="C571" s="236"/>
      <c r="D571" s="236"/>
      <c r="E571" s="236"/>
      <c r="F571" s="236"/>
      <c r="G571" s="236"/>
      <c r="H571" s="464" t="s">
        <v>147</v>
      </c>
      <c r="I571" s="288" t="s">
        <v>150</v>
      </c>
      <c r="J571" s="297">
        <v>40907</v>
      </c>
      <c r="K571" s="288" t="s">
        <v>13</v>
      </c>
      <c r="L571" s="312">
        <v>1</v>
      </c>
      <c r="M571" s="378">
        <v>2379</v>
      </c>
      <c r="N571" s="379">
        <v>255</v>
      </c>
      <c r="O571" s="334">
        <v>2379</v>
      </c>
      <c r="P571" s="338">
        <v>255</v>
      </c>
      <c r="Q571" s="297">
        <v>40907</v>
      </c>
    </row>
    <row r="572" spans="1:17" ht="12" customHeight="1">
      <c r="A572" s="520">
        <v>569</v>
      </c>
      <c r="B572" s="236"/>
      <c r="C572" s="236"/>
      <c r="D572" s="236"/>
      <c r="E572" s="236"/>
      <c r="F572" s="236"/>
      <c r="G572" s="236"/>
      <c r="H572" s="464" t="s">
        <v>147</v>
      </c>
      <c r="I572" s="288" t="s">
        <v>150</v>
      </c>
      <c r="J572" s="297">
        <v>40907</v>
      </c>
      <c r="K572" s="288" t="s">
        <v>13</v>
      </c>
      <c r="L572" s="312">
        <v>1</v>
      </c>
      <c r="M572" s="378">
        <v>342</v>
      </c>
      <c r="N572" s="379">
        <v>34</v>
      </c>
      <c r="O572" s="334">
        <v>2721</v>
      </c>
      <c r="P572" s="338">
        <v>289</v>
      </c>
      <c r="Q572" s="297">
        <v>40914</v>
      </c>
    </row>
    <row r="573" spans="1:17" ht="12" customHeight="1">
      <c r="A573" s="520">
        <v>570</v>
      </c>
      <c r="B573" s="236"/>
      <c r="C573" s="236"/>
      <c r="D573" s="236"/>
      <c r="E573" s="236"/>
      <c r="F573" s="294"/>
      <c r="G573" s="236"/>
      <c r="H573" s="464" t="s">
        <v>344</v>
      </c>
      <c r="I573" s="288" t="s">
        <v>345</v>
      </c>
      <c r="J573" s="320">
        <v>40556</v>
      </c>
      <c r="K573" s="288" t="s">
        <v>10</v>
      </c>
      <c r="L573" s="312">
        <v>85</v>
      </c>
      <c r="M573" s="382">
        <v>777874</v>
      </c>
      <c r="N573" s="383">
        <v>70890</v>
      </c>
      <c r="O573" s="328">
        <v>777874</v>
      </c>
      <c r="P573" s="344">
        <v>70890</v>
      </c>
      <c r="Q573" s="297">
        <v>40921</v>
      </c>
    </row>
    <row r="574" spans="1:17" ht="12" customHeight="1">
      <c r="A574" s="520">
        <v>571</v>
      </c>
      <c r="B574" s="236"/>
      <c r="C574" s="236"/>
      <c r="D574" s="236"/>
      <c r="E574" s="236"/>
      <c r="F574" s="236"/>
      <c r="G574" s="293"/>
      <c r="H574" s="363" t="s">
        <v>545</v>
      </c>
      <c r="I574" s="288" t="s">
        <v>562</v>
      </c>
      <c r="J574" s="320">
        <v>39423</v>
      </c>
      <c r="K574" s="288" t="s">
        <v>52</v>
      </c>
      <c r="L574" s="358">
        <v>164</v>
      </c>
      <c r="M574" s="378">
        <v>2376</v>
      </c>
      <c r="N574" s="379">
        <v>475</v>
      </c>
      <c r="O574" s="334">
        <f>3571428+831+1901+2376</f>
        <v>3576536</v>
      </c>
      <c r="P574" s="338">
        <f>442208+166+380+475</f>
        <v>443229</v>
      </c>
      <c r="Q574" s="297">
        <v>40998</v>
      </c>
    </row>
    <row r="575" spans="1:17" ht="12" customHeight="1">
      <c r="A575" s="520">
        <v>572</v>
      </c>
      <c r="B575" s="236"/>
      <c r="C575" s="236"/>
      <c r="D575" s="236"/>
      <c r="E575" s="236"/>
      <c r="F575" s="236"/>
      <c r="G575" s="293"/>
      <c r="H575" s="363" t="s">
        <v>545</v>
      </c>
      <c r="I575" s="288" t="s">
        <v>549</v>
      </c>
      <c r="J575" s="320">
        <v>39423</v>
      </c>
      <c r="K575" s="288" t="s">
        <v>52</v>
      </c>
      <c r="L575" s="331">
        <v>164</v>
      </c>
      <c r="M575" s="378">
        <v>1901</v>
      </c>
      <c r="N575" s="379">
        <v>380</v>
      </c>
      <c r="O575" s="334">
        <f>3571428+831+1901</f>
        <v>3574160</v>
      </c>
      <c r="P575" s="338">
        <f>442208+166+380</f>
        <v>442754</v>
      </c>
      <c r="Q575" s="297">
        <v>40956</v>
      </c>
    </row>
    <row r="576" spans="1:17" ht="12" customHeight="1">
      <c r="A576" s="520">
        <v>573</v>
      </c>
      <c r="B576" s="236"/>
      <c r="C576" s="236">
        <v>3</v>
      </c>
      <c r="D576" s="236"/>
      <c r="E576" s="236"/>
      <c r="F576" s="236"/>
      <c r="G576" s="293"/>
      <c r="H576" s="461" t="s">
        <v>154</v>
      </c>
      <c r="I576" s="319" t="s">
        <v>156</v>
      </c>
      <c r="J576" s="297">
        <v>40872</v>
      </c>
      <c r="K576" s="288" t="s">
        <v>52</v>
      </c>
      <c r="L576" s="331">
        <v>21</v>
      </c>
      <c r="M576" s="474">
        <v>3616.5</v>
      </c>
      <c r="N576" s="475">
        <v>459</v>
      </c>
      <c r="O576" s="330">
        <f>48871+740+512+11538+3616.5</f>
        <v>65277.5</v>
      </c>
      <c r="P576" s="338">
        <f>5142+80+52+1109+459</f>
        <v>6842</v>
      </c>
      <c r="Q576" s="297">
        <v>40907</v>
      </c>
    </row>
    <row r="577" spans="1:17" ht="12" customHeight="1">
      <c r="A577" s="520">
        <v>574</v>
      </c>
      <c r="B577" s="236"/>
      <c r="C577" s="236"/>
      <c r="D577" s="236"/>
      <c r="E577" s="236"/>
      <c r="F577" s="236"/>
      <c r="G577" s="236"/>
      <c r="H577" s="362" t="s">
        <v>177</v>
      </c>
      <c r="I577" s="341" t="s">
        <v>181</v>
      </c>
      <c r="J577" s="320">
        <v>40872</v>
      </c>
      <c r="K577" s="288" t="s">
        <v>12</v>
      </c>
      <c r="L577" s="312">
        <v>55</v>
      </c>
      <c r="M577" s="378">
        <v>3055</v>
      </c>
      <c r="N577" s="379">
        <v>350</v>
      </c>
      <c r="O577" s="334">
        <v>761032</v>
      </c>
      <c r="P577" s="338">
        <v>63588</v>
      </c>
      <c r="Q577" s="297">
        <v>40949</v>
      </c>
    </row>
    <row r="578" spans="1:17" ht="12" customHeight="1">
      <c r="A578" s="520">
        <v>575</v>
      </c>
      <c r="B578" s="236"/>
      <c r="C578" s="236"/>
      <c r="D578" s="236"/>
      <c r="E578" s="236"/>
      <c r="F578" s="236"/>
      <c r="G578" s="236"/>
      <c r="H578" s="460" t="s">
        <v>177</v>
      </c>
      <c r="I578" s="341" t="s">
        <v>181</v>
      </c>
      <c r="J578" s="320">
        <v>40872</v>
      </c>
      <c r="K578" s="288" t="s">
        <v>12</v>
      </c>
      <c r="L578" s="312">
        <v>55</v>
      </c>
      <c r="M578" s="378">
        <v>2380</v>
      </c>
      <c r="N578" s="379">
        <v>277</v>
      </c>
      <c r="O578" s="334">
        <v>757977</v>
      </c>
      <c r="P578" s="338">
        <v>63238</v>
      </c>
      <c r="Q578" s="297">
        <v>40935</v>
      </c>
    </row>
    <row r="579" spans="1:17" ht="12" customHeight="1">
      <c r="A579" s="520">
        <v>576</v>
      </c>
      <c r="B579" s="236"/>
      <c r="C579" s="236"/>
      <c r="D579" s="236"/>
      <c r="E579" s="236"/>
      <c r="F579" s="236"/>
      <c r="G579" s="236"/>
      <c r="H579" s="460" t="s">
        <v>177</v>
      </c>
      <c r="I579" s="341" t="s">
        <v>181</v>
      </c>
      <c r="J579" s="320">
        <v>40872</v>
      </c>
      <c r="K579" s="288" t="s">
        <v>12</v>
      </c>
      <c r="L579" s="312">
        <v>55</v>
      </c>
      <c r="M579" s="378">
        <v>1489</v>
      </c>
      <c r="N579" s="379">
        <v>230</v>
      </c>
      <c r="O579" s="334">
        <v>755597</v>
      </c>
      <c r="P579" s="338">
        <v>62961</v>
      </c>
      <c r="Q579" s="297">
        <v>40914</v>
      </c>
    </row>
    <row r="580" spans="1:17" ht="12" customHeight="1">
      <c r="A580" s="520">
        <v>577</v>
      </c>
      <c r="B580" s="236"/>
      <c r="C580" s="236"/>
      <c r="D580" s="236"/>
      <c r="E580" s="236"/>
      <c r="F580" s="236"/>
      <c r="G580" s="236"/>
      <c r="H580" s="460" t="s">
        <v>177</v>
      </c>
      <c r="I580" s="341" t="s">
        <v>181</v>
      </c>
      <c r="J580" s="320">
        <v>40872</v>
      </c>
      <c r="K580" s="288" t="s">
        <v>12</v>
      </c>
      <c r="L580" s="312">
        <v>55</v>
      </c>
      <c r="M580" s="378">
        <v>433</v>
      </c>
      <c r="N580" s="379">
        <v>58</v>
      </c>
      <c r="O580" s="334">
        <v>754108</v>
      </c>
      <c r="P580" s="338">
        <v>62731</v>
      </c>
      <c r="Q580" s="297">
        <v>40907</v>
      </c>
    </row>
    <row r="581" spans="1:17" ht="12" customHeight="1">
      <c r="A581" s="520">
        <v>578</v>
      </c>
      <c r="B581" s="293"/>
      <c r="C581" s="293"/>
      <c r="D581" s="236"/>
      <c r="E581" s="293"/>
      <c r="F581" s="236"/>
      <c r="G581" s="236"/>
      <c r="H581" s="464" t="s">
        <v>346</v>
      </c>
      <c r="I581" s="288" t="s">
        <v>347</v>
      </c>
      <c r="J581" s="320">
        <v>40921</v>
      </c>
      <c r="K581" s="288" t="s">
        <v>324</v>
      </c>
      <c r="L581" s="312">
        <v>30</v>
      </c>
      <c r="M581" s="386">
        <v>209032</v>
      </c>
      <c r="N581" s="387">
        <v>15493</v>
      </c>
      <c r="O581" s="321">
        <v>209032</v>
      </c>
      <c r="P581" s="322">
        <v>15493</v>
      </c>
      <c r="Q581" s="297">
        <v>40921</v>
      </c>
    </row>
    <row r="582" spans="1:17" ht="12" customHeight="1">
      <c r="A582" s="520">
        <v>579</v>
      </c>
      <c r="B582" s="293"/>
      <c r="C582" s="293"/>
      <c r="D582" s="236"/>
      <c r="E582" s="293"/>
      <c r="F582" s="236"/>
      <c r="G582" s="236"/>
      <c r="H582" s="360" t="s">
        <v>382</v>
      </c>
      <c r="I582" s="288" t="s">
        <v>383</v>
      </c>
      <c r="J582" s="320">
        <v>40816</v>
      </c>
      <c r="K582" s="288" t="s">
        <v>324</v>
      </c>
      <c r="L582" s="312">
        <v>41</v>
      </c>
      <c r="M582" s="386">
        <v>4033</v>
      </c>
      <c r="N582" s="387">
        <v>564</v>
      </c>
      <c r="O582" s="321">
        <v>478630</v>
      </c>
      <c r="P582" s="322">
        <v>36193</v>
      </c>
      <c r="Q582" s="297">
        <v>40949</v>
      </c>
    </row>
    <row r="583" spans="1:17" ht="12" customHeight="1">
      <c r="A583" s="520">
        <v>580</v>
      </c>
      <c r="B583" s="293"/>
      <c r="C583" s="293"/>
      <c r="D583" s="236"/>
      <c r="E583" s="293"/>
      <c r="F583" s="236"/>
      <c r="G583" s="236"/>
      <c r="H583" s="360" t="s">
        <v>382</v>
      </c>
      <c r="I583" s="312" t="s">
        <v>739</v>
      </c>
      <c r="J583" s="370">
        <v>40816</v>
      </c>
      <c r="K583" s="288" t="s">
        <v>324</v>
      </c>
      <c r="L583" s="312">
        <v>41</v>
      </c>
      <c r="M583" s="386">
        <v>3712</v>
      </c>
      <c r="N583" s="387">
        <v>377</v>
      </c>
      <c r="O583" s="321">
        <v>1299188</v>
      </c>
      <c r="P583" s="322">
        <v>103542</v>
      </c>
      <c r="Q583" s="297">
        <v>41026</v>
      </c>
    </row>
    <row r="584" spans="1:17" ht="12" customHeight="1">
      <c r="A584" s="520">
        <v>581</v>
      </c>
      <c r="B584" s="293"/>
      <c r="C584" s="293"/>
      <c r="D584" s="236"/>
      <c r="E584" s="293"/>
      <c r="F584" s="236"/>
      <c r="G584" s="236"/>
      <c r="H584" s="464" t="s">
        <v>382</v>
      </c>
      <c r="I584" s="288" t="s">
        <v>383</v>
      </c>
      <c r="J584" s="320">
        <v>40816</v>
      </c>
      <c r="K584" s="288" t="s">
        <v>324</v>
      </c>
      <c r="L584" s="312">
        <v>41</v>
      </c>
      <c r="M584" s="386">
        <v>3084</v>
      </c>
      <c r="N584" s="387">
        <v>617</v>
      </c>
      <c r="O584" s="321">
        <v>1283193</v>
      </c>
      <c r="P584" s="322">
        <v>101565</v>
      </c>
      <c r="Q584" s="297">
        <v>40928</v>
      </c>
    </row>
    <row r="585" spans="1:17" ht="12" customHeight="1">
      <c r="A585" s="520">
        <v>582</v>
      </c>
      <c r="B585" s="293"/>
      <c r="C585" s="293"/>
      <c r="D585" s="236"/>
      <c r="E585" s="293"/>
      <c r="F585" s="236"/>
      <c r="G585" s="236"/>
      <c r="H585" s="360" t="s">
        <v>382</v>
      </c>
      <c r="I585" s="288" t="s">
        <v>383</v>
      </c>
      <c r="J585" s="370">
        <v>40816</v>
      </c>
      <c r="K585" s="288" t="s">
        <v>324</v>
      </c>
      <c r="L585" s="313">
        <v>41</v>
      </c>
      <c r="M585" s="483">
        <v>1444</v>
      </c>
      <c r="N585" s="484">
        <v>289</v>
      </c>
      <c r="O585" s="314">
        <v>1295476</v>
      </c>
      <c r="P585" s="315">
        <v>103165</v>
      </c>
      <c r="Q585" s="297">
        <v>41012</v>
      </c>
    </row>
    <row r="586" spans="1:17" ht="12" customHeight="1">
      <c r="A586" s="520">
        <v>583</v>
      </c>
      <c r="B586" s="293"/>
      <c r="C586" s="293"/>
      <c r="D586" s="236"/>
      <c r="E586" s="293"/>
      <c r="F586" s="236"/>
      <c r="G586" s="236"/>
      <c r="H586" s="360" t="s">
        <v>382</v>
      </c>
      <c r="I586" s="288" t="s">
        <v>383</v>
      </c>
      <c r="J586" s="320">
        <v>40816</v>
      </c>
      <c r="K586" s="288" t="s">
        <v>324</v>
      </c>
      <c r="L586" s="312">
        <v>41</v>
      </c>
      <c r="M586" s="386">
        <v>1313.5</v>
      </c>
      <c r="N586" s="387">
        <v>100</v>
      </c>
      <c r="O586" s="321">
        <v>1294032</v>
      </c>
      <c r="P586" s="322">
        <v>102876</v>
      </c>
      <c r="Q586" s="297">
        <v>40970</v>
      </c>
    </row>
    <row r="587" spans="1:17" ht="12" customHeight="1">
      <c r="A587" s="520">
        <v>584</v>
      </c>
      <c r="B587" s="293"/>
      <c r="C587" s="293"/>
      <c r="D587" s="236"/>
      <c r="E587" s="293"/>
      <c r="F587" s="236"/>
      <c r="G587" s="236"/>
      <c r="H587" s="360" t="s">
        <v>382</v>
      </c>
      <c r="I587" s="288" t="s">
        <v>383</v>
      </c>
      <c r="J587" s="320">
        <v>40816</v>
      </c>
      <c r="K587" s="288" t="s">
        <v>324</v>
      </c>
      <c r="L587" s="312">
        <v>41</v>
      </c>
      <c r="M587" s="386">
        <v>290</v>
      </c>
      <c r="N587" s="387">
        <v>39</v>
      </c>
      <c r="O587" s="321">
        <v>1299478</v>
      </c>
      <c r="P587" s="322">
        <v>103581</v>
      </c>
      <c r="Q587" s="297">
        <v>41033</v>
      </c>
    </row>
    <row r="588" spans="1:17" ht="12" customHeight="1">
      <c r="A588" s="520">
        <v>585</v>
      </c>
      <c r="B588" s="293"/>
      <c r="C588" s="293"/>
      <c r="D588" s="236"/>
      <c r="E588" s="293"/>
      <c r="F588" s="236"/>
      <c r="G588" s="236"/>
      <c r="H588" s="360" t="s">
        <v>382</v>
      </c>
      <c r="I588" s="288" t="s">
        <v>383</v>
      </c>
      <c r="J588" s="320">
        <v>40816</v>
      </c>
      <c r="K588" s="288" t="s">
        <v>324</v>
      </c>
      <c r="L588" s="312">
        <v>41</v>
      </c>
      <c r="M588" s="386">
        <v>49</v>
      </c>
      <c r="N588" s="387">
        <v>7</v>
      </c>
      <c r="O588" s="321">
        <v>1292719</v>
      </c>
      <c r="P588" s="322">
        <v>102776</v>
      </c>
      <c r="Q588" s="297">
        <v>40956</v>
      </c>
    </row>
    <row r="589" spans="1:17" ht="12" customHeight="1">
      <c r="A589" s="520">
        <v>586</v>
      </c>
      <c r="B589" s="293"/>
      <c r="C589" s="293"/>
      <c r="D589" s="236"/>
      <c r="E589" s="293"/>
      <c r="F589" s="293"/>
      <c r="G589" s="236"/>
      <c r="H589" s="366" t="s">
        <v>567</v>
      </c>
      <c r="I589" s="339" t="s">
        <v>568</v>
      </c>
      <c r="J589" s="320">
        <v>40599</v>
      </c>
      <c r="K589" s="288" t="s">
        <v>68</v>
      </c>
      <c r="L589" s="312">
        <v>60</v>
      </c>
      <c r="M589" s="382">
        <v>1188</v>
      </c>
      <c r="N589" s="383">
        <v>238</v>
      </c>
      <c r="O589" s="328">
        <f>324952+205669.75+36076.25+7149.5+4976+6474+8888+8102.5+7995.5+1904.5+2442.5+3379+326+230+1971.5+455+1188</f>
        <v>622180</v>
      </c>
      <c r="P589" s="344">
        <f>28582+18445+3670+1269+845+865+1858+1230+1292+340+347+689+52+38+447+79+238</f>
        <v>60286</v>
      </c>
      <c r="Q589" s="297">
        <v>40963</v>
      </c>
    </row>
    <row r="590" spans="1:17" ht="12" customHeight="1">
      <c r="A590" s="520">
        <v>587</v>
      </c>
      <c r="B590" s="236" t="s">
        <v>193</v>
      </c>
      <c r="C590" s="236">
        <v>3</v>
      </c>
      <c r="D590" s="236"/>
      <c r="E590" s="236"/>
      <c r="F590" s="236" t="s">
        <v>55</v>
      </c>
      <c r="G590" s="293"/>
      <c r="H590" s="463" t="s">
        <v>189</v>
      </c>
      <c r="I590" s="340" t="s">
        <v>165</v>
      </c>
      <c r="J590" s="320">
        <v>40907</v>
      </c>
      <c r="K590" s="288" t="s">
        <v>8</v>
      </c>
      <c r="L590" s="346">
        <v>73</v>
      </c>
      <c r="M590" s="382">
        <v>119808</v>
      </c>
      <c r="N590" s="383">
        <v>10660</v>
      </c>
      <c r="O590" s="328">
        <v>119808</v>
      </c>
      <c r="P590" s="344">
        <v>10660</v>
      </c>
      <c r="Q590" s="297">
        <v>40907</v>
      </c>
    </row>
    <row r="591" spans="1:17" ht="12" customHeight="1">
      <c r="A591" s="520">
        <v>588</v>
      </c>
      <c r="B591" s="236" t="s">
        <v>193</v>
      </c>
      <c r="C591" s="236">
        <v>3</v>
      </c>
      <c r="D591" s="236"/>
      <c r="E591" s="236"/>
      <c r="F591" s="236" t="s">
        <v>55</v>
      </c>
      <c r="G591" s="293"/>
      <c r="H591" s="463" t="s">
        <v>189</v>
      </c>
      <c r="I591" s="340" t="s">
        <v>165</v>
      </c>
      <c r="J591" s="320">
        <v>40907</v>
      </c>
      <c r="K591" s="288" t="s">
        <v>8</v>
      </c>
      <c r="L591" s="346">
        <v>73</v>
      </c>
      <c r="M591" s="382">
        <v>21746</v>
      </c>
      <c r="N591" s="383">
        <v>2043</v>
      </c>
      <c r="O591" s="328">
        <v>141554</v>
      </c>
      <c r="P591" s="344">
        <v>12703</v>
      </c>
      <c r="Q591" s="297">
        <v>40914</v>
      </c>
    </row>
    <row r="592" spans="1:17" ht="12" customHeight="1">
      <c r="A592" s="520">
        <v>589</v>
      </c>
      <c r="B592" s="236" t="s">
        <v>193</v>
      </c>
      <c r="C592" s="236">
        <v>3</v>
      </c>
      <c r="D592" s="236"/>
      <c r="E592" s="236"/>
      <c r="F592" s="236" t="s">
        <v>55</v>
      </c>
      <c r="G592" s="293"/>
      <c r="H592" s="463" t="s">
        <v>189</v>
      </c>
      <c r="I592" s="340" t="s">
        <v>165</v>
      </c>
      <c r="J592" s="320">
        <v>40907</v>
      </c>
      <c r="K592" s="288" t="s">
        <v>8</v>
      </c>
      <c r="L592" s="346">
        <v>73</v>
      </c>
      <c r="M592" s="384">
        <v>324</v>
      </c>
      <c r="N592" s="385">
        <v>32</v>
      </c>
      <c r="O592" s="328">
        <v>141554</v>
      </c>
      <c r="P592" s="344">
        <v>12703</v>
      </c>
      <c r="Q592" s="297">
        <v>40921</v>
      </c>
    </row>
    <row r="593" spans="1:17" ht="12" customHeight="1">
      <c r="A593" s="520">
        <v>590</v>
      </c>
      <c r="B593" s="236"/>
      <c r="C593" s="236"/>
      <c r="D593" s="236"/>
      <c r="E593" s="236"/>
      <c r="F593" s="236"/>
      <c r="G593" s="236"/>
      <c r="H593" s="462" t="s">
        <v>298</v>
      </c>
      <c r="I593" s="340" t="s">
        <v>300</v>
      </c>
      <c r="J593" s="297">
        <v>40914</v>
      </c>
      <c r="K593" s="288" t="s">
        <v>8</v>
      </c>
      <c r="L593" s="340">
        <v>36</v>
      </c>
      <c r="M593" s="382">
        <v>273878</v>
      </c>
      <c r="N593" s="383">
        <v>21924</v>
      </c>
      <c r="O593" s="328">
        <v>273878</v>
      </c>
      <c r="P593" s="344">
        <v>21924</v>
      </c>
      <c r="Q593" s="297">
        <v>40914</v>
      </c>
    </row>
    <row r="594" spans="1:17" ht="12" customHeight="1">
      <c r="A594" s="520">
        <v>591</v>
      </c>
      <c r="B594" s="236"/>
      <c r="C594" s="236"/>
      <c r="D594" s="236"/>
      <c r="E594" s="236"/>
      <c r="F594" s="236"/>
      <c r="G594" s="236"/>
      <c r="H594" s="462" t="s">
        <v>298</v>
      </c>
      <c r="I594" s="340" t="s">
        <v>300</v>
      </c>
      <c r="J594" s="297">
        <v>40914</v>
      </c>
      <c r="K594" s="288" t="s">
        <v>8</v>
      </c>
      <c r="L594" s="340">
        <v>36</v>
      </c>
      <c r="M594" s="384">
        <v>155690</v>
      </c>
      <c r="N594" s="385">
        <v>13332</v>
      </c>
      <c r="O594" s="328">
        <v>372505</v>
      </c>
      <c r="P594" s="344">
        <v>29481</v>
      </c>
      <c r="Q594" s="297">
        <v>40921</v>
      </c>
    </row>
    <row r="595" spans="1:17" ht="12" customHeight="1">
      <c r="A595" s="520">
        <v>592</v>
      </c>
      <c r="B595" s="236" t="s">
        <v>193</v>
      </c>
      <c r="C595" s="236">
        <v>3</v>
      </c>
      <c r="D595" s="236"/>
      <c r="E595" s="293"/>
      <c r="F595" s="236" t="s">
        <v>55</v>
      </c>
      <c r="G595" s="236"/>
      <c r="H595" s="462" t="s">
        <v>190</v>
      </c>
      <c r="I595" s="340" t="s">
        <v>60</v>
      </c>
      <c r="J595" s="320">
        <v>40760</v>
      </c>
      <c r="K595" s="288" t="s">
        <v>10</v>
      </c>
      <c r="L595" s="341">
        <v>184</v>
      </c>
      <c r="M595" s="382">
        <v>10116</v>
      </c>
      <c r="N595" s="383">
        <v>2291</v>
      </c>
      <c r="O595" s="328">
        <v>11523435</v>
      </c>
      <c r="P595" s="344">
        <v>1146278</v>
      </c>
      <c r="Q595" s="297">
        <v>40935</v>
      </c>
    </row>
    <row r="596" spans="1:17" ht="12" customHeight="1">
      <c r="A596" s="520">
        <v>593</v>
      </c>
      <c r="B596" s="236" t="s">
        <v>193</v>
      </c>
      <c r="C596" s="236">
        <v>3</v>
      </c>
      <c r="D596" s="236"/>
      <c r="E596" s="293"/>
      <c r="F596" s="236" t="s">
        <v>55</v>
      </c>
      <c r="G596" s="236"/>
      <c r="H596" s="462" t="s">
        <v>190</v>
      </c>
      <c r="I596" s="340" t="s">
        <v>60</v>
      </c>
      <c r="J596" s="320">
        <v>40760</v>
      </c>
      <c r="K596" s="288" t="s">
        <v>10</v>
      </c>
      <c r="L596" s="341">
        <v>184</v>
      </c>
      <c r="M596" s="382">
        <v>4268</v>
      </c>
      <c r="N596" s="383">
        <v>880</v>
      </c>
      <c r="O596" s="328">
        <v>11513319</v>
      </c>
      <c r="P596" s="344">
        <v>1143987</v>
      </c>
      <c r="Q596" s="297">
        <v>40928</v>
      </c>
    </row>
    <row r="597" spans="1:17" ht="12" customHeight="1">
      <c r="A597" s="520">
        <v>594</v>
      </c>
      <c r="B597" s="236" t="s">
        <v>193</v>
      </c>
      <c r="C597" s="236">
        <v>3</v>
      </c>
      <c r="D597" s="236"/>
      <c r="E597" s="293"/>
      <c r="F597" s="236" t="s">
        <v>55</v>
      </c>
      <c r="G597" s="236"/>
      <c r="H597" s="462" t="s">
        <v>190</v>
      </c>
      <c r="I597" s="340" t="s">
        <v>60</v>
      </c>
      <c r="J597" s="320">
        <v>40760</v>
      </c>
      <c r="K597" s="288" t="s">
        <v>10</v>
      </c>
      <c r="L597" s="341">
        <v>184</v>
      </c>
      <c r="M597" s="382">
        <v>3227</v>
      </c>
      <c r="N597" s="383">
        <v>581</v>
      </c>
      <c r="O597" s="328">
        <v>11506311</v>
      </c>
      <c r="P597" s="344">
        <v>1142393</v>
      </c>
      <c r="Q597" s="297">
        <v>40907</v>
      </c>
    </row>
    <row r="598" spans="1:17" ht="12" customHeight="1">
      <c r="A598" s="520">
        <v>595</v>
      </c>
      <c r="B598" s="236" t="s">
        <v>193</v>
      </c>
      <c r="C598" s="236">
        <v>3</v>
      </c>
      <c r="D598" s="236"/>
      <c r="E598" s="293"/>
      <c r="F598" s="236" t="s">
        <v>55</v>
      </c>
      <c r="G598" s="236"/>
      <c r="H598" s="462" t="s">
        <v>190</v>
      </c>
      <c r="I598" s="340" t="s">
        <v>60</v>
      </c>
      <c r="J598" s="320">
        <v>40760</v>
      </c>
      <c r="K598" s="288" t="s">
        <v>10</v>
      </c>
      <c r="L598" s="341">
        <v>184</v>
      </c>
      <c r="M598" s="382">
        <v>2676</v>
      </c>
      <c r="N598" s="383">
        <v>704</v>
      </c>
      <c r="O598" s="328">
        <f>11506311+2676</f>
        <v>11508987</v>
      </c>
      <c r="P598" s="344">
        <f>1142393+704</f>
        <v>1143097</v>
      </c>
      <c r="Q598" s="297">
        <v>40914</v>
      </c>
    </row>
    <row r="599" spans="1:17" ht="12" customHeight="1">
      <c r="A599" s="520">
        <v>596</v>
      </c>
      <c r="B599" s="236" t="s">
        <v>193</v>
      </c>
      <c r="C599" s="236">
        <v>3</v>
      </c>
      <c r="D599" s="236"/>
      <c r="E599" s="293"/>
      <c r="F599" s="236" t="s">
        <v>55</v>
      </c>
      <c r="G599" s="236"/>
      <c r="H599" s="364" t="s">
        <v>190</v>
      </c>
      <c r="I599" s="340" t="s">
        <v>60</v>
      </c>
      <c r="J599" s="320">
        <v>40760</v>
      </c>
      <c r="K599" s="288" t="s">
        <v>10</v>
      </c>
      <c r="L599" s="341">
        <v>184</v>
      </c>
      <c r="M599" s="382">
        <v>2378</v>
      </c>
      <c r="N599" s="383">
        <v>535</v>
      </c>
      <c r="O599" s="328">
        <v>11528561</v>
      </c>
      <c r="P599" s="344">
        <v>1147374</v>
      </c>
      <c r="Q599" s="297">
        <v>40956</v>
      </c>
    </row>
    <row r="600" spans="1:17" ht="12" customHeight="1">
      <c r="A600" s="520">
        <v>597</v>
      </c>
      <c r="B600" s="236" t="s">
        <v>193</v>
      </c>
      <c r="C600" s="236">
        <v>3</v>
      </c>
      <c r="D600" s="236"/>
      <c r="E600" s="293"/>
      <c r="F600" s="236" t="s">
        <v>55</v>
      </c>
      <c r="G600" s="236"/>
      <c r="H600" s="364" t="s">
        <v>190</v>
      </c>
      <c r="I600" s="340" t="s">
        <v>60</v>
      </c>
      <c r="J600" s="320">
        <v>40760</v>
      </c>
      <c r="K600" s="288" t="s">
        <v>10</v>
      </c>
      <c r="L600" s="341">
        <v>184</v>
      </c>
      <c r="M600" s="382">
        <v>2378</v>
      </c>
      <c r="N600" s="383">
        <v>535</v>
      </c>
      <c r="O600" s="328">
        <v>11533515</v>
      </c>
      <c r="P600" s="344">
        <v>1148415</v>
      </c>
      <c r="Q600" s="297">
        <v>41019</v>
      </c>
    </row>
    <row r="601" spans="1:17" ht="12" customHeight="1">
      <c r="A601" s="520">
        <v>598</v>
      </c>
      <c r="B601" s="236" t="s">
        <v>193</v>
      </c>
      <c r="C601" s="236">
        <v>3</v>
      </c>
      <c r="D601" s="236"/>
      <c r="E601" s="293"/>
      <c r="F601" s="236" t="s">
        <v>55</v>
      </c>
      <c r="G601" s="236"/>
      <c r="H601" s="364" t="s">
        <v>190</v>
      </c>
      <c r="I601" s="340" t="s">
        <v>60</v>
      </c>
      <c r="J601" s="320">
        <v>40760</v>
      </c>
      <c r="K601" s="288" t="s">
        <v>10</v>
      </c>
      <c r="L601" s="341">
        <v>184</v>
      </c>
      <c r="M601" s="382">
        <v>2152</v>
      </c>
      <c r="N601" s="383">
        <v>412</v>
      </c>
      <c r="O601" s="328">
        <v>11526183</v>
      </c>
      <c r="P601" s="344">
        <v>1146839</v>
      </c>
      <c r="Q601" s="297">
        <v>40949</v>
      </c>
    </row>
    <row r="602" spans="1:17" ht="12" customHeight="1">
      <c r="A602" s="520">
        <v>599</v>
      </c>
      <c r="B602" s="236" t="s">
        <v>193</v>
      </c>
      <c r="C602" s="236">
        <v>3</v>
      </c>
      <c r="D602" s="236"/>
      <c r="E602" s="293"/>
      <c r="F602" s="236" t="s">
        <v>55</v>
      </c>
      <c r="G602" s="236"/>
      <c r="H602" s="364" t="s">
        <v>190</v>
      </c>
      <c r="I602" s="340" t="s">
        <v>60</v>
      </c>
      <c r="J602" s="320">
        <v>40760</v>
      </c>
      <c r="K602" s="288" t="s">
        <v>10</v>
      </c>
      <c r="L602" s="456">
        <v>184</v>
      </c>
      <c r="M602" s="470">
        <v>1190</v>
      </c>
      <c r="N602" s="471">
        <v>238</v>
      </c>
      <c r="O602" s="448">
        <v>11531137</v>
      </c>
      <c r="P602" s="449">
        <v>1147880</v>
      </c>
      <c r="Q602" s="297">
        <v>40984</v>
      </c>
    </row>
    <row r="603" spans="1:17" ht="12" customHeight="1">
      <c r="A603" s="520">
        <v>600</v>
      </c>
      <c r="B603" s="236" t="s">
        <v>193</v>
      </c>
      <c r="C603" s="236">
        <v>3</v>
      </c>
      <c r="D603" s="236"/>
      <c r="E603" s="293"/>
      <c r="F603" s="236" t="s">
        <v>55</v>
      </c>
      <c r="G603" s="236"/>
      <c r="H603" s="364" t="s">
        <v>190</v>
      </c>
      <c r="I603" s="340" t="s">
        <v>60</v>
      </c>
      <c r="J603" s="320">
        <v>40760</v>
      </c>
      <c r="K603" s="288" t="s">
        <v>10</v>
      </c>
      <c r="L603" s="341">
        <v>184</v>
      </c>
      <c r="M603" s="382">
        <v>1190</v>
      </c>
      <c r="N603" s="383">
        <v>238</v>
      </c>
      <c r="O603" s="328">
        <f>11528561+1190</f>
        <v>11529751</v>
      </c>
      <c r="P603" s="344">
        <f>1147374+238</f>
        <v>1147612</v>
      </c>
      <c r="Q603" s="297">
        <v>40963</v>
      </c>
    </row>
    <row r="604" spans="1:17" ht="12" customHeight="1">
      <c r="A604" s="520">
        <v>601</v>
      </c>
      <c r="B604" s="236" t="s">
        <v>193</v>
      </c>
      <c r="C604" s="236">
        <v>3</v>
      </c>
      <c r="D604" s="236"/>
      <c r="E604" s="293"/>
      <c r="F604" s="236" t="s">
        <v>55</v>
      </c>
      <c r="G604" s="236"/>
      <c r="H604" s="462" t="s">
        <v>190</v>
      </c>
      <c r="I604" s="340" t="s">
        <v>60</v>
      </c>
      <c r="J604" s="320">
        <v>40760</v>
      </c>
      <c r="K604" s="288" t="s">
        <v>10</v>
      </c>
      <c r="L604" s="341">
        <v>184</v>
      </c>
      <c r="M604" s="382">
        <v>596</v>
      </c>
      <c r="N604" s="383">
        <v>149</v>
      </c>
      <c r="O604" s="328">
        <v>11524031</v>
      </c>
      <c r="P604" s="344">
        <v>1146427</v>
      </c>
      <c r="Q604" s="297">
        <v>40942</v>
      </c>
    </row>
    <row r="605" spans="1:17" ht="12" customHeight="1">
      <c r="A605" s="520">
        <v>602</v>
      </c>
      <c r="B605" s="236" t="s">
        <v>193</v>
      </c>
      <c r="C605" s="236">
        <v>3</v>
      </c>
      <c r="D605" s="236"/>
      <c r="E605" s="293"/>
      <c r="F605" s="236" t="s">
        <v>55</v>
      </c>
      <c r="G605" s="236"/>
      <c r="H605" s="364" t="s">
        <v>190</v>
      </c>
      <c r="I605" s="340" t="s">
        <v>60</v>
      </c>
      <c r="J605" s="320">
        <v>40760</v>
      </c>
      <c r="K605" s="288" t="s">
        <v>10</v>
      </c>
      <c r="L605" s="341">
        <v>184</v>
      </c>
      <c r="M605" s="382">
        <v>196</v>
      </c>
      <c r="N605" s="383">
        <v>30</v>
      </c>
      <c r="O605" s="328">
        <v>11529947</v>
      </c>
      <c r="P605" s="344">
        <v>1147642</v>
      </c>
      <c r="Q605" s="297">
        <v>40970</v>
      </c>
    </row>
    <row r="606" spans="1:17" ht="12" customHeight="1">
      <c r="A606" s="520">
        <v>603</v>
      </c>
      <c r="B606" s="236" t="s">
        <v>193</v>
      </c>
      <c r="C606" s="236">
        <v>3</v>
      </c>
      <c r="D606" s="236"/>
      <c r="E606" s="293"/>
      <c r="F606" s="236" t="s">
        <v>55</v>
      </c>
      <c r="G606" s="236"/>
      <c r="H606" s="462" t="s">
        <v>190</v>
      </c>
      <c r="I606" s="340" t="s">
        <v>60</v>
      </c>
      <c r="J606" s="320">
        <v>40760</v>
      </c>
      <c r="K606" s="288" t="s">
        <v>10</v>
      </c>
      <c r="L606" s="341">
        <v>184</v>
      </c>
      <c r="M606" s="382">
        <v>64</v>
      </c>
      <c r="N606" s="383">
        <v>10</v>
      </c>
      <c r="O606" s="328">
        <v>11509051</v>
      </c>
      <c r="P606" s="344">
        <v>1143107</v>
      </c>
      <c r="Q606" s="297">
        <v>40921</v>
      </c>
    </row>
    <row r="607" spans="1:17" ht="12" customHeight="1">
      <c r="A607" s="520">
        <v>604</v>
      </c>
      <c r="B607" s="293"/>
      <c r="C607" s="293"/>
      <c r="D607" s="236"/>
      <c r="E607" s="293"/>
      <c r="F607" s="236"/>
      <c r="G607" s="236"/>
      <c r="H607" s="360" t="s">
        <v>588</v>
      </c>
      <c r="I607" s="288" t="s">
        <v>589</v>
      </c>
      <c r="J607" s="320">
        <v>40312</v>
      </c>
      <c r="K607" s="288" t="s">
        <v>52</v>
      </c>
      <c r="L607" s="331">
        <v>64</v>
      </c>
      <c r="M607" s="378">
        <v>1188</v>
      </c>
      <c r="N607" s="379">
        <v>238</v>
      </c>
      <c r="O607" s="334">
        <f>384993+315+150+24+2376+1188</f>
        <v>389046</v>
      </c>
      <c r="P607" s="338">
        <f>43717+38+25+4+475+238</f>
        <v>44497</v>
      </c>
      <c r="Q607" s="297">
        <v>40970</v>
      </c>
    </row>
    <row r="608" spans="1:17" ht="12" customHeight="1">
      <c r="A608" s="520">
        <v>605</v>
      </c>
      <c r="B608" s="236" t="s">
        <v>193</v>
      </c>
      <c r="C608" s="236">
        <v>3</v>
      </c>
      <c r="D608" s="236"/>
      <c r="E608" s="236"/>
      <c r="F608" s="236" t="s">
        <v>55</v>
      </c>
      <c r="G608" s="293"/>
      <c r="H608" s="364" t="s">
        <v>159</v>
      </c>
      <c r="I608" s="340" t="s">
        <v>162</v>
      </c>
      <c r="J608" s="320">
        <v>39710</v>
      </c>
      <c r="K608" s="288" t="s">
        <v>53</v>
      </c>
      <c r="L608" s="346">
        <v>66</v>
      </c>
      <c r="M608" s="378">
        <v>2402</v>
      </c>
      <c r="N608" s="379">
        <v>480</v>
      </c>
      <c r="O608" s="334">
        <f>152576+127511+68854.5+21974+10111.5+7103+7290+0.5+1014+3149+989+3524+0.5+3768+138+2528+257+351.5+573.5+184+3655+10+15+10+210+156+3603+3603+1922+1201+1201+2402</f>
        <v>429885</v>
      </c>
      <c r="P608" s="338">
        <f>50018+825+47+65+137+67+1215+2+3+2+35+26+721+720+384+240+240+480</f>
        <v>55227</v>
      </c>
      <c r="Q608" s="297">
        <v>40949</v>
      </c>
    </row>
    <row r="609" spans="1:17" ht="12" customHeight="1">
      <c r="A609" s="520">
        <v>606</v>
      </c>
      <c r="B609" s="236" t="s">
        <v>193</v>
      </c>
      <c r="C609" s="236">
        <v>3</v>
      </c>
      <c r="D609" s="236"/>
      <c r="E609" s="236"/>
      <c r="F609" s="236" t="s">
        <v>55</v>
      </c>
      <c r="G609" s="293"/>
      <c r="H609" s="462" t="s">
        <v>159</v>
      </c>
      <c r="I609" s="340" t="s">
        <v>162</v>
      </c>
      <c r="J609" s="320">
        <v>39710</v>
      </c>
      <c r="K609" s="288" t="s">
        <v>53</v>
      </c>
      <c r="L609" s="346">
        <v>66</v>
      </c>
      <c r="M609" s="378">
        <v>1201</v>
      </c>
      <c r="N609" s="379">
        <v>240</v>
      </c>
      <c r="O609" s="334">
        <f>152576+127511+68854.5+21974+10111.5+7103+7290+0.5+1014+3149+989+3524+0.5+3768+138+2528+257+351.5+573.5+184+3655+10+15+10+210+156+3603+3603+1922+1201+1201</f>
        <v>427483</v>
      </c>
      <c r="P609" s="338">
        <f>50018+825+47+65+137+67+1215+2+3+2+35+26+721+720+384+240+240</f>
        <v>54747</v>
      </c>
      <c r="Q609" s="297">
        <v>40935</v>
      </c>
    </row>
    <row r="610" spans="1:17" ht="12" customHeight="1">
      <c r="A610" s="520">
        <v>607</v>
      </c>
      <c r="B610" s="236" t="s">
        <v>193</v>
      </c>
      <c r="C610" s="236">
        <v>3</v>
      </c>
      <c r="D610" s="236"/>
      <c r="E610" s="236"/>
      <c r="F610" s="236" t="s">
        <v>55</v>
      </c>
      <c r="G610" s="293"/>
      <c r="H610" s="462" t="s">
        <v>159</v>
      </c>
      <c r="I610" s="340" t="s">
        <v>162</v>
      </c>
      <c r="J610" s="320">
        <v>39710</v>
      </c>
      <c r="K610" s="288" t="s">
        <v>53</v>
      </c>
      <c r="L610" s="346">
        <v>66</v>
      </c>
      <c r="M610" s="378">
        <v>1201</v>
      </c>
      <c r="N610" s="379">
        <v>240</v>
      </c>
      <c r="O610" s="334">
        <f>152576+127511+68854.5+21974+10111.5+7103+7290+0.5+1014+3149+989+3524+0.5+3768+138+2528+257+351.5+573.5+184+3655+10+15+10+210+156+3603+3603+1922+1201</f>
        <v>426282</v>
      </c>
      <c r="P610" s="338">
        <f>50018+825+47+65+137+67+1215+2+3+2+35+26+721+720+384+240</f>
        <v>54507</v>
      </c>
      <c r="Q610" s="297">
        <v>40907</v>
      </c>
    </row>
    <row r="611" spans="1:17" ht="12" customHeight="1">
      <c r="A611" s="520">
        <v>608</v>
      </c>
      <c r="B611" s="236"/>
      <c r="C611" s="236"/>
      <c r="D611" s="236"/>
      <c r="E611" s="236"/>
      <c r="F611" s="236"/>
      <c r="G611" s="236"/>
      <c r="H611" s="462" t="s">
        <v>138</v>
      </c>
      <c r="I611" s="340" t="s">
        <v>139</v>
      </c>
      <c r="J611" s="297">
        <v>40830</v>
      </c>
      <c r="K611" s="288" t="s">
        <v>8</v>
      </c>
      <c r="L611" s="340">
        <v>60</v>
      </c>
      <c r="M611" s="382">
        <v>7574</v>
      </c>
      <c r="N611" s="383">
        <v>1094</v>
      </c>
      <c r="O611" s="328">
        <v>393915</v>
      </c>
      <c r="P611" s="344">
        <v>41412</v>
      </c>
      <c r="Q611" s="297">
        <v>40928</v>
      </c>
    </row>
    <row r="612" spans="1:17" ht="12" customHeight="1">
      <c r="A612" s="520">
        <v>609</v>
      </c>
      <c r="B612" s="236"/>
      <c r="C612" s="236"/>
      <c r="D612" s="236"/>
      <c r="E612" s="236"/>
      <c r="F612" s="236"/>
      <c r="G612" s="236"/>
      <c r="H612" s="364" t="s">
        <v>138</v>
      </c>
      <c r="I612" s="340" t="s">
        <v>139</v>
      </c>
      <c r="J612" s="297">
        <v>40830</v>
      </c>
      <c r="K612" s="288" t="s">
        <v>8</v>
      </c>
      <c r="L612" s="340">
        <v>60</v>
      </c>
      <c r="M612" s="382">
        <v>710</v>
      </c>
      <c r="N612" s="383">
        <v>114</v>
      </c>
      <c r="O612" s="328">
        <v>395335</v>
      </c>
      <c r="P612" s="344">
        <v>41640</v>
      </c>
      <c r="Q612" s="297">
        <v>40949</v>
      </c>
    </row>
    <row r="613" spans="1:17" ht="12" customHeight="1">
      <c r="A613" s="520">
        <v>610</v>
      </c>
      <c r="B613" s="236"/>
      <c r="C613" s="236"/>
      <c r="D613" s="236"/>
      <c r="E613" s="236"/>
      <c r="F613" s="236"/>
      <c r="G613" s="236"/>
      <c r="H613" s="462" t="s">
        <v>138</v>
      </c>
      <c r="I613" s="340" t="s">
        <v>139</v>
      </c>
      <c r="J613" s="297">
        <v>40830</v>
      </c>
      <c r="K613" s="288" t="s">
        <v>8</v>
      </c>
      <c r="L613" s="340">
        <v>60</v>
      </c>
      <c r="M613" s="382">
        <v>476</v>
      </c>
      <c r="N613" s="383">
        <v>70</v>
      </c>
      <c r="O613" s="328">
        <v>386024</v>
      </c>
      <c r="P613" s="344">
        <v>40273</v>
      </c>
      <c r="Q613" s="297">
        <v>40907</v>
      </c>
    </row>
    <row r="614" spans="1:17" ht="12" customHeight="1">
      <c r="A614" s="520">
        <v>611</v>
      </c>
      <c r="B614" s="236"/>
      <c r="C614" s="236">
        <v>3</v>
      </c>
      <c r="D614" s="236"/>
      <c r="E614" s="236"/>
      <c r="F614" s="236"/>
      <c r="G614" s="236"/>
      <c r="H614" s="459" t="s">
        <v>236</v>
      </c>
      <c r="I614" s="339" t="s">
        <v>246</v>
      </c>
      <c r="J614" s="320">
        <v>40830</v>
      </c>
      <c r="K614" s="288" t="s">
        <v>68</v>
      </c>
      <c r="L614" s="312">
        <v>98</v>
      </c>
      <c r="M614" s="382">
        <v>6668.5</v>
      </c>
      <c r="N614" s="383">
        <v>1646</v>
      </c>
      <c r="O614" s="328">
        <f>573965.5+340647.5+298149+37925.5+16221+796+1713.5+3994+1930+1403+3582+6668.5</f>
        <v>1286995.5</v>
      </c>
      <c r="P614" s="344">
        <f>50953+31140+27249+4634+2655+127+438+632+617+597+1015+1646</f>
        <v>121703</v>
      </c>
      <c r="Q614" s="297">
        <v>40907</v>
      </c>
    </row>
    <row r="615" spans="1:17" ht="12" customHeight="1">
      <c r="A615" s="520">
        <v>612</v>
      </c>
      <c r="B615" s="236"/>
      <c r="C615" s="236">
        <v>3</v>
      </c>
      <c r="D615" s="236"/>
      <c r="E615" s="236"/>
      <c r="F615" s="236"/>
      <c r="G615" s="236"/>
      <c r="H615" s="366" t="s">
        <v>236</v>
      </c>
      <c r="I615" s="339" t="s">
        <v>246</v>
      </c>
      <c r="J615" s="320">
        <v>40830</v>
      </c>
      <c r="K615" s="288" t="s">
        <v>68</v>
      </c>
      <c r="L615" s="312">
        <v>98</v>
      </c>
      <c r="M615" s="382">
        <v>3207.5</v>
      </c>
      <c r="N615" s="383">
        <v>641</v>
      </c>
      <c r="O615" s="328">
        <f>573965.5+340647.5+298149+37925.5+16221+796+1713.5+3994+1930+1403+3582+6668.5+488+3207.5</f>
        <v>1290691</v>
      </c>
      <c r="P615" s="344">
        <f>50953+31140+27249+4634+2655+127+438+632+617+597+1015+1646+70+641</f>
        <v>122414</v>
      </c>
      <c r="Q615" s="297">
        <v>40956</v>
      </c>
    </row>
    <row r="616" spans="1:17" ht="12" customHeight="1">
      <c r="A616" s="520">
        <v>613</v>
      </c>
      <c r="B616" s="236"/>
      <c r="C616" s="236">
        <v>3</v>
      </c>
      <c r="D616" s="236"/>
      <c r="E616" s="236"/>
      <c r="F616" s="236"/>
      <c r="G616" s="236"/>
      <c r="H616" s="366" t="s">
        <v>236</v>
      </c>
      <c r="I616" s="339" t="s">
        <v>246</v>
      </c>
      <c r="J616" s="320">
        <v>40830</v>
      </c>
      <c r="K616" s="288" t="s">
        <v>68</v>
      </c>
      <c r="L616" s="313">
        <v>98</v>
      </c>
      <c r="M616" s="382">
        <v>1321.5</v>
      </c>
      <c r="N616" s="383">
        <v>363</v>
      </c>
      <c r="O616" s="328">
        <f>573965.5+340647.5+298149+37925.5+16221+796+1713.5+3994+1930+1403+3582+6668.5+488+3207.5+1321.5</f>
        <v>1292012.5</v>
      </c>
      <c r="P616" s="344">
        <f>50953+31140+27249+4634+2655+127+438+632+617+597+1015+1646+70+641+363</f>
        <v>122777</v>
      </c>
      <c r="Q616" s="297">
        <v>41005</v>
      </c>
    </row>
    <row r="617" spans="1:17" ht="12" customHeight="1">
      <c r="A617" s="520">
        <v>614</v>
      </c>
      <c r="B617" s="236"/>
      <c r="C617" s="236">
        <v>3</v>
      </c>
      <c r="D617" s="236"/>
      <c r="E617" s="236"/>
      <c r="F617" s="236"/>
      <c r="G617" s="236"/>
      <c r="H617" s="459" t="s">
        <v>236</v>
      </c>
      <c r="I617" s="339" t="s">
        <v>246</v>
      </c>
      <c r="J617" s="320">
        <v>40830</v>
      </c>
      <c r="K617" s="288" t="s">
        <v>68</v>
      </c>
      <c r="L617" s="312">
        <v>98</v>
      </c>
      <c r="M617" s="382">
        <v>488</v>
      </c>
      <c r="N617" s="383">
        <v>70</v>
      </c>
      <c r="O617" s="328">
        <f>573965.5+340647.5+298149+37925.5+16221+796+1713.5+3994+1930+1403+3582+6668.5+488</f>
        <v>1287483.5</v>
      </c>
      <c r="P617" s="344">
        <f>50953+31140+27249+4634+2655+127+438+632+617+597+1015+1646+70</f>
        <v>121773</v>
      </c>
      <c r="Q617" s="297">
        <v>40914</v>
      </c>
    </row>
    <row r="618" spans="1:17" ht="12" customHeight="1">
      <c r="A618" s="520">
        <v>615</v>
      </c>
      <c r="B618" s="236"/>
      <c r="C618" s="236"/>
      <c r="D618" s="236"/>
      <c r="E618" s="236"/>
      <c r="F618" s="236"/>
      <c r="G618" s="293"/>
      <c r="H618" s="361" t="s">
        <v>692</v>
      </c>
      <c r="I618" s="340" t="s">
        <v>691</v>
      </c>
      <c r="J618" s="320">
        <v>41005</v>
      </c>
      <c r="K618" s="288" t="s">
        <v>68</v>
      </c>
      <c r="L618" s="346">
        <v>40</v>
      </c>
      <c r="M618" s="382">
        <v>438778.5</v>
      </c>
      <c r="N618" s="383">
        <v>40116</v>
      </c>
      <c r="O618" s="328">
        <f>438778.5</f>
        <v>438778.5</v>
      </c>
      <c r="P618" s="344">
        <f>40116</f>
        <v>40116</v>
      </c>
      <c r="Q618" s="297">
        <v>41005</v>
      </c>
    </row>
    <row r="619" spans="1:17" ht="12" customHeight="1">
      <c r="A619" s="520">
        <v>616</v>
      </c>
      <c r="B619" s="236"/>
      <c r="C619" s="236"/>
      <c r="D619" s="236"/>
      <c r="E619" s="236"/>
      <c r="F619" s="236"/>
      <c r="G619" s="293"/>
      <c r="H619" s="361" t="s">
        <v>692</v>
      </c>
      <c r="I619" s="340" t="s">
        <v>691</v>
      </c>
      <c r="J619" s="370">
        <v>41005</v>
      </c>
      <c r="K619" s="288" t="s">
        <v>68</v>
      </c>
      <c r="L619" s="345">
        <v>40</v>
      </c>
      <c r="M619" s="468">
        <v>285271</v>
      </c>
      <c r="N619" s="469">
        <v>24564</v>
      </c>
      <c r="O619" s="317">
        <f>438778.5+285271</f>
        <v>724049.5</v>
      </c>
      <c r="P619" s="368">
        <f>40116+24564</f>
        <v>64680</v>
      </c>
      <c r="Q619" s="297">
        <v>41012</v>
      </c>
    </row>
    <row r="620" spans="1:17" ht="12" customHeight="1">
      <c r="A620" s="520">
        <v>617</v>
      </c>
      <c r="B620" s="236"/>
      <c r="C620" s="236"/>
      <c r="D620" s="236"/>
      <c r="E620" s="236"/>
      <c r="F620" s="236"/>
      <c r="G620" s="293"/>
      <c r="H620" s="361" t="s">
        <v>692</v>
      </c>
      <c r="I620" s="340" t="s">
        <v>691</v>
      </c>
      <c r="J620" s="320">
        <v>41005</v>
      </c>
      <c r="K620" s="288" t="s">
        <v>68</v>
      </c>
      <c r="L620" s="346">
        <v>40</v>
      </c>
      <c r="M620" s="382">
        <v>189207.75</v>
      </c>
      <c r="N620" s="383">
        <v>16370</v>
      </c>
      <c r="O620" s="328">
        <f>438778.5+285271+189207.75</f>
        <v>913257.25</v>
      </c>
      <c r="P620" s="344">
        <f>40116+24564+16370</f>
        <v>81050</v>
      </c>
      <c r="Q620" s="297">
        <v>41019</v>
      </c>
    </row>
    <row r="621" spans="1:17" ht="12" customHeight="1">
      <c r="A621" s="520">
        <v>618</v>
      </c>
      <c r="B621" s="236"/>
      <c r="C621" s="236"/>
      <c r="D621" s="236"/>
      <c r="E621" s="236"/>
      <c r="F621" s="236"/>
      <c r="G621" s="293"/>
      <c r="H621" s="361" t="s">
        <v>692</v>
      </c>
      <c r="I621" s="312" t="s">
        <v>402</v>
      </c>
      <c r="J621" s="370">
        <v>41005</v>
      </c>
      <c r="K621" s="288" t="s">
        <v>68</v>
      </c>
      <c r="L621" s="346">
        <v>40</v>
      </c>
      <c r="M621" s="468">
        <v>143359.5</v>
      </c>
      <c r="N621" s="469">
        <v>13166</v>
      </c>
      <c r="O621" s="317">
        <f>438778.5+285271+189207.75+143359.5</f>
        <v>1056616.75</v>
      </c>
      <c r="P621" s="368">
        <f>40116+24564+16370+13166</f>
        <v>94216</v>
      </c>
      <c r="Q621" s="297">
        <v>41026</v>
      </c>
    </row>
    <row r="622" spans="1:17" ht="12" customHeight="1">
      <c r="A622" s="520">
        <v>619</v>
      </c>
      <c r="B622" s="236"/>
      <c r="C622" s="236"/>
      <c r="D622" s="236"/>
      <c r="E622" s="236"/>
      <c r="F622" s="236"/>
      <c r="G622" s="293"/>
      <c r="H622" s="361" t="s">
        <v>692</v>
      </c>
      <c r="I622" s="340" t="s">
        <v>691</v>
      </c>
      <c r="J622" s="320">
        <v>41005</v>
      </c>
      <c r="K622" s="288" t="s">
        <v>68</v>
      </c>
      <c r="L622" s="312">
        <v>40</v>
      </c>
      <c r="M622" s="382">
        <v>37113</v>
      </c>
      <c r="N622" s="383">
        <v>3403</v>
      </c>
      <c r="O622" s="328">
        <f>438778.5+285271+189207.75+143359.5+37113</f>
        <v>1093729.75</v>
      </c>
      <c r="P622" s="344">
        <f>40116+24564+16370+13166+3403</f>
        <v>97619</v>
      </c>
      <c r="Q622" s="297">
        <v>41033</v>
      </c>
    </row>
    <row r="623" spans="1:17" ht="12" customHeight="1">
      <c r="A623" s="520">
        <v>620</v>
      </c>
      <c r="B623" s="236"/>
      <c r="C623" s="236"/>
      <c r="D623" s="236"/>
      <c r="E623" s="236"/>
      <c r="F623" s="236"/>
      <c r="G623" s="293"/>
      <c r="H623" s="361" t="s">
        <v>692</v>
      </c>
      <c r="I623" s="340" t="s">
        <v>691</v>
      </c>
      <c r="J623" s="370">
        <v>41005</v>
      </c>
      <c r="K623" s="288" t="s">
        <v>68</v>
      </c>
      <c r="L623" s="312">
        <v>40</v>
      </c>
      <c r="M623" s="382">
        <v>8046.5</v>
      </c>
      <c r="N623" s="383">
        <v>855</v>
      </c>
      <c r="O623" s="328">
        <f>438778.5+285271+189207.75+143359.5+37113+8046.5</f>
        <v>1101776.25</v>
      </c>
      <c r="P623" s="344">
        <f>40116+24564+16370+13166+3403+855</f>
        <v>98474</v>
      </c>
      <c r="Q623" s="297">
        <v>41040</v>
      </c>
    </row>
    <row r="624" spans="1:17" ht="12" customHeight="1">
      <c r="A624" s="520">
        <v>621</v>
      </c>
      <c r="B624" s="236"/>
      <c r="C624" s="236"/>
      <c r="D624" s="236"/>
      <c r="E624" s="236"/>
      <c r="F624" s="236"/>
      <c r="G624" s="236"/>
      <c r="H624" s="362" t="s">
        <v>340</v>
      </c>
      <c r="I624" s="341" t="s">
        <v>341</v>
      </c>
      <c r="J624" s="370">
        <v>40851</v>
      </c>
      <c r="K624" s="288" t="s">
        <v>12</v>
      </c>
      <c r="L624" s="313">
        <v>72</v>
      </c>
      <c r="M624" s="480">
        <v>1722</v>
      </c>
      <c r="N624" s="481">
        <v>287</v>
      </c>
      <c r="O624" s="335">
        <v>1118096</v>
      </c>
      <c r="P624" s="336">
        <v>103487</v>
      </c>
      <c r="Q624" s="297">
        <v>41012</v>
      </c>
    </row>
    <row r="625" spans="1:17" ht="12" customHeight="1">
      <c r="A625" s="520">
        <v>622</v>
      </c>
      <c r="B625" s="236"/>
      <c r="C625" s="236"/>
      <c r="D625" s="236"/>
      <c r="E625" s="236"/>
      <c r="F625" s="236"/>
      <c r="G625" s="236"/>
      <c r="H625" s="460" t="s">
        <v>340</v>
      </c>
      <c r="I625" s="341" t="s">
        <v>341</v>
      </c>
      <c r="J625" s="320">
        <v>40851</v>
      </c>
      <c r="K625" s="288" t="s">
        <v>12</v>
      </c>
      <c r="L625" s="312">
        <v>72</v>
      </c>
      <c r="M625" s="378">
        <v>612</v>
      </c>
      <c r="N625" s="379">
        <v>102</v>
      </c>
      <c r="O625" s="334">
        <v>1116374</v>
      </c>
      <c r="P625" s="338">
        <v>103200</v>
      </c>
      <c r="Q625" s="297">
        <v>40921</v>
      </c>
    </row>
    <row r="626" spans="1:17" ht="12" customHeight="1">
      <c r="A626" s="520">
        <v>623</v>
      </c>
      <c r="B626" s="236"/>
      <c r="C626" s="236"/>
      <c r="D626" s="236"/>
      <c r="E626" s="236"/>
      <c r="F626" s="236"/>
      <c r="G626" s="236"/>
      <c r="H626" s="465" t="s">
        <v>374</v>
      </c>
      <c r="I626" s="319" t="s">
        <v>378</v>
      </c>
      <c r="J626" s="320">
        <v>40907</v>
      </c>
      <c r="K626" s="288" t="s">
        <v>8</v>
      </c>
      <c r="L626" s="346">
        <v>73</v>
      </c>
      <c r="M626" s="380">
        <v>324</v>
      </c>
      <c r="N626" s="381">
        <v>32</v>
      </c>
      <c r="O626" s="342">
        <v>141554</v>
      </c>
      <c r="P626" s="343">
        <v>12703</v>
      </c>
      <c r="Q626" s="297">
        <v>40928</v>
      </c>
    </row>
    <row r="627" spans="1:17" ht="12" customHeight="1">
      <c r="A627" s="520">
        <v>624</v>
      </c>
      <c r="B627" s="236"/>
      <c r="C627" s="236"/>
      <c r="D627" s="236"/>
      <c r="E627" s="294"/>
      <c r="F627" s="294"/>
      <c r="G627" s="236" t="s">
        <v>54</v>
      </c>
      <c r="H627" s="362" t="s">
        <v>597</v>
      </c>
      <c r="I627" s="288" t="s">
        <v>597</v>
      </c>
      <c r="J627" s="297">
        <v>40682</v>
      </c>
      <c r="K627" s="288" t="s">
        <v>10</v>
      </c>
      <c r="L627" s="313">
        <v>164</v>
      </c>
      <c r="M627" s="380">
        <v>1190</v>
      </c>
      <c r="N627" s="381">
        <v>238</v>
      </c>
      <c r="O627" s="342">
        <v>579858</v>
      </c>
      <c r="P627" s="343">
        <v>64001</v>
      </c>
      <c r="Q627" s="297">
        <v>40998</v>
      </c>
    </row>
    <row r="628" spans="1:17" ht="12" customHeight="1">
      <c r="A628" s="520">
        <v>625</v>
      </c>
      <c r="B628" s="236"/>
      <c r="C628" s="236"/>
      <c r="D628" s="236"/>
      <c r="E628" s="294"/>
      <c r="F628" s="294"/>
      <c r="G628" s="236" t="s">
        <v>54</v>
      </c>
      <c r="H628" s="362" t="s">
        <v>597</v>
      </c>
      <c r="I628" s="288" t="s">
        <v>597</v>
      </c>
      <c r="J628" s="297">
        <v>40682</v>
      </c>
      <c r="K628" s="288" t="s">
        <v>10</v>
      </c>
      <c r="L628" s="312">
        <v>164</v>
      </c>
      <c r="M628" s="382">
        <v>1188</v>
      </c>
      <c r="N628" s="383">
        <v>297</v>
      </c>
      <c r="O628" s="328">
        <v>578668</v>
      </c>
      <c r="P628" s="344">
        <v>63763</v>
      </c>
      <c r="Q628" s="297">
        <v>40970</v>
      </c>
    </row>
    <row r="629" spans="1:17" ht="12" customHeight="1">
      <c r="A629" s="520">
        <v>626</v>
      </c>
      <c r="B629" s="293"/>
      <c r="C629" s="293"/>
      <c r="D629" s="236"/>
      <c r="E629" s="236" t="s">
        <v>250</v>
      </c>
      <c r="F629" s="236"/>
      <c r="G629" s="236"/>
      <c r="H629" s="459" t="s">
        <v>86</v>
      </c>
      <c r="I629" s="340" t="s">
        <v>84</v>
      </c>
      <c r="J629" s="320">
        <v>40865</v>
      </c>
      <c r="K629" s="288" t="s">
        <v>68</v>
      </c>
      <c r="L629" s="340">
        <v>269</v>
      </c>
      <c r="M629" s="382">
        <v>50403.5</v>
      </c>
      <c r="N629" s="383">
        <v>10176</v>
      </c>
      <c r="O629" s="328">
        <f>5909490.25+3097966.75+1490952+971866.5+533653.5+131687+50403.5</f>
        <v>12186019.5</v>
      </c>
      <c r="P629" s="344">
        <f>649738+347416+170125+112162+66621+19435+10176</f>
        <v>1375673</v>
      </c>
      <c r="Q629" s="297">
        <v>40907</v>
      </c>
    </row>
    <row r="630" spans="1:17" ht="12" customHeight="1">
      <c r="A630" s="520">
        <v>627</v>
      </c>
      <c r="B630" s="293"/>
      <c r="C630" s="293"/>
      <c r="D630" s="236"/>
      <c r="E630" s="236" t="s">
        <v>250</v>
      </c>
      <c r="F630" s="236"/>
      <c r="G630" s="236"/>
      <c r="H630" s="459" t="s">
        <v>86</v>
      </c>
      <c r="I630" s="340" t="s">
        <v>84</v>
      </c>
      <c r="J630" s="320">
        <v>40865</v>
      </c>
      <c r="K630" s="288" t="s">
        <v>68</v>
      </c>
      <c r="L630" s="340">
        <v>269</v>
      </c>
      <c r="M630" s="382">
        <v>9558</v>
      </c>
      <c r="N630" s="383">
        <v>1583</v>
      </c>
      <c r="O630" s="328">
        <f>5909490.25+3097966.75+1490952+971866.5+533653.5+131687+50452.5+9558</f>
        <v>12195626.5</v>
      </c>
      <c r="P630" s="344">
        <f>649738+347416+170125+112162+66621+19435+10184+1583</f>
        <v>1377264</v>
      </c>
      <c r="Q630" s="297">
        <v>40914</v>
      </c>
    </row>
    <row r="631" spans="1:17" ht="12" customHeight="1">
      <c r="A631" s="520">
        <v>628</v>
      </c>
      <c r="B631" s="293"/>
      <c r="C631" s="293"/>
      <c r="D631" s="236"/>
      <c r="E631" s="236" t="s">
        <v>250</v>
      </c>
      <c r="F631" s="236"/>
      <c r="G631" s="236"/>
      <c r="H631" s="459" t="s">
        <v>86</v>
      </c>
      <c r="I631" s="340" t="s">
        <v>84</v>
      </c>
      <c r="J631" s="320">
        <v>40865</v>
      </c>
      <c r="K631" s="288" t="s">
        <v>68</v>
      </c>
      <c r="L631" s="340">
        <v>269</v>
      </c>
      <c r="M631" s="382">
        <v>4400</v>
      </c>
      <c r="N631" s="383">
        <v>654</v>
      </c>
      <c r="O631" s="328">
        <f>5909490.25+3097966.75+1490952+971866.5+533653.5+131687+50452.5+9558+4400</f>
        <v>12200026.5</v>
      </c>
      <c r="P631" s="344">
        <f>649738+347416+170125+112162+66621+19435+10184+1583+654</f>
        <v>1377918</v>
      </c>
      <c r="Q631" s="297">
        <v>40921</v>
      </c>
    </row>
    <row r="632" spans="1:17" ht="12" customHeight="1">
      <c r="A632" s="520">
        <v>629</v>
      </c>
      <c r="B632" s="293"/>
      <c r="C632" s="293"/>
      <c r="D632" s="236"/>
      <c r="E632" s="236" t="s">
        <v>250</v>
      </c>
      <c r="F632" s="236"/>
      <c r="G632" s="236"/>
      <c r="H632" s="459" t="s">
        <v>86</v>
      </c>
      <c r="I632" s="340" t="s">
        <v>84</v>
      </c>
      <c r="J632" s="320">
        <v>40865</v>
      </c>
      <c r="K632" s="288" t="s">
        <v>68</v>
      </c>
      <c r="L632" s="340">
        <v>269</v>
      </c>
      <c r="M632" s="382">
        <v>2984</v>
      </c>
      <c r="N632" s="383">
        <v>504</v>
      </c>
      <c r="O632" s="328">
        <f>5909490.25+3097966.75+1490952+971866.5+533653.5+131687+50452.5+9558+4400+2382+513+2984</f>
        <v>12205905.5</v>
      </c>
      <c r="P632" s="344">
        <f>649738+347416+170125+112162+66621+19435+10184+1583+654+354+78+504</f>
        <v>1378854</v>
      </c>
      <c r="Q632" s="297">
        <v>40942</v>
      </c>
    </row>
    <row r="633" spans="1:17" ht="12" customHeight="1">
      <c r="A633" s="520">
        <v>630</v>
      </c>
      <c r="B633" s="293"/>
      <c r="C633" s="293"/>
      <c r="D633" s="236"/>
      <c r="E633" s="236" t="s">
        <v>250</v>
      </c>
      <c r="F633" s="236"/>
      <c r="G633" s="236"/>
      <c r="H633" s="366" t="s">
        <v>86</v>
      </c>
      <c r="I633" s="340" t="s">
        <v>84</v>
      </c>
      <c r="J633" s="320">
        <v>40865</v>
      </c>
      <c r="K633" s="288" t="s">
        <v>68</v>
      </c>
      <c r="L633" s="340">
        <v>269</v>
      </c>
      <c r="M633" s="382">
        <v>2736</v>
      </c>
      <c r="N633" s="383">
        <v>583</v>
      </c>
      <c r="O633" s="328">
        <f>5909490.25+3097966.75+1490952+971866.5+533653.5+131687+50452.5+9558+4400+2382+513+2984+2736</f>
        <v>12208641.5</v>
      </c>
      <c r="P633" s="344">
        <f>649738+347416+170125+112162+66621+19435+10184+1583+654+354+78+504+583</f>
        <v>1379437</v>
      </c>
      <c r="Q633" s="297">
        <v>40949</v>
      </c>
    </row>
    <row r="634" spans="1:17" ht="12" customHeight="1">
      <c r="A634" s="520">
        <v>631</v>
      </c>
      <c r="B634" s="293"/>
      <c r="C634" s="293"/>
      <c r="D634" s="236"/>
      <c r="E634" s="236" t="s">
        <v>250</v>
      </c>
      <c r="F634" s="236"/>
      <c r="G634" s="236"/>
      <c r="H634" s="459" t="s">
        <v>86</v>
      </c>
      <c r="I634" s="340" t="s">
        <v>84</v>
      </c>
      <c r="J634" s="320">
        <v>40865</v>
      </c>
      <c r="K634" s="288" t="s">
        <v>68</v>
      </c>
      <c r="L634" s="340">
        <v>269</v>
      </c>
      <c r="M634" s="382">
        <v>1134</v>
      </c>
      <c r="N634" s="383">
        <v>159</v>
      </c>
      <c r="O634" s="328">
        <f>5909490.25+3097966.75+1490952+971866.5+533653.5+131687+50452.5+9558+4400+2382</f>
        <v>12202408.5</v>
      </c>
      <c r="P634" s="344">
        <f>649738+347416+170125+112162+66621+19435+10184+1583+654+354</f>
        <v>1378272</v>
      </c>
      <c r="Q634" s="297">
        <v>40928</v>
      </c>
    </row>
    <row r="635" spans="1:17" ht="12" customHeight="1">
      <c r="A635" s="520">
        <v>632</v>
      </c>
      <c r="B635" s="293"/>
      <c r="C635" s="293"/>
      <c r="D635" s="236"/>
      <c r="E635" s="236" t="s">
        <v>250</v>
      </c>
      <c r="F635" s="236"/>
      <c r="G635" s="236"/>
      <c r="H635" s="459" t="s">
        <v>86</v>
      </c>
      <c r="I635" s="340" t="s">
        <v>84</v>
      </c>
      <c r="J635" s="320">
        <v>40865</v>
      </c>
      <c r="K635" s="288" t="s">
        <v>68</v>
      </c>
      <c r="L635" s="340">
        <v>269</v>
      </c>
      <c r="M635" s="382">
        <v>513</v>
      </c>
      <c r="N635" s="383">
        <v>78</v>
      </c>
      <c r="O635" s="328">
        <f>5909490.25+3097966.75+1490952+971866.5+533653.5+131687+50452.5+9558+4400+2382+513</f>
        <v>12202921.5</v>
      </c>
      <c r="P635" s="344">
        <f>649738+347416+170125+112162+66621+19435+10184+1583+654+354+78</f>
        <v>1378350</v>
      </c>
      <c r="Q635" s="297">
        <v>40935</v>
      </c>
    </row>
    <row r="636" spans="1:17" ht="12" customHeight="1">
      <c r="A636" s="520">
        <v>633</v>
      </c>
      <c r="B636" s="293"/>
      <c r="C636" s="293"/>
      <c r="D636" s="236"/>
      <c r="E636" s="236" t="s">
        <v>250</v>
      </c>
      <c r="F636" s="236"/>
      <c r="G636" s="236"/>
      <c r="H636" s="366" t="s">
        <v>86</v>
      </c>
      <c r="I636" s="340" t="s">
        <v>84</v>
      </c>
      <c r="J636" s="320">
        <v>40865</v>
      </c>
      <c r="K636" s="288" t="s">
        <v>68</v>
      </c>
      <c r="L636" s="340">
        <v>269</v>
      </c>
      <c r="M636" s="382">
        <v>306</v>
      </c>
      <c r="N636" s="383">
        <v>34</v>
      </c>
      <c r="O636" s="328">
        <f>5909490.25+3097966.75+1490952+971866.5+533653.5+131687+50452.5+9558+4400+2382+513+2984+2736+306</f>
        <v>12208947.5</v>
      </c>
      <c r="P636" s="344">
        <f>649738+347416+170125+112162+66621+19435+10184+1583+654+354+78+504+583+34</f>
        <v>1379471</v>
      </c>
      <c r="Q636" s="297">
        <v>40963</v>
      </c>
    </row>
    <row r="637" spans="1:17" ht="12" customHeight="1">
      <c r="A637" s="520">
        <v>634</v>
      </c>
      <c r="B637" s="236"/>
      <c r="C637" s="236"/>
      <c r="D637" s="236"/>
      <c r="E637" s="236"/>
      <c r="F637" s="236"/>
      <c r="G637" s="236"/>
      <c r="H637" s="366" t="s">
        <v>634</v>
      </c>
      <c r="I637" s="339" t="s">
        <v>636</v>
      </c>
      <c r="J637" s="320">
        <v>40494</v>
      </c>
      <c r="K637" s="288" t="s">
        <v>68</v>
      </c>
      <c r="L637" s="312">
        <v>80</v>
      </c>
      <c r="M637" s="470">
        <v>1782</v>
      </c>
      <c r="N637" s="471">
        <v>356</v>
      </c>
      <c r="O637" s="448">
        <f>400584.5+260220.5+91588.5+26738.5+6598.5+10112.5+8832+11751.5+1782+1570.5+3564+90+1782</f>
        <v>825215</v>
      </c>
      <c r="P637" s="449">
        <f>34427+24318+9929+5066+1310+1866+1322+2055+445+470+891+15+356</f>
        <v>82470</v>
      </c>
      <c r="Q637" s="297">
        <v>40984</v>
      </c>
    </row>
    <row r="638" spans="1:17" ht="12" customHeight="1">
      <c r="A638" s="520">
        <v>635</v>
      </c>
      <c r="B638" s="236"/>
      <c r="C638" s="236"/>
      <c r="D638" s="236"/>
      <c r="E638" s="236"/>
      <c r="F638" s="236"/>
      <c r="G638" s="236" t="s">
        <v>54</v>
      </c>
      <c r="H638" s="459" t="s">
        <v>232</v>
      </c>
      <c r="I638" s="339" t="s">
        <v>232</v>
      </c>
      <c r="J638" s="297">
        <v>40095</v>
      </c>
      <c r="K638" s="288" t="s">
        <v>68</v>
      </c>
      <c r="L638" s="312">
        <v>52</v>
      </c>
      <c r="M638" s="382">
        <v>952</v>
      </c>
      <c r="N638" s="383">
        <v>238</v>
      </c>
      <c r="O638" s="328">
        <f>108013.25+68864+27976+10214+2402+2209+1188+2968+1780+1780+2427.4+364.82+248.58+1780+1188+952</f>
        <v>234355.05</v>
      </c>
      <c r="P638" s="344">
        <f>12202+8144+4339+1841+481+460+297+742+445+445+599+87+57+445+297+238</f>
        <v>31119</v>
      </c>
      <c r="Q638" s="297">
        <v>40907</v>
      </c>
    </row>
    <row r="639" spans="1:17" ht="12" customHeight="1">
      <c r="A639" s="520">
        <v>636</v>
      </c>
      <c r="B639" s="236"/>
      <c r="C639" s="236"/>
      <c r="D639" s="236"/>
      <c r="E639" s="236"/>
      <c r="F639" s="236"/>
      <c r="G639" s="236" t="s">
        <v>54</v>
      </c>
      <c r="H639" s="464" t="s">
        <v>503</v>
      </c>
      <c r="I639" s="288" t="s">
        <v>503</v>
      </c>
      <c r="J639" s="297">
        <v>40900</v>
      </c>
      <c r="K639" s="288" t="s">
        <v>471</v>
      </c>
      <c r="L639" s="312">
        <v>1</v>
      </c>
      <c r="M639" s="378">
        <v>633</v>
      </c>
      <c r="N639" s="379">
        <v>211</v>
      </c>
      <c r="O639" s="334">
        <v>4823</v>
      </c>
      <c r="P639" s="338">
        <v>630</v>
      </c>
      <c r="Q639" s="297">
        <v>40942</v>
      </c>
    </row>
    <row r="640" spans="1:17" ht="12" customHeight="1">
      <c r="A640" s="520">
        <v>637</v>
      </c>
      <c r="B640" s="236"/>
      <c r="C640" s="236"/>
      <c r="D640" s="293"/>
      <c r="E640" s="236"/>
      <c r="F640" s="236"/>
      <c r="G640" s="236"/>
      <c r="H640" s="459" t="s">
        <v>389</v>
      </c>
      <c r="I640" s="339" t="s">
        <v>395</v>
      </c>
      <c r="J640" s="320">
        <v>40648</v>
      </c>
      <c r="K640" s="288" t="s">
        <v>68</v>
      </c>
      <c r="L640" s="312">
        <v>72</v>
      </c>
      <c r="M640" s="382">
        <v>3801.5</v>
      </c>
      <c r="N640" s="383">
        <v>950</v>
      </c>
      <c r="O640" s="328">
        <f>313705+218661+94172+73484.5+60319.5+15976+18868+7512+25645.5+15093+6591+2599+2683+1937.5+1629+2257+1715+1468+632+686+483+950+882+2440.5+336+3801.5</f>
        <v>874527</v>
      </c>
      <c r="P640" s="344">
        <f>29673+21437+10530+10169+8845+2631+2981+1155+3600+2641+1030+393+512+262+251+329+256+223+101+108+77+153+142+619+90+950</f>
        <v>99158</v>
      </c>
      <c r="Q640" s="297">
        <v>40928</v>
      </c>
    </row>
    <row r="641" spans="1:17" ht="12" customHeight="1">
      <c r="A641" s="520">
        <v>638</v>
      </c>
      <c r="B641" s="236"/>
      <c r="C641" s="236"/>
      <c r="D641" s="236"/>
      <c r="E641" s="236"/>
      <c r="F641" s="236"/>
      <c r="G641" s="293"/>
      <c r="H641" s="361" t="s">
        <v>125</v>
      </c>
      <c r="I641" s="319" t="s">
        <v>124</v>
      </c>
      <c r="J641" s="297">
        <v>40851</v>
      </c>
      <c r="K641" s="288" t="s">
        <v>52</v>
      </c>
      <c r="L641" s="337">
        <v>29</v>
      </c>
      <c r="M641" s="378">
        <v>1188</v>
      </c>
      <c r="N641" s="379">
        <v>238</v>
      </c>
      <c r="O641" s="334">
        <f>58904+19329.5+590+8101+236+218+391.5+325+1050+132+48+1188</f>
        <v>90513</v>
      </c>
      <c r="P641" s="338">
        <f>5890+1991+54+1603+47+38+47+65+150+22+8+238</f>
        <v>10153</v>
      </c>
      <c r="Q641" s="297">
        <v>40998</v>
      </c>
    </row>
    <row r="642" spans="1:17" ht="12" customHeight="1">
      <c r="A642" s="520">
        <v>639</v>
      </c>
      <c r="B642" s="236"/>
      <c r="C642" s="236"/>
      <c r="D642" s="236"/>
      <c r="E642" s="236"/>
      <c r="F642" s="236"/>
      <c r="G642" s="293"/>
      <c r="H642" s="463" t="s">
        <v>125</v>
      </c>
      <c r="I642" s="319" t="s">
        <v>124</v>
      </c>
      <c r="J642" s="297">
        <v>40851</v>
      </c>
      <c r="K642" s="288" t="s">
        <v>52</v>
      </c>
      <c r="L642" s="341">
        <v>29</v>
      </c>
      <c r="M642" s="476">
        <v>1050</v>
      </c>
      <c r="N642" s="477">
        <v>150</v>
      </c>
      <c r="O642" s="453">
        <f>58904+19329.5+590+8101+236+218+391.5+325+1050</f>
        <v>89145</v>
      </c>
      <c r="P642" s="338">
        <f>5890+1991+54+1603+47+38+47+65+150</f>
        <v>9885</v>
      </c>
      <c r="Q642" s="297">
        <v>40921</v>
      </c>
    </row>
    <row r="643" spans="1:17" ht="12" customHeight="1">
      <c r="A643" s="520">
        <v>640</v>
      </c>
      <c r="B643" s="236"/>
      <c r="C643" s="236"/>
      <c r="D643" s="236"/>
      <c r="E643" s="236"/>
      <c r="F643" s="236"/>
      <c r="G643" s="293"/>
      <c r="H643" s="463" t="s">
        <v>125</v>
      </c>
      <c r="I643" s="319" t="s">
        <v>124</v>
      </c>
      <c r="J643" s="297">
        <v>40851</v>
      </c>
      <c r="K643" s="288" t="s">
        <v>52</v>
      </c>
      <c r="L643" s="341">
        <v>29</v>
      </c>
      <c r="M643" s="474">
        <v>391.5</v>
      </c>
      <c r="N643" s="475">
        <v>47</v>
      </c>
      <c r="O643" s="330">
        <f>58904+19329.5+590+8101+236+218+391.5</f>
        <v>87770</v>
      </c>
      <c r="P643" s="338">
        <f>5890+1991+54+1603+47+38+47</f>
        <v>9670</v>
      </c>
      <c r="Q643" s="297">
        <v>40907</v>
      </c>
    </row>
    <row r="644" spans="1:17" ht="12" customHeight="1">
      <c r="A644" s="520">
        <v>641</v>
      </c>
      <c r="B644" s="236"/>
      <c r="C644" s="236"/>
      <c r="D644" s="236"/>
      <c r="E644" s="236"/>
      <c r="F644" s="236"/>
      <c r="G644" s="293"/>
      <c r="H644" s="463" t="s">
        <v>125</v>
      </c>
      <c r="I644" s="319" t="s">
        <v>124</v>
      </c>
      <c r="J644" s="297">
        <v>40851</v>
      </c>
      <c r="K644" s="288" t="s">
        <v>52</v>
      </c>
      <c r="L644" s="341">
        <v>29</v>
      </c>
      <c r="M644" s="378">
        <v>132</v>
      </c>
      <c r="N644" s="379">
        <v>22</v>
      </c>
      <c r="O644" s="334">
        <f>58904+19329.5+590+8101+236+218+391.5+325+1050+132</f>
        <v>89277</v>
      </c>
      <c r="P644" s="442">
        <f>5890+1991+54+1603+47+38+47+65+150+22</f>
        <v>9907</v>
      </c>
      <c r="Q644" s="297">
        <v>40942</v>
      </c>
    </row>
    <row r="645" spans="1:17" ht="12" customHeight="1">
      <c r="A645" s="520">
        <v>642</v>
      </c>
      <c r="B645" s="236"/>
      <c r="C645" s="236"/>
      <c r="D645" s="236"/>
      <c r="E645" s="236"/>
      <c r="F645" s="236"/>
      <c r="G645" s="293"/>
      <c r="H645" s="361" t="s">
        <v>125</v>
      </c>
      <c r="I645" s="319" t="s">
        <v>124</v>
      </c>
      <c r="J645" s="297">
        <v>40851</v>
      </c>
      <c r="K645" s="288" t="s">
        <v>52</v>
      </c>
      <c r="L645" s="341">
        <v>29</v>
      </c>
      <c r="M645" s="378">
        <v>48</v>
      </c>
      <c r="N645" s="379">
        <v>8</v>
      </c>
      <c r="O645" s="334">
        <f>58904+19329.5+590+8101+236+218+391.5+325+1050+132+48</f>
        <v>89325</v>
      </c>
      <c r="P645" s="338">
        <f>5890+1991+54+1603+47+38+47+65+150+22+8</f>
        <v>9915</v>
      </c>
      <c r="Q645" s="297">
        <v>40949</v>
      </c>
    </row>
    <row r="646" spans="1:17" ht="12" customHeight="1">
      <c r="A646" s="520">
        <v>643</v>
      </c>
      <c r="B646" s="236"/>
      <c r="C646" s="236"/>
      <c r="D646" s="236"/>
      <c r="E646" s="293"/>
      <c r="F646" s="236"/>
      <c r="G646" s="236"/>
      <c r="H646" s="366" t="s">
        <v>531</v>
      </c>
      <c r="I646" s="339" t="s">
        <v>535</v>
      </c>
      <c r="J646" s="320">
        <v>40746</v>
      </c>
      <c r="K646" s="288" t="s">
        <v>68</v>
      </c>
      <c r="L646" s="312">
        <v>8</v>
      </c>
      <c r="M646" s="382">
        <v>3801.5</v>
      </c>
      <c r="N646" s="383">
        <v>761</v>
      </c>
      <c r="O646" s="328">
        <f>34995.5+29767+4050+6340+3008.5+4152+1152+3132.5+792+962+1663+1188+1188+3801.5</f>
        <v>96192</v>
      </c>
      <c r="P646" s="344">
        <f>2476+2114+377+695+481+799+155+438+105+135+416+238+238+761</f>
        <v>9428</v>
      </c>
      <c r="Q646" s="297">
        <v>40977</v>
      </c>
    </row>
    <row r="647" spans="1:17" ht="12" customHeight="1">
      <c r="A647" s="520">
        <v>644</v>
      </c>
      <c r="B647" s="236"/>
      <c r="C647" s="236"/>
      <c r="D647" s="236"/>
      <c r="E647" s="293"/>
      <c r="F647" s="236"/>
      <c r="G647" s="236"/>
      <c r="H647" s="366" t="s">
        <v>531</v>
      </c>
      <c r="I647" s="339" t="s">
        <v>535</v>
      </c>
      <c r="J647" s="320">
        <v>40746</v>
      </c>
      <c r="K647" s="288" t="s">
        <v>68</v>
      </c>
      <c r="L647" s="312">
        <v>8</v>
      </c>
      <c r="M647" s="382">
        <v>1188</v>
      </c>
      <c r="N647" s="383">
        <v>238</v>
      </c>
      <c r="O647" s="328">
        <f>34995.5+29767+4050+6340+3008.5+4152+1152+3132.5+792+962+1663+1188+1188</f>
        <v>92390.5</v>
      </c>
      <c r="P647" s="344">
        <f>2476+2114+377+695+481+799+155+438+105+135+416+238+238</f>
        <v>8667</v>
      </c>
      <c r="Q647" s="297">
        <v>40963</v>
      </c>
    </row>
    <row r="648" spans="1:17" ht="12" customHeight="1">
      <c r="A648" s="520">
        <v>645</v>
      </c>
      <c r="B648" s="236"/>
      <c r="C648" s="236"/>
      <c r="D648" s="236"/>
      <c r="E648" s="293"/>
      <c r="F648" s="236"/>
      <c r="G648" s="236"/>
      <c r="H648" s="366" t="s">
        <v>531</v>
      </c>
      <c r="I648" s="339" t="s">
        <v>535</v>
      </c>
      <c r="J648" s="320">
        <v>40746</v>
      </c>
      <c r="K648" s="288" t="s">
        <v>68</v>
      </c>
      <c r="L648" s="312">
        <v>8</v>
      </c>
      <c r="M648" s="382">
        <v>1188</v>
      </c>
      <c r="N648" s="383">
        <v>238</v>
      </c>
      <c r="O648" s="328">
        <f>34995.5+29767+4050+6340+3008.5+4152+1152+3132.5+792+962+1663+1188</f>
        <v>91202.5</v>
      </c>
      <c r="P648" s="344">
        <f>2476+2114+377+695+481+799+155+438+105+135+416+238</f>
        <v>8429</v>
      </c>
      <c r="Q648" s="297">
        <v>40949</v>
      </c>
    </row>
    <row r="649" spans="1:17" ht="12" customHeight="1">
      <c r="A649" s="520">
        <v>646</v>
      </c>
      <c r="B649" s="236"/>
      <c r="C649" s="236"/>
      <c r="D649" s="236"/>
      <c r="E649" s="293"/>
      <c r="F649" s="236"/>
      <c r="G649" s="236"/>
      <c r="H649" s="366" t="s">
        <v>531</v>
      </c>
      <c r="I649" s="339" t="s">
        <v>535</v>
      </c>
      <c r="J649" s="320">
        <v>40746</v>
      </c>
      <c r="K649" s="288" t="s">
        <v>68</v>
      </c>
      <c r="L649" s="312">
        <v>8</v>
      </c>
      <c r="M649" s="382">
        <v>332</v>
      </c>
      <c r="N649" s="383">
        <v>144</v>
      </c>
      <c r="O649" s="328">
        <f>34995.5+29767+4050+6340+3008.5+4152+1152+3132.5+792+962+1663+1188+1188+3801.5+332</f>
        <v>96524</v>
      </c>
      <c r="P649" s="344">
        <f>2476+2114+377+695+481+799+155+438+105+135+416+238+238+761+144</f>
        <v>9572</v>
      </c>
      <c r="Q649" s="297">
        <v>40991</v>
      </c>
    </row>
    <row r="650" spans="1:17" ht="12" customHeight="1">
      <c r="A650" s="520">
        <v>647</v>
      </c>
      <c r="B650" s="236" t="s">
        <v>193</v>
      </c>
      <c r="C650" s="236"/>
      <c r="D650" s="236"/>
      <c r="E650" s="236"/>
      <c r="F650" s="236" t="s">
        <v>55</v>
      </c>
      <c r="G650" s="236"/>
      <c r="H650" s="460" t="s">
        <v>176</v>
      </c>
      <c r="I650" s="341" t="s">
        <v>176</v>
      </c>
      <c r="J650" s="297">
        <v>40648</v>
      </c>
      <c r="K650" s="288" t="s">
        <v>12</v>
      </c>
      <c r="L650" s="312">
        <v>76</v>
      </c>
      <c r="M650" s="378">
        <v>608</v>
      </c>
      <c r="N650" s="379">
        <v>119</v>
      </c>
      <c r="O650" s="334">
        <v>571364</v>
      </c>
      <c r="P650" s="338">
        <v>61448</v>
      </c>
      <c r="Q650" s="297">
        <v>40907</v>
      </c>
    </row>
    <row r="651" spans="1:17" ht="12" customHeight="1">
      <c r="A651" s="520">
        <v>648</v>
      </c>
      <c r="B651" s="236" t="s">
        <v>193</v>
      </c>
      <c r="C651" s="236">
        <v>3</v>
      </c>
      <c r="D651" s="236"/>
      <c r="E651" s="236" t="s">
        <v>250</v>
      </c>
      <c r="F651" s="236" t="s">
        <v>55</v>
      </c>
      <c r="G651" s="236"/>
      <c r="H651" s="364" t="s">
        <v>747</v>
      </c>
      <c r="I651" s="340" t="s">
        <v>748</v>
      </c>
      <c r="J651" s="297">
        <v>40480</v>
      </c>
      <c r="K651" s="288" t="s">
        <v>68</v>
      </c>
      <c r="L651" s="340">
        <v>100</v>
      </c>
      <c r="M651" s="382">
        <v>1425.5</v>
      </c>
      <c r="N651" s="383">
        <v>285</v>
      </c>
      <c r="O651" s="328">
        <f>1221166+429124.5+378100+240009.5+108018.5+26890.5+15319+16968+7345.5+4160+1262+1510+3920.5+2732.5+8910+571+670+102+4457+119+222+430+1425.5</f>
        <v>2473433</v>
      </c>
      <c r="P651" s="344">
        <f>114702+40612+35598+23284+12543+4168+3055+2661+1161+850+210+377+981+684+2228+92+109+26+857+22+44+86+285</f>
        <v>244635</v>
      </c>
      <c r="Q651" s="297">
        <v>41019</v>
      </c>
    </row>
    <row r="652" spans="1:17" ht="12" customHeight="1">
      <c r="A652" s="520">
        <v>649</v>
      </c>
      <c r="B652" s="236"/>
      <c r="C652" s="236"/>
      <c r="D652" s="236"/>
      <c r="E652" s="236"/>
      <c r="F652" s="236"/>
      <c r="G652" s="236"/>
      <c r="H652" s="366" t="s">
        <v>927</v>
      </c>
      <c r="I652" s="339" t="s">
        <v>931</v>
      </c>
      <c r="J652" s="370">
        <v>40697</v>
      </c>
      <c r="K652" s="288" t="s">
        <v>68</v>
      </c>
      <c r="L652" s="312">
        <v>111</v>
      </c>
      <c r="M652" s="382">
        <v>3564</v>
      </c>
      <c r="N652" s="383">
        <v>713</v>
      </c>
      <c r="O652" s="328">
        <f>1292+812789+521835.5+296398.75+210726.75+106359.5+46956.5+15908+8715+4517.5+1879+2596.5+764+381+221+175+260+1654.5+356.5+950.5+1782+6415.5+3564</f>
        <v>2046498</v>
      </c>
      <c r="P652" s="344">
        <f>124+79271+51753+30277+22107+12041+6459+2442+1421+653+309+602+108+53+31+25+52+399+59+238+446+3225+713</f>
        <v>212808</v>
      </c>
      <c r="Q652" s="297">
        <v>41040</v>
      </c>
    </row>
    <row r="653" spans="1:17" ht="12" customHeight="1">
      <c r="A653" s="520">
        <v>650</v>
      </c>
      <c r="B653" s="236"/>
      <c r="C653" s="236"/>
      <c r="D653" s="236"/>
      <c r="E653" s="236"/>
      <c r="F653" s="236"/>
      <c r="G653" s="236" t="s">
        <v>54</v>
      </c>
      <c r="H653" s="459" t="s">
        <v>109</v>
      </c>
      <c r="I653" s="339" t="s">
        <v>109</v>
      </c>
      <c r="J653" s="320">
        <v>40886</v>
      </c>
      <c r="K653" s="288" t="s">
        <v>12</v>
      </c>
      <c r="L653" s="312">
        <v>161</v>
      </c>
      <c r="M653" s="378">
        <v>23157</v>
      </c>
      <c r="N653" s="379">
        <v>3682</v>
      </c>
      <c r="O653" s="334">
        <v>853031</v>
      </c>
      <c r="P653" s="338">
        <v>102752</v>
      </c>
      <c r="Q653" s="297">
        <v>40907</v>
      </c>
    </row>
    <row r="654" spans="1:17" ht="12" customHeight="1">
      <c r="A654" s="520">
        <v>651</v>
      </c>
      <c r="B654" s="236"/>
      <c r="C654" s="236"/>
      <c r="D654" s="236"/>
      <c r="E654" s="236"/>
      <c r="F654" s="236"/>
      <c r="G654" s="236" t="s">
        <v>54</v>
      </c>
      <c r="H654" s="459" t="s">
        <v>109</v>
      </c>
      <c r="I654" s="339" t="s">
        <v>109</v>
      </c>
      <c r="J654" s="320">
        <v>40886</v>
      </c>
      <c r="K654" s="288" t="s">
        <v>12</v>
      </c>
      <c r="L654" s="312">
        <v>161</v>
      </c>
      <c r="M654" s="378">
        <v>11189</v>
      </c>
      <c r="N654" s="379">
        <v>1816</v>
      </c>
      <c r="O654" s="334">
        <v>864220</v>
      </c>
      <c r="P654" s="338">
        <v>104568</v>
      </c>
      <c r="Q654" s="297">
        <v>40914</v>
      </c>
    </row>
    <row r="655" spans="1:17" ht="12" customHeight="1">
      <c r="A655" s="520">
        <v>652</v>
      </c>
      <c r="B655" s="236"/>
      <c r="C655" s="236"/>
      <c r="D655" s="236"/>
      <c r="E655" s="236"/>
      <c r="F655" s="236"/>
      <c r="G655" s="236" t="s">
        <v>54</v>
      </c>
      <c r="H655" s="459" t="s">
        <v>109</v>
      </c>
      <c r="I655" s="339" t="s">
        <v>109</v>
      </c>
      <c r="J655" s="320">
        <v>40886</v>
      </c>
      <c r="K655" s="288" t="s">
        <v>12</v>
      </c>
      <c r="L655" s="312">
        <v>161</v>
      </c>
      <c r="M655" s="378">
        <v>9906</v>
      </c>
      <c r="N655" s="379">
        <v>1845</v>
      </c>
      <c r="O655" s="334">
        <v>874126</v>
      </c>
      <c r="P655" s="338">
        <v>106413</v>
      </c>
      <c r="Q655" s="297">
        <v>40921</v>
      </c>
    </row>
    <row r="656" spans="1:17" ht="12" customHeight="1">
      <c r="A656" s="520">
        <v>653</v>
      </c>
      <c r="B656" s="236"/>
      <c r="C656" s="236"/>
      <c r="D656" s="236"/>
      <c r="E656" s="236"/>
      <c r="F656" s="236"/>
      <c r="G656" s="236" t="s">
        <v>54</v>
      </c>
      <c r="H656" s="459" t="s">
        <v>109</v>
      </c>
      <c r="I656" s="339" t="s">
        <v>109</v>
      </c>
      <c r="J656" s="320">
        <v>40886</v>
      </c>
      <c r="K656" s="288" t="s">
        <v>12</v>
      </c>
      <c r="L656" s="312">
        <v>161</v>
      </c>
      <c r="M656" s="378">
        <v>5488</v>
      </c>
      <c r="N656" s="379">
        <v>871</v>
      </c>
      <c r="O656" s="334">
        <v>879619</v>
      </c>
      <c r="P656" s="338">
        <v>107284</v>
      </c>
      <c r="Q656" s="297">
        <v>40928</v>
      </c>
    </row>
    <row r="657" spans="1:17" ht="12" customHeight="1">
      <c r="A657" s="520">
        <v>654</v>
      </c>
      <c r="B657" s="236"/>
      <c r="C657" s="236"/>
      <c r="D657" s="236"/>
      <c r="E657" s="236"/>
      <c r="F657" s="236"/>
      <c r="G657" s="236" t="s">
        <v>54</v>
      </c>
      <c r="H657" s="366" t="s">
        <v>109</v>
      </c>
      <c r="I657" s="339" t="s">
        <v>109</v>
      </c>
      <c r="J657" s="320">
        <v>40886</v>
      </c>
      <c r="K657" s="288" t="s">
        <v>12</v>
      </c>
      <c r="L657" s="440">
        <v>161</v>
      </c>
      <c r="M657" s="466">
        <v>2394</v>
      </c>
      <c r="N657" s="467">
        <v>378</v>
      </c>
      <c r="O657" s="441">
        <v>884718</v>
      </c>
      <c r="P657" s="442">
        <v>108088</v>
      </c>
      <c r="Q657" s="297">
        <v>40984</v>
      </c>
    </row>
    <row r="658" spans="1:17" ht="12" customHeight="1">
      <c r="A658" s="520">
        <v>655</v>
      </c>
      <c r="B658" s="236"/>
      <c r="C658" s="236"/>
      <c r="D658" s="236"/>
      <c r="E658" s="236"/>
      <c r="F658" s="236"/>
      <c r="G658" s="236" t="s">
        <v>54</v>
      </c>
      <c r="H658" s="366" t="s">
        <v>109</v>
      </c>
      <c r="I658" s="339" t="s">
        <v>109</v>
      </c>
      <c r="J658" s="320">
        <v>40886</v>
      </c>
      <c r="K658" s="288" t="s">
        <v>12</v>
      </c>
      <c r="L658" s="312">
        <v>161</v>
      </c>
      <c r="M658" s="378">
        <v>1310</v>
      </c>
      <c r="N658" s="379">
        <v>210</v>
      </c>
      <c r="O658" s="334">
        <v>882324</v>
      </c>
      <c r="P658" s="338">
        <v>107710</v>
      </c>
      <c r="Q658" s="297">
        <v>40970</v>
      </c>
    </row>
    <row r="659" spans="1:17" ht="12" customHeight="1">
      <c r="A659" s="520">
        <v>656</v>
      </c>
      <c r="B659" s="236"/>
      <c r="C659" s="236"/>
      <c r="D659" s="236"/>
      <c r="E659" s="236"/>
      <c r="F659" s="236"/>
      <c r="G659" s="236" t="s">
        <v>54</v>
      </c>
      <c r="H659" s="366" t="s">
        <v>109</v>
      </c>
      <c r="I659" s="339" t="s">
        <v>109</v>
      </c>
      <c r="J659" s="320">
        <v>40886</v>
      </c>
      <c r="K659" s="288" t="s">
        <v>12</v>
      </c>
      <c r="L659" s="312">
        <v>161</v>
      </c>
      <c r="M659" s="378">
        <v>1197</v>
      </c>
      <c r="N659" s="379">
        <v>189</v>
      </c>
      <c r="O659" s="334">
        <v>881014</v>
      </c>
      <c r="P659" s="338">
        <v>107500</v>
      </c>
      <c r="Q659" s="297">
        <v>40949</v>
      </c>
    </row>
    <row r="660" spans="1:17" ht="12" customHeight="1">
      <c r="A660" s="520">
        <v>657</v>
      </c>
      <c r="B660" s="236"/>
      <c r="C660" s="236"/>
      <c r="D660" s="236"/>
      <c r="E660" s="236"/>
      <c r="F660" s="236"/>
      <c r="G660" s="236" t="s">
        <v>54</v>
      </c>
      <c r="H660" s="366" t="s">
        <v>109</v>
      </c>
      <c r="I660" s="339" t="s">
        <v>109</v>
      </c>
      <c r="J660" s="320">
        <v>40886</v>
      </c>
      <c r="K660" s="288" t="s">
        <v>12</v>
      </c>
      <c r="L660" s="440">
        <v>161</v>
      </c>
      <c r="M660" s="378">
        <v>855</v>
      </c>
      <c r="N660" s="379">
        <v>157</v>
      </c>
      <c r="O660" s="334">
        <v>885573</v>
      </c>
      <c r="P660" s="338">
        <v>108245</v>
      </c>
      <c r="Q660" s="297">
        <v>40991</v>
      </c>
    </row>
    <row r="661" spans="1:17" ht="12" customHeight="1">
      <c r="A661" s="520">
        <v>658</v>
      </c>
      <c r="B661" s="236"/>
      <c r="C661" s="236"/>
      <c r="D661" s="236"/>
      <c r="E661" s="236"/>
      <c r="F661" s="236"/>
      <c r="G661" s="236" t="s">
        <v>54</v>
      </c>
      <c r="H661" s="366" t="s">
        <v>109</v>
      </c>
      <c r="I661" s="339" t="s">
        <v>109</v>
      </c>
      <c r="J661" s="320">
        <v>40886</v>
      </c>
      <c r="K661" s="288" t="s">
        <v>12</v>
      </c>
      <c r="L661" s="312">
        <v>161</v>
      </c>
      <c r="M661" s="378">
        <v>595</v>
      </c>
      <c r="N661" s="379">
        <v>105</v>
      </c>
      <c r="O661" s="334">
        <v>886168</v>
      </c>
      <c r="P661" s="338">
        <v>108350</v>
      </c>
      <c r="Q661" s="297">
        <v>40998</v>
      </c>
    </row>
    <row r="662" spans="1:17" ht="12" customHeight="1">
      <c r="A662" s="520">
        <v>659</v>
      </c>
      <c r="B662" s="236"/>
      <c r="C662" s="236"/>
      <c r="D662" s="236"/>
      <c r="E662" s="236"/>
      <c r="F662" s="236"/>
      <c r="G662" s="236" t="s">
        <v>54</v>
      </c>
      <c r="H662" s="366" t="s">
        <v>109</v>
      </c>
      <c r="I662" s="339" t="s">
        <v>109</v>
      </c>
      <c r="J662" s="320">
        <v>40886</v>
      </c>
      <c r="K662" s="288" t="s">
        <v>12</v>
      </c>
      <c r="L662" s="312">
        <v>161</v>
      </c>
      <c r="M662" s="378">
        <v>595</v>
      </c>
      <c r="N662" s="379">
        <v>105</v>
      </c>
      <c r="O662" s="334">
        <v>886763</v>
      </c>
      <c r="P662" s="338">
        <v>108455</v>
      </c>
      <c r="Q662" s="297">
        <v>41005</v>
      </c>
    </row>
    <row r="663" spans="1:17" ht="12" customHeight="1">
      <c r="A663" s="520">
        <v>660</v>
      </c>
      <c r="B663" s="236"/>
      <c r="C663" s="236"/>
      <c r="D663" s="236"/>
      <c r="E663" s="236"/>
      <c r="F663" s="236"/>
      <c r="G663" s="236" t="s">
        <v>54</v>
      </c>
      <c r="H663" s="366" t="s">
        <v>109</v>
      </c>
      <c r="I663" s="339" t="s">
        <v>109</v>
      </c>
      <c r="J663" s="370">
        <v>40886</v>
      </c>
      <c r="K663" s="288" t="s">
        <v>12</v>
      </c>
      <c r="L663" s="313">
        <v>161</v>
      </c>
      <c r="M663" s="480">
        <v>255</v>
      </c>
      <c r="N663" s="481">
        <v>45</v>
      </c>
      <c r="O663" s="335">
        <v>886423</v>
      </c>
      <c r="P663" s="336">
        <v>108395</v>
      </c>
      <c r="Q663" s="297">
        <v>41012</v>
      </c>
    </row>
    <row r="664" spans="1:17" ht="12" customHeight="1">
      <c r="A664" s="520">
        <v>661</v>
      </c>
      <c r="B664" s="236"/>
      <c r="C664" s="236"/>
      <c r="D664" s="236"/>
      <c r="E664" s="236"/>
      <c r="F664" s="236"/>
      <c r="G664" s="236" t="s">
        <v>54</v>
      </c>
      <c r="H664" s="459" t="s">
        <v>109</v>
      </c>
      <c r="I664" s="339" t="s">
        <v>109</v>
      </c>
      <c r="J664" s="320">
        <v>40886</v>
      </c>
      <c r="K664" s="288" t="s">
        <v>12</v>
      </c>
      <c r="L664" s="312">
        <v>161</v>
      </c>
      <c r="M664" s="378">
        <v>198</v>
      </c>
      <c r="N664" s="379">
        <v>27</v>
      </c>
      <c r="O664" s="334">
        <v>879817</v>
      </c>
      <c r="P664" s="338">
        <v>107311</v>
      </c>
      <c r="Q664" s="297">
        <v>40935</v>
      </c>
    </row>
    <row r="665" spans="1:17" ht="12" customHeight="1">
      <c r="A665" s="520">
        <v>662</v>
      </c>
      <c r="B665" s="236"/>
      <c r="C665" s="236"/>
      <c r="D665" s="236"/>
      <c r="E665" s="236"/>
      <c r="F665" s="236"/>
      <c r="G665" s="236" t="s">
        <v>54</v>
      </c>
      <c r="H665" s="366" t="s">
        <v>507</v>
      </c>
      <c r="I665" s="339" t="s">
        <v>507</v>
      </c>
      <c r="J665" s="320">
        <v>40662</v>
      </c>
      <c r="K665" s="288" t="s">
        <v>68</v>
      </c>
      <c r="L665" s="312">
        <v>10</v>
      </c>
      <c r="M665" s="382">
        <v>1782</v>
      </c>
      <c r="N665" s="383">
        <v>398</v>
      </c>
      <c r="O665" s="328">
        <f>12563.75+2983.5+2680+354+641+412+470+299+1405.5+1335+741+1188+1188+2138.5+2851+594+430+950.5+950.5+1782</f>
        <v>35957.25</v>
      </c>
      <c r="P665" s="344">
        <f>1693+350+279+68+81+51+66+35+228+169+92+297+297+535+715+149+188+190+190+398</f>
        <v>6071</v>
      </c>
      <c r="Q665" s="297">
        <v>40977</v>
      </c>
    </row>
    <row r="666" spans="1:17" ht="12" customHeight="1">
      <c r="A666" s="520">
        <v>663</v>
      </c>
      <c r="B666" s="236"/>
      <c r="C666" s="236"/>
      <c r="D666" s="236"/>
      <c r="E666" s="236"/>
      <c r="F666" s="236"/>
      <c r="G666" s="236" t="s">
        <v>54</v>
      </c>
      <c r="H666" s="366" t="s">
        <v>507</v>
      </c>
      <c r="I666" s="339" t="s">
        <v>507</v>
      </c>
      <c r="J666" s="320">
        <v>40662</v>
      </c>
      <c r="K666" s="288" t="s">
        <v>68</v>
      </c>
      <c r="L666" s="312">
        <v>10</v>
      </c>
      <c r="M666" s="382">
        <v>1188</v>
      </c>
      <c r="N666" s="383">
        <v>238</v>
      </c>
      <c r="O666" s="328">
        <f>12563.75+2983.5+2680+354+641+412+470+299+1405.5+1335+741+1188+1188+2138.5+2851+594+430+950.5+950.5+1782+1188</f>
        <v>37145.25</v>
      </c>
      <c r="P666" s="344">
        <f>1693+350+279+68+81+51+66+35+228+169+92+297+297+535+715+149+188+190+190+398+238</f>
        <v>6309</v>
      </c>
      <c r="Q666" s="297">
        <v>40991</v>
      </c>
    </row>
    <row r="667" spans="1:17" ht="12" customHeight="1">
      <c r="A667" s="520">
        <v>664</v>
      </c>
      <c r="B667" s="236"/>
      <c r="C667" s="236"/>
      <c r="D667" s="236"/>
      <c r="E667" s="236"/>
      <c r="F667" s="236"/>
      <c r="G667" s="236" t="s">
        <v>54</v>
      </c>
      <c r="H667" s="366" t="s">
        <v>507</v>
      </c>
      <c r="I667" s="339" t="s">
        <v>507</v>
      </c>
      <c r="J667" s="320">
        <v>40662</v>
      </c>
      <c r="K667" s="288" t="s">
        <v>68</v>
      </c>
      <c r="L667" s="312">
        <v>10</v>
      </c>
      <c r="M667" s="382">
        <v>1188</v>
      </c>
      <c r="N667" s="383">
        <v>238</v>
      </c>
      <c r="O667" s="328">
        <f>12563.75+2983.5+2680+354+641+412+470+299+1405.5+1335+741+1188+1188+2138.5+2851+594+430+950.5+950.5+1782+1188+1188</f>
        <v>38333.25</v>
      </c>
      <c r="P667" s="344">
        <f>1693+350+279+68+81+51+66+35+228+169+92+297+297+535+715+149+188+190+190+398+238+238</f>
        <v>6547</v>
      </c>
      <c r="Q667" s="297">
        <v>41005</v>
      </c>
    </row>
    <row r="668" spans="1:17" ht="12" customHeight="1">
      <c r="A668" s="520">
        <v>665</v>
      </c>
      <c r="B668" s="236"/>
      <c r="C668" s="236"/>
      <c r="D668" s="236"/>
      <c r="E668" s="236"/>
      <c r="F668" s="236"/>
      <c r="G668" s="236" t="s">
        <v>54</v>
      </c>
      <c r="H668" s="366" t="s">
        <v>507</v>
      </c>
      <c r="I668" s="312" t="s">
        <v>520</v>
      </c>
      <c r="J668" s="370">
        <v>40662</v>
      </c>
      <c r="K668" s="288" t="s">
        <v>68</v>
      </c>
      <c r="L668" s="312">
        <v>10</v>
      </c>
      <c r="M668" s="468">
        <v>1188</v>
      </c>
      <c r="N668" s="469">
        <v>238</v>
      </c>
      <c r="O668" s="317">
        <f>12563.75+2983.5+2680+354+641+412+470+299+1405.5+1335+741+1188+1188+2138.5+2851+594+430+950.5+950.5+1782+1188+1188+1188</f>
        <v>39521.25</v>
      </c>
      <c r="P668" s="368">
        <f>1693+350+279+68+81+51+66+35+228+169+92+297+297+535+715+149+188+190+190+398+238+238+238</f>
        <v>6785</v>
      </c>
      <c r="Q668" s="297">
        <v>41026</v>
      </c>
    </row>
    <row r="669" spans="1:17" ht="12" customHeight="1">
      <c r="A669" s="520">
        <v>666</v>
      </c>
      <c r="B669" s="236"/>
      <c r="C669" s="236"/>
      <c r="D669" s="236"/>
      <c r="E669" s="236"/>
      <c r="F669" s="236"/>
      <c r="G669" s="236" t="s">
        <v>54</v>
      </c>
      <c r="H669" s="366" t="s">
        <v>507</v>
      </c>
      <c r="I669" s="339" t="s">
        <v>507</v>
      </c>
      <c r="J669" s="320">
        <v>40662</v>
      </c>
      <c r="K669" s="288" t="s">
        <v>68</v>
      </c>
      <c r="L669" s="312">
        <v>10</v>
      </c>
      <c r="M669" s="382">
        <v>1188</v>
      </c>
      <c r="N669" s="383">
        <v>238</v>
      </c>
      <c r="O669" s="328">
        <f>12563.75+2983.5+2680+354+641+412+470+299+1405.5+1335+741+1188+1188+2138.5+2851+594+430+950.5+950.5+1782+1188+1188+1188+1188</f>
        <v>40709.25</v>
      </c>
      <c r="P669" s="344">
        <f>1693+350+279+68+81+51+66+35+228+169+92+297+297+535+715+149+188+190+190+398+238+238+238+238</f>
        <v>7023</v>
      </c>
      <c r="Q669" s="297">
        <v>41033</v>
      </c>
    </row>
    <row r="670" spans="1:17" ht="12" customHeight="1">
      <c r="A670" s="520">
        <v>667</v>
      </c>
      <c r="B670" s="236"/>
      <c r="C670" s="236"/>
      <c r="D670" s="236"/>
      <c r="E670" s="236"/>
      <c r="F670" s="236"/>
      <c r="G670" s="236" t="s">
        <v>54</v>
      </c>
      <c r="H670" s="366" t="s">
        <v>507</v>
      </c>
      <c r="I670" s="339" t="s">
        <v>507</v>
      </c>
      <c r="J670" s="320">
        <v>40662</v>
      </c>
      <c r="K670" s="288" t="s">
        <v>68</v>
      </c>
      <c r="L670" s="312">
        <v>10</v>
      </c>
      <c r="M670" s="382">
        <v>950.5</v>
      </c>
      <c r="N670" s="383">
        <v>190</v>
      </c>
      <c r="O670" s="328">
        <f>12563.75+2983.5+2680+354+641+412+470+299+1405.5+1335+741+1188+1188+2138.5+2851+594+430+950.5+950.5</f>
        <v>34175.25</v>
      </c>
      <c r="P670" s="344">
        <f>1693+350+279+68+81+51+66+35+228+169+92+297+297+535+715+149+188+190+190</f>
        <v>5673</v>
      </c>
      <c r="Q670" s="297">
        <v>40963</v>
      </c>
    </row>
    <row r="671" spans="1:17" ht="12" customHeight="1">
      <c r="A671" s="520">
        <v>668</v>
      </c>
      <c r="B671" s="236"/>
      <c r="C671" s="236"/>
      <c r="D671" s="236"/>
      <c r="E671" s="236"/>
      <c r="F671" s="236"/>
      <c r="G671" s="236" t="s">
        <v>54</v>
      </c>
      <c r="H671" s="366" t="s">
        <v>507</v>
      </c>
      <c r="I671" s="339" t="s">
        <v>507</v>
      </c>
      <c r="J671" s="320">
        <v>40662</v>
      </c>
      <c r="K671" s="288" t="s">
        <v>68</v>
      </c>
      <c r="L671" s="312">
        <v>10</v>
      </c>
      <c r="M671" s="382">
        <v>950.5</v>
      </c>
      <c r="N671" s="383">
        <v>190</v>
      </c>
      <c r="O671" s="328">
        <f>12563.75+2983.5+2680+354+641+412+470+299+1405.5+1335+741+1188+1188+2138.5+2851+594+430+950.5</f>
        <v>33224.75</v>
      </c>
      <c r="P671" s="344">
        <f>1693+350+279+68+81+51+66+35+228+169+92+297+297+535+715+149+188+190</f>
        <v>5483</v>
      </c>
      <c r="Q671" s="297">
        <v>40949</v>
      </c>
    </row>
    <row r="672" spans="1:17" ht="12" customHeight="1">
      <c r="A672" s="520">
        <v>669</v>
      </c>
      <c r="B672" s="236"/>
      <c r="C672" s="236"/>
      <c r="D672" s="236"/>
      <c r="E672" s="236"/>
      <c r="F672" s="236"/>
      <c r="G672" s="236" t="s">
        <v>54</v>
      </c>
      <c r="H672" s="459" t="s">
        <v>507</v>
      </c>
      <c r="I672" s="339" t="s">
        <v>507</v>
      </c>
      <c r="J672" s="320">
        <v>40662</v>
      </c>
      <c r="K672" s="288" t="s">
        <v>68</v>
      </c>
      <c r="L672" s="312">
        <v>10</v>
      </c>
      <c r="M672" s="382">
        <v>430</v>
      </c>
      <c r="N672" s="383">
        <v>188</v>
      </c>
      <c r="O672" s="328">
        <f>12563.75+2983.5+2680+354+641+412+470+299+1405.5+1335+741+1188+1188+2138.5+2851+594+430</f>
        <v>32274.25</v>
      </c>
      <c r="P672" s="344">
        <f>1693+350+279+68+81+51+66+35+228+169+92+297+297+535+715+149+188</f>
        <v>5293</v>
      </c>
      <c r="Q672" s="297">
        <v>40942</v>
      </c>
    </row>
    <row r="673" ht="12.75">
      <c r="G673" s="485"/>
    </row>
  </sheetData>
  <sheetProtection/>
  <mergeCells count="2">
    <mergeCell ref="B1:Q1"/>
    <mergeCell ref="B3:G3"/>
  </mergeCells>
  <printOptions/>
  <pageMargins left="0.7" right="0.7" top="0.75" bottom="0.75" header="0.3" footer="0.3"/>
  <pageSetup orientation="portrait" paperSize="9"/>
  <ignoredErrors>
    <ignoredError sqref="O6:P64 O65:P93 O111:P130 M162:P202 O203:P243" unlockedFormula="1"/>
  </ignoredErrors>
</worksheet>
</file>

<file path=xl/worksheets/sheet5.xml><?xml version="1.0" encoding="utf-8"?>
<worksheet xmlns="http://schemas.openxmlformats.org/spreadsheetml/2006/main" xmlns:r="http://schemas.openxmlformats.org/officeDocument/2006/relationships">
  <sheetPr>
    <tabColor rgb="FFFFFF00"/>
  </sheetPr>
  <dimension ref="A1:R106"/>
  <sheetViews>
    <sheetView zoomScale="70" zoomScaleNormal="70" zoomScalePageLayoutView="0" workbookViewId="0" topLeftCell="A1">
      <selection activeCell="A1" sqref="A1"/>
    </sheetView>
  </sheetViews>
  <sheetFormatPr defaultColWidth="8.8515625" defaultRowHeight="12.75"/>
  <cols>
    <col min="1" max="1" width="3.57421875" style="311" bestFit="1" customWidth="1"/>
    <col min="2" max="2" width="2.00390625" style="311" bestFit="1" customWidth="1"/>
    <col min="3" max="4" width="1.8515625" style="311" bestFit="1" customWidth="1"/>
    <col min="5" max="5" width="1.7109375" style="311" bestFit="1" customWidth="1"/>
    <col min="6" max="6" width="1.8515625" style="311" bestFit="1" customWidth="1"/>
    <col min="7" max="7" width="1.7109375" style="311" bestFit="1" customWidth="1"/>
    <col min="8" max="8" width="40.00390625" style="311" bestFit="1" customWidth="1"/>
    <col min="9" max="9" width="19.140625" style="311" bestFit="1" customWidth="1"/>
    <col min="10" max="10" width="20.28125" style="311" bestFit="1" customWidth="1"/>
    <col min="11" max="11" width="34.421875" style="311" bestFit="1" customWidth="1"/>
    <col min="12" max="12" width="7.28125" style="311" bestFit="1" customWidth="1"/>
    <col min="13" max="13" width="16.8515625" style="311" bestFit="1" customWidth="1"/>
    <col min="14" max="14" width="7.140625" style="311" bestFit="1" customWidth="1"/>
    <col min="15" max="15" width="12.8515625" style="311" bestFit="1" customWidth="1"/>
    <col min="16" max="16" width="9.28125" style="311" bestFit="1" customWidth="1"/>
    <col min="17" max="17" width="4.8515625" style="311" bestFit="1" customWidth="1"/>
    <col min="18" max="18" width="8.7109375" style="311" bestFit="1" customWidth="1"/>
    <col min="19" max="16384" width="8.8515625" style="311" customWidth="1"/>
  </cols>
  <sheetData>
    <row r="1" spans="2:18" s="494" customFormat="1" ht="18.75">
      <c r="B1" s="612" t="s">
        <v>936</v>
      </c>
      <c r="C1" s="612"/>
      <c r="D1" s="612"/>
      <c r="E1" s="612"/>
      <c r="F1" s="612"/>
      <c r="G1" s="612"/>
      <c r="H1" s="612"/>
      <c r="I1" s="612"/>
      <c r="J1" s="612"/>
      <c r="K1" s="612"/>
      <c r="L1" s="612"/>
      <c r="M1" s="612"/>
      <c r="N1" s="612"/>
      <c r="O1" s="612"/>
      <c r="P1" s="612"/>
      <c r="Q1" s="612"/>
      <c r="R1" s="612"/>
    </row>
    <row r="2" spans="2:18" s="495" customFormat="1" ht="12">
      <c r="B2" s="496"/>
      <c r="C2" s="496"/>
      <c r="D2" s="496"/>
      <c r="E2" s="496"/>
      <c r="F2" s="496"/>
      <c r="G2" s="496"/>
      <c r="H2" s="496"/>
      <c r="I2" s="496"/>
      <c r="J2" s="496"/>
      <c r="K2" s="496"/>
      <c r="L2" s="496" t="s">
        <v>359</v>
      </c>
      <c r="M2" s="496"/>
      <c r="N2" s="496" t="s">
        <v>360</v>
      </c>
      <c r="O2" s="496" t="s">
        <v>271</v>
      </c>
      <c r="P2" s="496" t="s">
        <v>271</v>
      </c>
      <c r="Q2" s="496"/>
      <c r="R2" s="496" t="s">
        <v>361</v>
      </c>
    </row>
    <row r="3" spans="2:18" s="491" customFormat="1" ht="12">
      <c r="B3" s="613" t="s">
        <v>362</v>
      </c>
      <c r="C3" s="613"/>
      <c r="D3" s="613"/>
      <c r="E3" s="613"/>
      <c r="F3" s="613"/>
      <c r="G3" s="613"/>
      <c r="H3" s="497" t="s">
        <v>363</v>
      </c>
      <c r="I3" s="497" t="s">
        <v>364</v>
      </c>
      <c r="J3" s="497" t="s">
        <v>365</v>
      </c>
      <c r="K3" s="497" t="s">
        <v>366</v>
      </c>
      <c r="L3" s="497" t="s">
        <v>367</v>
      </c>
      <c r="M3" s="497" t="s">
        <v>368</v>
      </c>
      <c r="N3" s="497" t="s">
        <v>369</v>
      </c>
      <c r="O3" s="497" t="s">
        <v>272</v>
      </c>
      <c r="P3" s="497" t="s">
        <v>273</v>
      </c>
      <c r="Q3" s="497" t="s">
        <v>370</v>
      </c>
      <c r="R3" s="497" t="s">
        <v>371</v>
      </c>
    </row>
    <row r="4" spans="1:18" ht="12" customHeight="1">
      <c r="A4" s="311">
        <v>1</v>
      </c>
      <c r="B4" s="236"/>
      <c r="C4" s="236"/>
      <c r="D4" s="236">
        <v>2</v>
      </c>
      <c r="E4" s="236"/>
      <c r="F4" s="236"/>
      <c r="G4" s="236" t="s">
        <v>54</v>
      </c>
      <c r="H4" s="361" t="s">
        <v>540</v>
      </c>
      <c r="I4" s="319"/>
      <c r="J4" s="312"/>
      <c r="K4" s="340" t="s">
        <v>540</v>
      </c>
      <c r="L4" s="320">
        <v>40956</v>
      </c>
      <c r="M4" s="288" t="s">
        <v>68</v>
      </c>
      <c r="N4" s="312">
        <v>440</v>
      </c>
      <c r="O4" s="382">
        <f>21413320.22+14038209.72+8091830.8+5223667.88+2812594.76+1480814.82+955933.78+528159.45+298145.03+198476.43+95958.51+50635.81+22068.5</f>
        <v>55209815.71</v>
      </c>
      <c r="P4" s="383">
        <f>2475453+1630117+937421+623418+343374+183619+118367+65562+39148+26637+13128+9069+3464</f>
        <v>6468777</v>
      </c>
      <c r="Q4" s="329">
        <f aca="true" t="shared" si="0" ref="Q4:Q35">O4/P4</f>
        <v>8.534815114201649</v>
      </c>
      <c r="R4" s="297">
        <v>41040</v>
      </c>
    </row>
    <row r="5" spans="1:18" ht="12" customHeight="1">
      <c r="A5" s="311">
        <v>2</v>
      </c>
      <c r="B5" s="236"/>
      <c r="C5" s="236"/>
      <c r="D5" s="236"/>
      <c r="E5" s="236"/>
      <c r="F5" s="236"/>
      <c r="G5" s="236" t="s">
        <v>54</v>
      </c>
      <c r="H5" s="364" t="s">
        <v>484</v>
      </c>
      <c r="I5" s="312"/>
      <c r="J5" s="312"/>
      <c r="K5" s="340" t="s">
        <v>484</v>
      </c>
      <c r="L5" s="297">
        <v>40935</v>
      </c>
      <c r="M5" s="288" t="s">
        <v>12</v>
      </c>
      <c r="N5" s="312">
        <v>352</v>
      </c>
      <c r="O5" s="378">
        <v>18170755</v>
      </c>
      <c r="P5" s="379">
        <v>1971433</v>
      </c>
      <c r="Q5" s="329">
        <f t="shared" si="0"/>
        <v>9.217028932761092</v>
      </c>
      <c r="R5" s="297">
        <v>41040</v>
      </c>
    </row>
    <row r="6" spans="1:18" ht="12" customHeight="1">
      <c r="A6" s="311">
        <v>3</v>
      </c>
      <c r="B6" s="236"/>
      <c r="C6" s="236"/>
      <c r="D6" s="236"/>
      <c r="E6" s="236"/>
      <c r="F6" s="236"/>
      <c r="G6" s="236" t="s">
        <v>54</v>
      </c>
      <c r="H6" s="366" t="s">
        <v>583</v>
      </c>
      <c r="I6" s="340"/>
      <c r="J6" s="312"/>
      <c r="K6" s="339" t="s">
        <v>583</v>
      </c>
      <c r="L6" s="297">
        <v>40970</v>
      </c>
      <c r="M6" s="288" t="s">
        <v>12</v>
      </c>
      <c r="N6" s="312">
        <v>285</v>
      </c>
      <c r="O6" s="378">
        <v>14183238</v>
      </c>
      <c r="P6" s="379">
        <v>1587352</v>
      </c>
      <c r="Q6" s="329">
        <f t="shared" si="0"/>
        <v>8.935156159440377</v>
      </c>
      <c r="R6" s="297">
        <v>41040</v>
      </c>
    </row>
    <row r="7" spans="1:18" ht="12" customHeight="1">
      <c r="A7" s="311">
        <v>4</v>
      </c>
      <c r="B7" s="236" t="s">
        <v>193</v>
      </c>
      <c r="C7" s="236">
        <v>3</v>
      </c>
      <c r="D7" s="236">
        <v>2</v>
      </c>
      <c r="E7" s="236"/>
      <c r="F7" s="236" t="s">
        <v>55</v>
      </c>
      <c r="G7" s="236"/>
      <c r="H7" s="366" t="s">
        <v>336</v>
      </c>
      <c r="I7" s="312"/>
      <c r="J7" s="288"/>
      <c r="K7" s="339" t="s">
        <v>337</v>
      </c>
      <c r="L7" s="320">
        <v>40921</v>
      </c>
      <c r="M7" s="288" t="s">
        <v>12</v>
      </c>
      <c r="N7" s="312">
        <v>101</v>
      </c>
      <c r="O7" s="378">
        <v>7251053</v>
      </c>
      <c r="P7" s="379">
        <v>694074</v>
      </c>
      <c r="Q7" s="329">
        <f t="shared" si="0"/>
        <v>10.447089215270994</v>
      </c>
      <c r="R7" s="297">
        <v>41040</v>
      </c>
    </row>
    <row r="8" spans="1:18" ht="12" customHeight="1">
      <c r="A8" s="311">
        <v>5</v>
      </c>
      <c r="B8" s="236"/>
      <c r="C8" s="236"/>
      <c r="D8" s="236"/>
      <c r="E8" s="236"/>
      <c r="F8" s="236"/>
      <c r="G8" s="293"/>
      <c r="H8" s="361" t="s">
        <v>651</v>
      </c>
      <c r="I8" s="319"/>
      <c r="J8" s="312"/>
      <c r="K8" s="340" t="s">
        <v>649</v>
      </c>
      <c r="L8" s="320">
        <v>40991</v>
      </c>
      <c r="M8" s="288" t="s">
        <v>68</v>
      </c>
      <c r="N8" s="312">
        <v>143</v>
      </c>
      <c r="O8" s="382">
        <f>1928270.97+1396092.19+841604.35+607065.33+536433.78+359147.91+187128.8+92168.61</f>
        <v>5947911.94</v>
      </c>
      <c r="P8" s="383">
        <f>199840+143974+88208+63709+56513+41181+22800+12112</f>
        <v>628337</v>
      </c>
      <c r="Q8" s="329">
        <f t="shared" si="0"/>
        <v>9.46611760886276</v>
      </c>
      <c r="R8" s="297">
        <v>41040</v>
      </c>
    </row>
    <row r="9" spans="1:18" ht="12" customHeight="1">
      <c r="A9" s="311">
        <v>6</v>
      </c>
      <c r="B9" s="236"/>
      <c r="C9" s="236"/>
      <c r="D9" s="236"/>
      <c r="E9" s="236"/>
      <c r="F9" s="236"/>
      <c r="G9" s="236" t="s">
        <v>54</v>
      </c>
      <c r="H9" s="362" t="s">
        <v>304</v>
      </c>
      <c r="I9" s="312"/>
      <c r="J9" s="319"/>
      <c r="K9" s="341" t="s">
        <v>304</v>
      </c>
      <c r="L9" s="320">
        <v>40914</v>
      </c>
      <c r="M9" s="288" t="s">
        <v>12</v>
      </c>
      <c r="N9" s="313">
        <v>204</v>
      </c>
      <c r="O9" s="498">
        <v>5368985</v>
      </c>
      <c r="P9" s="499">
        <v>580479</v>
      </c>
      <c r="Q9" s="318">
        <f t="shared" si="0"/>
        <v>9.249232099696975</v>
      </c>
      <c r="R9" s="297">
        <v>41012</v>
      </c>
    </row>
    <row r="10" spans="1:18" ht="12" customHeight="1">
      <c r="A10" s="311">
        <v>7</v>
      </c>
      <c r="B10" s="236" t="s">
        <v>193</v>
      </c>
      <c r="C10" s="236">
        <v>3</v>
      </c>
      <c r="D10" s="236"/>
      <c r="E10" s="236" t="s">
        <v>250</v>
      </c>
      <c r="F10" s="236" t="s">
        <v>55</v>
      </c>
      <c r="G10" s="236"/>
      <c r="H10" s="360" t="s">
        <v>379</v>
      </c>
      <c r="I10" s="339"/>
      <c r="J10" s="319" t="s">
        <v>92</v>
      </c>
      <c r="K10" s="288" t="s">
        <v>380</v>
      </c>
      <c r="L10" s="320">
        <v>40928</v>
      </c>
      <c r="M10" s="288" t="s">
        <v>10</v>
      </c>
      <c r="N10" s="331">
        <v>202</v>
      </c>
      <c r="O10" s="382">
        <v>5256550</v>
      </c>
      <c r="P10" s="383">
        <v>528683</v>
      </c>
      <c r="Q10" s="329">
        <f t="shared" si="0"/>
        <v>9.94272560305514</v>
      </c>
      <c r="R10" s="297">
        <v>41040</v>
      </c>
    </row>
    <row r="11" spans="1:18" ht="12" customHeight="1">
      <c r="A11" s="311">
        <v>8</v>
      </c>
      <c r="B11" s="236"/>
      <c r="C11" s="236">
        <v>3</v>
      </c>
      <c r="D11" s="236"/>
      <c r="E11" s="236"/>
      <c r="F11" s="236"/>
      <c r="G11" s="236"/>
      <c r="H11" s="366" t="s">
        <v>671</v>
      </c>
      <c r="I11" s="319"/>
      <c r="J11" s="312"/>
      <c r="K11" s="339" t="s">
        <v>672</v>
      </c>
      <c r="L11" s="297">
        <v>40998</v>
      </c>
      <c r="M11" s="288" t="s">
        <v>10</v>
      </c>
      <c r="N11" s="331">
        <v>147</v>
      </c>
      <c r="O11" s="382">
        <v>4302146</v>
      </c>
      <c r="P11" s="383">
        <v>384188</v>
      </c>
      <c r="Q11" s="329">
        <f t="shared" si="0"/>
        <v>11.198022842983123</v>
      </c>
      <c r="R11" s="297">
        <v>41033</v>
      </c>
    </row>
    <row r="12" spans="1:18" ht="12" customHeight="1">
      <c r="A12" s="311">
        <v>9</v>
      </c>
      <c r="B12" s="236" t="s">
        <v>193</v>
      </c>
      <c r="C12" s="236"/>
      <c r="D12" s="236">
        <v>2</v>
      </c>
      <c r="E12" s="236"/>
      <c r="F12" s="236"/>
      <c r="G12" s="236"/>
      <c r="H12" s="366" t="s">
        <v>825</v>
      </c>
      <c r="I12" s="312" t="s">
        <v>90</v>
      </c>
      <c r="J12" s="288" t="s">
        <v>91</v>
      </c>
      <c r="K12" s="339" t="s">
        <v>777</v>
      </c>
      <c r="L12" s="320">
        <v>41033</v>
      </c>
      <c r="M12" s="288" t="s">
        <v>12</v>
      </c>
      <c r="N12" s="312">
        <v>199</v>
      </c>
      <c r="O12" s="378">
        <v>3271505</v>
      </c>
      <c r="P12" s="379">
        <v>278854</v>
      </c>
      <c r="Q12" s="329">
        <f t="shared" si="0"/>
        <v>11.731963679918524</v>
      </c>
      <c r="R12" s="297">
        <v>41033</v>
      </c>
    </row>
    <row r="13" spans="1:18" ht="12" customHeight="1">
      <c r="A13" s="311">
        <v>10</v>
      </c>
      <c r="B13" s="236"/>
      <c r="C13" s="293"/>
      <c r="D13" s="236">
        <v>2</v>
      </c>
      <c r="E13" s="293"/>
      <c r="F13" s="236"/>
      <c r="G13" s="293"/>
      <c r="H13" s="364" t="s">
        <v>542</v>
      </c>
      <c r="I13" s="288" t="s">
        <v>386</v>
      </c>
      <c r="J13" s="288" t="s">
        <v>169</v>
      </c>
      <c r="K13" s="340" t="s">
        <v>543</v>
      </c>
      <c r="L13" s="297">
        <v>40956</v>
      </c>
      <c r="M13" s="288" t="s">
        <v>8</v>
      </c>
      <c r="N13" s="340">
        <v>160</v>
      </c>
      <c r="O13" s="384">
        <v>3144270</v>
      </c>
      <c r="P13" s="385">
        <v>302690</v>
      </c>
      <c r="Q13" s="329">
        <f t="shared" si="0"/>
        <v>10.387756450493905</v>
      </c>
      <c r="R13" s="297">
        <v>41033</v>
      </c>
    </row>
    <row r="14" spans="1:18" ht="12" customHeight="1">
      <c r="A14" s="311">
        <v>11</v>
      </c>
      <c r="B14" s="236" t="s">
        <v>193</v>
      </c>
      <c r="C14" s="236"/>
      <c r="D14" s="236">
        <v>2</v>
      </c>
      <c r="E14" s="236"/>
      <c r="F14" s="236" t="s">
        <v>55</v>
      </c>
      <c r="G14" s="236"/>
      <c r="H14" s="361" t="s">
        <v>604</v>
      </c>
      <c r="I14" s="319"/>
      <c r="J14" s="312"/>
      <c r="K14" s="340" t="s">
        <v>603</v>
      </c>
      <c r="L14" s="320">
        <v>40977</v>
      </c>
      <c r="M14" s="288" t="s">
        <v>68</v>
      </c>
      <c r="N14" s="312">
        <v>167</v>
      </c>
      <c r="O14" s="382">
        <f>1278312.83+795298.21+326656.42+218120.4+102315.55+39542.45+35229+10764.9+10579.5+1166</f>
        <v>2817985.26</v>
      </c>
      <c r="P14" s="383">
        <f>140325+90866+39187+26956+13904+5855+6505+2100+2065+364</f>
        <v>328127</v>
      </c>
      <c r="Q14" s="329">
        <f t="shared" si="0"/>
        <v>8.588093207812827</v>
      </c>
      <c r="R14" s="297">
        <v>41040</v>
      </c>
    </row>
    <row r="15" spans="1:18" ht="12" customHeight="1">
      <c r="A15" s="311">
        <v>12</v>
      </c>
      <c r="B15" s="236"/>
      <c r="C15" s="236"/>
      <c r="D15" s="236"/>
      <c r="E15" s="236"/>
      <c r="F15" s="236"/>
      <c r="G15" s="236"/>
      <c r="H15" s="366" t="s">
        <v>687</v>
      </c>
      <c r="I15" s="288"/>
      <c r="J15" s="288"/>
      <c r="K15" s="339" t="s">
        <v>688</v>
      </c>
      <c r="L15" s="297">
        <v>41005</v>
      </c>
      <c r="M15" s="288" t="s">
        <v>12</v>
      </c>
      <c r="N15" s="312">
        <v>138</v>
      </c>
      <c r="O15" s="378">
        <v>2527238</v>
      </c>
      <c r="P15" s="379">
        <v>262484</v>
      </c>
      <c r="Q15" s="329">
        <f t="shared" si="0"/>
        <v>9.628160192621264</v>
      </c>
      <c r="R15" s="297">
        <v>41040</v>
      </c>
    </row>
    <row r="16" spans="1:18" ht="12" customHeight="1">
      <c r="A16" s="311">
        <v>13</v>
      </c>
      <c r="B16" s="236"/>
      <c r="C16" s="236"/>
      <c r="D16" s="236"/>
      <c r="E16" s="236"/>
      <c r="F16" s="236"/>
      <c r="G16" s="236"/>
      <c r="H16" s="366" t="s">
        <v>496</v>
      </c>
      <c r="I16" s="312" t="s">
        <v>501</v>
      </c>
      <c r="J16" s="353" t="s">
        <v>92</v>
      </c>
      <c r="K16" s="339" t="s">
        <v>502</v>
      </c>
      <c r="L16" s="320">
        <v>40942</v>
      </c>
      <c r="M16" s="288" t="s">
        <v>10</v>
      </c>
      <c r="N16" s="331">
        <v>143</v>
      </c>
      <c r="O16" s="382">
        <v>2451771</v>
      </c>
      <c r="P16" s="383">
        <v>215130</v>
      </c>
      <c r="Q16" s="318">
        <f t="shared" si="0"/>
        <v>11.396695021614837</v>
      </c>
      <c r="R16" s="297">
        <v>40963</v>
      </c>
    </row>
    <row r="17" spans="1:18" ht="12" customHeight="1">
      <c r="A17" s="311">
        <v>14</v>
      </c>
      <c r="B17" s="293"/>
      <c r="C17" s="236"/>
      <c r="D17" s="293"/>
      <c r="E17" s="236"/>
      <c r="F17" s="236"/>
      <c r="G17" s="236"/>
      <c r="H17" s="366" t="s">
        <v>729</v>
      </c>
      <c r="I17" s="312" t="s">
        <v>83</v>
      </c>
      <c r="J17" s="288" t="s">
        <v>91</v>
      </c>
      <c r="K17" s="339" t="s">
        <v>729</v>
      </c>
      <c r="L17" s="320">
        <v>41019</v>
      </c>
      <c r="M17" s="288" t="s">
        <v>12</v>
      </c>
      <c r="N17" s="312">
        <v>173</v>
      </c>
      <c r="O17" s="378">
        <v>2278546</v>
      </c>
      <c r="P17" s="379">
        <v>238514</v>
      </c>
      <c r="Q17" s="329">
        <f t="shared" si="0"/>
        <v>9.553091223156711</v>
      </c>
      <c r="R17" s="297">
        <v>41040</v>
      </c>
    </row>
    <row r="18" spans="1:18" ht="12" customHeight="1">
      <c r="A18" s="311">
        <v>15</v>
      </c>
      <c r="B18" s="236"/>
      <c r="C18" s="236"/>
      <c r="D18" s="236"/>
      <c r="E18" s="236"/>
      <c r="F18" s="294"/>
      <c r="G18" s="236"/>
      <c r="H18" s="360" t="s">
        <v>344</v>
      </c>
      <c r="I18" s="312"/>
      <c r="J18" s="340"/>
      <c r="K18" s="288" t="s">
        <v>345</v>
      </c>
      <c r="L18" s="320">
        <v>40556</v>
      </c>
      <c r="M18" s="288" t="s">
        <v>10</v>
      </c>
      <c r="N18" s="312">
        <v>85</v>
      </c>
      <c r="O18" s="382">
        <v>1966070</v>
      </c>
      <c r="P18" s="383">
        <v>178329</v>
      </c>
      <c r="Q18" s="329">
        <f t="shared" si="0"/>
        <v>11.024959484996831</v>
      </c>
      <c r="R18" s="297">
        <v>41040</v>
      </c>
    </row>
    <row r="19" spans="1:18" ht="12" customHeight="1">
      <c r="A19" s="311">
        <v>16</v>
      </c>
      <c r="B19" s="236" t="s">
        <v>193</v>
      </c>
      <c r="C19" s="236"/>
      <c r="D19" s="236"/>
      <c r="E19" s="236" t="s">
        <v>250</v>
      </c>
      <c r="F19" s="294"/>
      <c r="G19" s="293"/>
      <c r="H19" s="362" t="s">
        <v>594</v>
      </c>
      <c r="I19" s="319"/>
      <c r="J19" s="312"/>
      <c r="K19" s="288" t="s">
        <v>595</v>
      </c>
      <c r="L19" s="297">
        <v>40977</v>
      </c>
      <c r="M19" s="288" t="s">
        <v>10</v>
      </c>
      <c r="N19" s="313">
        <v>105</v>
      </c>
      <c r="O19" s="468">
        <v>1833695</v>
      </c>
      <c r="P19" s="469">
        <v>162056</v>
      </c>
      <c r="Q19" s="318">
        <f t="shared" si="0"/>
        <v>11.315193513353409</v>
      </c>
      <c r="R19" s="297">
        <v>41012</v>
      </c>
    </row>
    <row r="20" spans="1:18" ht="12" customHeight="1">
      <c r="A20" s="311">
        <v>17</v>
      </c>
      <c r="B20" s="236" t="s">
        <v>193</v>
      </c>
      <c r="C20" s="236"/>
      <c r="D20" s="236"/>
      <c r="E20" s="236"/>
      <c r="F20" s="236"/>
      <c r="G20" s="236"/>
      <c r="H20" s="364" t="s">
        <v>538</v>
      </c>
      <c r="I20" s="288"/>
      <c r="J20" s="288"/>
      <c r="K20" s="340" t="s">
        <v>539</v>
      </c>
      <c r="L20" s="297">
        <v>40956</v>
      </c>
      <c r="M20" s="288" t="s">
        <v>12</v>
      </c>
      <c r="N20" s="312">
        <v>90</v>
      </c>
      <c r="O20" s="378">
        <v>1772539</v>
      </c>
      <c r="P20" s="379">
        <v>165795</v>
      </c>
      <c r="Q20" s="329">
        <f t="shared" si="0"/>
        <v>10.691148707741489</v>
      </c>
      <c r="R20" s="297">
        <v>41033</v>
      </c>
    </row>
    <row r="21" spans="1:18" ht="12" customHeight="1">
      <c r="A21" s="311">
        <v>18</v>
      </c>
      <c r="B21" s="236" t="s">
        <v>193</v>
      </c>
      <c r="C21" s="236">
        <v>3</v>
      </c>
      <c r="D21" s="236">
        <v>2</v>
      </c>
      <c r="E21" s="236"/>
      <c r="F21" s="236"/>
      <c r="G21" s="236"/>
      <c r="H21" s="366" t="s">
        <v>606</v>
      </c>
      <c r="I21" s="319"/>
      <c r="J21" s="312"/>
      <c r="K21" s="339" t="s">
        <v>607</v>
      </c>
      <c r="L21" s="297">
        <v>40977</v>
      </c>
      <c r="M21" s="288" t="s">
        <v>12</v>
      </c>
      <c r="N21" s="312">
        <v>101</v>
      </c>
      <c r="O21" s="378">
        <v>1712857</v>
      </c>
      <c r="P21" s="379">
        <v>151560</v>
      </c>
      <c r="Q21" s="329">
        <f t="shared" si="0"/>
        <v>11.301510952757983</v>
      </c>
      <c r="R21" s="297">
        <v>41040</v>
      </c>
    </row>
    <row r="22" spans="1:18" ht="12" customHeight="1">
      <c r="A22" s="311">
        <v>19</v>
      </c>
      <c r="B22" s="236"/>
      <c r="C22" s="236"/>
      <c r="D22" s="236"/>
      <c r="E22" s="236"/>
      <c r="F22" s="236"/>
      <c r="G22" s="293"/>
      <c r="H22" s="361" t="s">
        <v>693</v>
      </c>
      <c r="I22" s="319"/>
      <c r="J22" s="312"/>
      <c r="K22" s="340" t="s">
        <v>694</v>
      </c>
      <c r="L22" s="320">
        <v>41005</v>
      </c>
      <c r="M22" s="288" t="s">
        <v>68</v>
      </c>
      <c r="N22" s="312">
        <v>128</v>
      </c>
      <c r="O22" s="382">
        <f>791744.63+452201.66+236975.49+102426.65+24268.83+25042.82</f>
        <v>1632660.08</v>
      </c>
      <c r="P22" s="383">
        <f>73363+42298+22349+11020+3151+5604</f>
        <v>157785</v>
      </c>
      <c r="Q22" s="329">
        <f t="shared" si="0"/>
        <v>10.347371930158127</v>
      </c>
      <c r="R22" s="297">
        <v>41040</v>
      </c>
    </row>
    <row r="23" spans="1:18" ht="12" customHeight="1">
      <c r="A23" s="311">
        <v>20</v>
      </c>
      <c r="B23" s="236"/>
      <c r="C23" s="236">
        <v>3</v>
      </c>
      <c r="D23" s="236"/>
      <c r="E23" s="236"/>
      <c r="F23" s="236"/>
      <c r="G23" s="236"/>
      <c r="H23" s="364" t="s">
        <v>302</v>
      </c>
      <c r="I23" s="312"/>
      <c r="J23" s="319"/>
      <c r="K23" s="340" t="s">
        <v>308</v>
      </c>
      <c r="L23" s="297">
        <v>40914</v>
      </c>
      <c r="M23" s="288" t="s">
        <v>68</v>
      </c>
      <c r="N23" s="312">
        <v>66</v>
      </c>
      <c r="O23" s="382">
        <f>683638.5+541400+108974+11712.95+7203.5+24918.21+6723.58+2560+1425.5+586+249+1292+1126+195+991+228+146</f>
        <v>1393369.24</v>
      </c>
      <c r="P23" s="383">
        <f>65177+52837+11432+1468+1076+3492+1060+423+285+93+49+211+200+39+219+31+23</f>
        <v>138115</v>
      </c>
      <c r="Q23" s="329">
        <f t="shared" si="0"/>
        <v>10.088471491148681</v>
      </c>
      <c r="R23" s="297">
        <v>41033</v>
      </c>
    </row>
    <row r="24" spans="1:18" ht="12" customHeight="1">
      <c r="A24" s="311">
        <v>21</v>
      </c>
      <c r="B24" s="236" t="s">
        <v>193</v>
      </c>
      <c r="C24" s="236"/>
      <c r="D24" s="236"/>
      <c r="E24" s="236"/>
      <c r="F24" s="236" t="s">
        <v>55</v>
      </c>
      <c r="G24" s="236"/>
      <c r="H24" s="362" t="s">
        <v>710</v>
      </c>
      <c r="I24" s="312"/>
      <c r="J24" s="341"/>
      <c r="K24" s="341" t="s">
        <v>711</v>
      </c>
      <c r="L24" s="320">
        <v>41012</v>
      </c>
      <c r="M24" s="288" t="s">
        <v>12</v>
      </c>
      <c r="N24" s="312">
        <v>95</v>
      </c>
      <c r="O24" s="378">
        <v>1333143</v>
      </c>
      <c r="P24" s="379">
        <v>124579</v>
      </c>
      <c r="Q24" s="329">
        <f t="shared" si="0"/>
        <v>10.701185593077485</v>
      </c>
      <c r="R24" s="297">
        <v>41040</v>
      </c>
    </row>
    <row r="25" spans="1:18" ht="12" customHeight="1">
      <c r="A25" s="311">
        <v>22</v>
      </c>
      <c r="B25" s="236"/>
      <c r="C25" s="236"/>
      <c r="D25" s="236"/>
      <c r="E25" s="236"/>
      <c r="F25" s="236"/>
      <c r="G25" s="236"/>
      <c r="H25" s="362" t="s">
        <v>381</v>
      </c>
      <c r="I25" s="312" t="s">
        <v>89</v>
      </c>
      <c r="J25" s="341" t="s">
        <v>91</v>
      </c>
      <c r="K25" s="341" t="s">
        <v>375</v>
      </c>
      <c r="L25" s="320">
        <v>40928</v>
      </c>
      <c r="M25" s="288" t="s">
        <v>12</v>
      </c>
      <c r="N25" s="312">
        <v>57</v>
      </c>
      <c r="O25" s="378">
        <v>1129416</v>
      </c>
      <c r="P25" s="379">
        <v>120818</v>
      </c>
      <c r="Q25" s="329">
        <f t="shared" si="0"/>
        <v>9.348077273253985</v>
      </c>
      <c r="R25" s="297">
        <v>41040</v>
      </c>
    </row>
    <row r="26" spans="1:18" ht="12" customHeight="1">
      <c r="A26" s="311">
        <v>23</v>
      </c>
      <c r="B26" s="236"/>
      <c r="C26" s="236"/>
      <c r="D26" s="236"/>
      <c r="E26" s="236"/>
      <c r="F26" s="236"/>
      <c r="G26" s="236"/>
      <c r="H26" s="361" t="s">
        <v>565</v>
      </c>
      <c r="I26" s="288"/>
      <c r="J26" s="288"/>
      <c r="K26" s="340" t="s">
        <v>566</v>
      </c>
      <c r="L26" s="320">
        <v>40963</v>
      </c>
      <c r="M26" s="288" t="s">
        <v>68</v>
      </c>
      <c r="N26" s="312">
        <v>40</v>
      </c>
      <c r="O26" s="382">
        <f>519450+254546+100425.5+33590+8521.5+10441.58+7818.22+5560.15+2360+20318.5+15180+14668.5</f>
        <v>992879.95</v>
      </c>
      <c r="P26" s="383">
        <f>41231+20309+7678+2672+1134+1420+1330+822+389+3100+2050+1897</f>
        <v>84032</v>
      </c>
      <c r="Q26" s="329">
        <f t="shared" si="0"/>
        <v>11.81549826256664</v>
      </c>
      <c r="R26" s="297">
        <v>41040</v>
      </c>
    </row>
    <row r="27" spans="1:18" ht="12" customHeight="1">
      <c r="A27" s="311">
        <v>24</v>
      </c>
      <c r="B27" s="293"/>
      <c r="C27" s="293"/>
      <c r="D27" s="236"/>
      <c r="E27" s="293"/>
      <c r="F27" s="293"/>
      <c r="G27" s="293"/>
      <c r="H27" s="364" t="s">
        <v>600</v>
      </c>
      <c r="I27" s="288"/>
      <c r="J27" s="288" t="s">
        <v>182</v>
      </c>
      <c r="K27" s="340" t="s">
        <v>601</v>
      </c>
      <c r="L27" s="297">
        <v>40977</v>
      </c>
      <c r="M27" s="288" t="s">
        <v>8</v>
      </c>
      <c r="N27" s="340">
        <v>43</v>
      </c>
      <c r="O27" s="382">
        <v>977084</v>
      </c>
      <c r="P27" s="383">
        <v>101063</v>
      </c>
      <c r="Q27" s="329">
        <f t="shared" si="0"/>
        <v>9.668068432561867</v>
      </c>
      <c r="R27" s="297">
        <v>41040</v>
      </c>
    </row>
    <row r="28" spans="1:18" ht="12" customHeight="1">
      <c r="A28" s="311">
        <v>25</v>
      </c>
      <c r="B28" s="236" t="s">
        <v>193</v>
      </c>
      <c r="C28" s="236">
        <v>3</v>
      </c>
      <c r="D28" s="236"/>
      <c r="E28" s="236"/>
      <c r="F28" s="236" t="s">
        <v>55</v>
      </c>
      <c r="G28" s="236"/>
      <c r="H28" s="366" t="s">
        <v>730</v>
      </c>
      <c r="I28" s="312" t="s">
        <v>316</v>
      </c>
      <c r="J28" s="319" t="s">
        <v>92</v>
      </c>
      <c r="K28" s="339" t="s">
        <v>731</v>
      </c>
      <c r="L28" s="297">
        <v>41019</v>
      </c>
      <c r="M28" s="288" t="s">
        <v>10</v>
      </c>
      <c r="N28" s="331">
        <v>132</v>
      </c>
      <c r="O28" s="382">
        <v>933455</v>
      </c>
      <c r="P28" s="383">
        <v>81697</v>
      </c>
      <c r="Q28" s="329">
        <f t="shared" si="0"/>
        <v>11.425817349474277</v>
      </c>
      <c r="R28" s="297">
        <v>41040</v>
      </c>
    </row>
    <row r="29" spans="1:18" ht="12" customHeight="1">
      <c r="A29" s="311">
        <v>26</v>
      </c>
      <c r="B29" s="236"/>
      <c r="C29" s="236"/>
      <c r="D29" s="236"/>
      <c r="E29" s="236"/>
      <c r="F29" s="236"/>
      <c r="G29" s="236" t="s">
        <v>54</v>
      </c>
      <c r="H29" s="360" t="s">
        <v>618</v>
      </c>
      <c r="I29" s="312"/>
      <c r="J29" s="288"/>
      <c r="K29" s="288" t="s">
        <v>618</v>
      </c>
      <c r="L29" s="297">
        <v>40984</v>
      </c>
      <c r="M29" s="288" t="s">
        <v>53</v>
      </c>
      <c r="N29" s="346">
        <v>121</v>
      </c>
      <c r="O29" s="378">
        <f>473567.49+256734.07+139144.54+37019.89+12727+8216.5+1450+733+555</f>
        <v>930147.4900000001</v>
      </c>
      <c r="P29" s="379">
        <f>52358+28804+16705+5262+2060+1531+259+129+204</f>
        <v>107312</v>
      </c>
      <c r="Q29" s="329">
        <f t="shared" si="0"/>
        <v>8.667693175041004</v>
      </c>
      <c r="R29" s="297">
        <v>41040</v>
      </c>
    </row>
    <row r="30" spans="1:18" ht="12" customHeight="1">
      <c r="A30" s="311">
        <v>27</v>
      </c>
      <c r="B30" s="236"/>
      <c r="C30" s="236"/>
      <c r="D30" s="236"/>
      <c r="E30" s="236"/>
      <c r="F30" s="236"/>
      <c r="G30" s="236"/>
      <c r="H30" s="366" t="s">
        <v>516</v>
      </c>
      <c r="I30" s="312"/>
      <c r="J30" s="340"/>
      <c r="K30" s="339" t="s">
        <v>518</v>
      </c>
      <c r="L30" s="297">
        <v>40949</v>
      </c>
      <c r="M30" s="288" t="s">
        <v>12</v>
      </c>
      <c r="N30" s="312">
        <v>73</v>
      </c>
      <c r="O30" s="378">
        <v>928426</v>
      </c>
      <c r="P30" s="379">
        <v>85450</v>
      </c>
      <c r="Q30" s="329">
        <f t="shared" si="0"/>
        <v>10.865137507314218</v>
      </c>
      <c r="R30" s="297">
        <v>41040</v>
      </c>
    </row>
    <row r="31" spans="1:18" ht="12" customHeight="1">
      <c r="A31" s="311">
        <v>28</v>
      </c>
      <c r="B31" s="236"/>
      <c r="C31" s="236"/>
      <c r="D31" s="236"/>
      <c r="E31" s="236"/>
      <c r="F31" s="236"/>
      <c r="G31" s="236" t="s">
        <v>54</v>
      </c>
      <c r="H31" s="463" t="s">
        <v>334</v>
      </c>
      <c r="I31" s="339"/>
      <c r="J31" s="339"/>
      <c r="K31" s="288" t="s">
        <v>334</v>
      </c>
      <c r="L31" s="320">
        <v>40921</v>
      </c>
      <c r="M31" s="288" t="s">
        <v>52</v>
      </c>
      <c r="N31" s="313">
        <v>49</v>
      </c>
      <c r="O31" s="480">
        <f>357713+343246.5+115529.5+51137+24830.5+11883+8256+3443+678+1126+498</f>
        <v>918340.5</v>
      </c>
      <c r="P31" s="481">
        <f>33400+31498+10192+4818+3004+1638+1139+561+129+170+75</f>
        <v>86624</v>
      </c>
      <c r="Q31" s="318">
        <f t="shared" si="0"/>
        <v>10.60145571666051</v>
      </c>
      <c r="R31" s="297">
        <v>41012</v>
      </c>
    </row>
    <row r="32" spans="1:18" ht="12" customHeight="1">
      <c r="A32" s="311">
        <v>29</v>
      </c>
      <c r="B32" s="294"/>
      <c r="C32" s="294"/>
      <c r="D32" s="294"/>
      <c r="E32" s="294"/>
      <c r="F32" s="294"/>
      <c r="G32" s="236"/>
      <c r="H32" s="360" t="s">
        <v>522</v>
      </c>
      <c r="I32" s="312"/>
      <c r="J32" s="353"/>
      <c r="K32" s="288" t="s">
        <v>523</v>
      </c>
      <c r="L32" s="320">
        <v>40949</v>
      </c>
      <c r="M32" s="288" t="s">
        <v>10</v>
      </c>
      <c r="N32" s="331">
        <v>65</v>
      </c>
      <c r="O32" s="382">
        <v>900733</v>
      </c>
      <c r="P32" s="383">
        <v>84350</v>
      </c>
      <c r="Q32" s="329">
        <f t="shared" si="0"/>
        <v>10.678518079430942</v>
      </c>
      <c r="R32" s="297">
        <v>41019</v>
      </c>
    </row>
    <row r="33" spans="1:18" ht="12" customHeight="1">
      <c r="A33" s="311">
        <v>30</v>
      </c>
      <c r="B33" s="236"/>
      <c r="C33" s="236"/>
      <c r="D33" s="236"/>
      <c r="E33" s="236"/>
      <c r="F33" s="236"/>
      <c r="G33" s="236"/>
      <c r="H33" s="362" t="s">
        <v>714</v>
      </c>
      <c r="I33" s="312"/>
      <c r="J33" s="319" t="s">
        <v>92</v>
      </c>
      <c r="K33" s="341" t="s">
        <v>715</v>
      </c>
      <c r="L33" s="320">
        <v>41012</v>
      </c>
      <c r="M33" s="288" t="s">
        <v>10</v>
      </c>
      <c r="N33" s="331">
        <v>59</v>
      </c>
      <c r="O33" s="382">
        <v>852612</v>
      </c>
      <c r="P33" s="383">
        <v>84657</v>
      </c>
      <c r="Q33" s="329">
        <f t="shared" si="0"/>
        <v>10.071370353308055</v>
      </c>
      <c r="R33" s="297">
        <v>41040</v>
      </c>
    </row>
    <row r="34" spans="1:18" ht="12" customHeight="1">
      <c r="A34" s="311">
        <v>31</v>
      </c>
      <c r="B34" s="236"/>
      <c r="C34" s="293"/>
      <c r="D34" s="236"/>
      <c r="E34" s="293"/>
      <c r="F34" s="236"/>
      <c r="G34" s="293"/>
      <c r="H34" s="364" t="s">
        <v>761</v>
      </c>
      <c r="I34" s="340"/>
      <c r="J34" s="312" t="s">
        <v>762</v>
      </c>
      <c r="K34" s="340" t="s">
        <v>763</v>
      </c>
      <c r="L34" s="320">
        <v>41026</v>
      </c>
      <c r="M34" s="288" t="s">
        <v>8</v>
      </c>
      <c r="N34" s="340">
        <v>68</v>
      </c>
      <c r="O34" s="382">
        <v>781172</v>
      </c>
      <c r="P34" s="383">
        <v>75918</v>
      </c>
      <c r="Q34" s="329">
        <f t="shared" si="0"/>
        <v>10.289680971574594</v>
      </c>
      <c r="R34" s="297">
        <v>41040</v>
      </c>
    </row>
    <row r="35" spans="1:18" ht="12" customHeight="1">
      <c r="A35" s="311">
        <v>32</v>
      </c>
      <c r="B35" s="236" t="s">
        <v>193</v>
      </c>
      <c r="C35" s="236"/>
      <c r="D35" s="236">
        <v>2</v>
      </c>
      <c r="E35" s="236"/>
      <c r="F35" s="236" t="s">
        <v>55</v>
      </c>
      <c r="G35" s="293"/>
      <c r="H35" s="361" t="s">
        <v>732</v>
      </c>
      <c r="I35" s="319" t="s">
        <v>733</v>
      </c>
      <c r="J35" s="312" t="s">
        <v>85</v>
      </c>
      <c r="K35" s="340" t="s">
        <v>734</v>
      </c>
      <c r="L35" s="320">
        <v>41019</v>
      </c>
      <c r="M35" s="288" t="s">
        <v>68</v>
      </c>
      <c r="N35" s="312">
        <v>155</v>
      </c>
      <c r="O35" s="382">
        <f>583135.48+104911.11+36920.7+15901.5</f>
        <v>740868.7899999999</v>
      </c>
      <c r="P35" s="383">
        <f>73534+13967+5470+2332</f>
        <v>95303</v>
      </c>
      <c r="Q35" s="329">
        <f t="shared" si="0"/>
        <v>7.773824433648468</v>
      </c>
      <c r="R35" s="297">
        <v>41040</v>
      </c>
    </row>
    <row r="36" spans="1:18" ht="12" customHeight="1">
      <c r="A36" s="311">
        <v>33</v>
      </c>
      <c r="B36" s="236" t="s">
        <v>193</v>
      </c>
      <c r="C36" s="293"/>
      <c r="D36" s="236"/>
      <c r="E36" s="293"/>
      <c r="F36" s="236"/>
      <c r="G36" s="293"/>
      <c r="H36" s="364" t="s">
        <v>663</v>
      </c>
      <c r="I36" s="312" t="s">
        <v>743</v>
      </c>
      <c r="J36" s="288" t="s">
        <v>169</v>
      </c>
      <c r="K36" s="340" t="s">
        <v>665</v>
      </c>
      <c r="L36" s="320">
        <v>40998</v>
      </c>
      <c r="M36" s="288" t="s">
        <v>8</v>
      </c>
      <c r="N36" s="340">
        <v>104</v>
      </c>
      <c r="O36" s="382">
        <v>720275</v>
      </c>
      <c r="P36" s="383">
        <v>71444</v>
      </c>
      <c r="Q36" s="329">
        <f aca="true" t="shared" si="1" ref="Q36:Q67">O36/P36</f>
        <v>10.081672358770506</v>
      </c>
      <c r="R36" s="297">
        <v>41040</v>
      </c>
    </row>
    <row r="37" spans="1:18" ht="12" customHeight="1">
      <c r="A37" s="311">
        <v>34</v>
      </c>
      <c r="B37" s="236" t="s">
        <v>193</v>
      </c>
      <c r="C37" s="236"/>
      <c r="D37" s="236"/>
      <c r="E37" s="236"/>
      <c r="F37" s="236"/>
      <c r="G37" s="236"/>
      <c r="H37" s="364" t="s">
        <v>301</v>
      </c>
      <c r="I37" s="312" t="s">
        <v>118</v>
      </c>
      <c r="J37" s="340" t="s">
        <v>88</v>
      </c>
      <c r="K37" s="340" t="s">
        <v>307</v>
      </c>
      <c r="L37" s="297">
        <v>40914</v>
      </c>
      <c r="M37" s="288" t="s">
        <v>68</v>
      </c>
      <c r="N37" s="312">
        <v>56</v>
      </c>
      <c r="O37" s="382">
        <f>212792+161708.5+190927+56533.48+39859.88+22564.8+12520.5+1707.5+187+1782+3292.5+1782</f>
        <v>705657.16</v>
      </c>
      <c r="P37" s="383">
        <f>19942+16687+19909+5952+4552+2963+2467+206+32+356+581+356</f>
        <v>74003</v>
      </c>
      <c r="Q37" s="329">
        <f t="shared" si="1"/>
        <v>9.5355209923922</v>
      </c>
      <c r="R37" s="297">
        <v>41005</v>
      </c>
    </row>
    <row r="38" spans="1:18" ht="12" customHeight="1">
      <c r="A38" s="311">
        <v>35</v>
      </c>
      <c r="B38" s="236"/>
      <c r="C38" s="236"/>
      <c r="D38" s="236"/>
      <c r="E38" s="236"/>
      <c r="F38" s="236"/>
      <c r="G38" s="236"/>
      <c r="H38" s="363" t="s">
        <v>184</v>
      </c>
      <c r="I38" s="340" t="s">
        <v>186</v>
      </c>
      <c r="J38" s="288" t="s">
        <v>92</v>
      </c>
      <c r="K38" s="340" t="s">
        <v>185</v>
      </c>
      <c r="L38" s="320">
        <v>40907</v>
      </c>
      <c r="M38" s="288" t="s">
        <v>10</v>
      </c>
      <c r="N38" s="331">
        <v>64</v>
      </c>
      <c r="O38" s="382">
        <v>681274</v>
      </c>
      <c r="P38" s="383">
        <v>60533</v>
      </c>
      <c r="Q38" s="329">
        <f t="shared" si="1"/>
        <v>11.254588406323823</v>
      </c>
      <c r="R38" s="297">
        <v>40949</v>
      </c>
    </row>
    <row r="39" spans="1:18" ht="12" customHeight="1">
      <c r="A39" s="311">
        <v>36</v>
      </c>
      <c r="B39" s="236"/>
      <c r="C39" s="236"/>
      <c r="D39" s="236"/>
      <c r="E39" s="236"/>
      <c r="F39" s="236"/>
      <c r="G39" s="293"/>
      <c r="H39" s="362" t="s">
        <v>712</v>
      </c>
      <c r="I39" s="312"/>
      <c r="J39" s="341"/>
      <c r="K39" s="341" t="s">
        <v>713</v>
      </c>
      <c r="L39" s="320">
        <v>41012</v>
      </c>
      <c r="M39" s="288" t="s">
        <v>68</v>
      </c>
      <c r="N39" s="312">
        <v>50</v>
      </c>
      <c r="O39" s="382">
        <f>290055.96+209230.96+105319.59+41274.05+32201.92</f>
        <v>678082.4800000001</v>
      </c>
      <c r="P39" s="383">
        <f>26507+19325+10580+5239+4365</f>
        <v>66016</v>
      </c>
      <c r="Q39" s="329">
        <f t="shared" si="1"/>
        <v>10.271486912263695</v>
      </c>
      <c r="R39" s="297">
        <v>41040</v>
      </c>
    </row>
    <row r="40" spans="1:18" ht="12" customHeight="1">
      <c r="A40" s="311">
        <v>37</v>
      </c>
      <c r="B40" s="236"/>
      <c r="C40" s="236"/>
      <c r="D40" s="236"/>
      <c r="E40" s="236"/>
      <c r="F40" s="236"/>
      <c r="G40" s="236"/>
      <c r="H40" s="362" t="s">
        <v>173</v>
      </c>
      <c r="I40" s="312" t="s">
        <v>183</v>
      </c>
      <c r="J40" s="341" t="s">
        <v>117</v>
      </c>
      <c r="K40" s="341" t="s">
        <v>180</v>
      </c>
      <c r="L40" s="320">
        <v>40907</v>
      </c>
      <c r="M40" s="288" t="s">
        <v>12</v>
      </c>
      <c r="N40" s="312">
        <v>60</v>
      </c>
      <c r="O40" s="378">
        <v>670831</v>
      </c>
      <c r="P40" s="379">
        <v>67329</v>
      </c>
      <c r="Q40" s="329">
        <f t="shared" si="1"/>
        <v>9.963477847584251</v>
      </c>
      <c r="R40" s="297">
        <v>40949</v>
      </c>
    </row>
    <row r="41" spans="1:18" ht="12" customHeight="1">
      <c r="A41" s="311">
        <v>38</v>
      </c>
      <c r="B41" s="236"/>
      <c r="C41" s="236"/>
      <c r="D41" s="236"/>
      <c r="E41" s="236"/>
      <c r="F41" s="236"/>
      <c r="G41" s="236"/>
      <c r="H41" s="366" t="s">
        <v>482</v>
      </c>
      <c r="I41" s="312"/>
      <c r="J41" s="288"/>
      <c r="K41" s="339" t="s">
        <v>483</v>
      </c>
      <c r="L41" s="320">
        <v>40935</v>
      </c>
      <c r="M41" s="288" t="s">
        <v>68</v>
      </c>
      <c r="N41" s="312">
        <v>24</v>
      </c>
      <c r="O41" s="382">
        <f>219512+172510+97324.5+20509.5+35119+75025.4+23655.5+8708+2633.5+3076.5+627+2210.5+4756+1926+2138.5</f>
        <v>669731.9</v>
      </c>
      <c r="P41" s="383">
        <f>16452+13782+8143+1750+3275+6017+2126+1042+267+599+87+410+722+372+428</f>
        <v>55472</v>
      </c>
      <c r="Q41" s="329">
        <f t="shared" si="1"/>
        <v>12.07333249206807</v>
      </c>
      <c r="R41" s="297">
        <v>41033</v>
      </c>
    </row>
    <row r="42" spans="1:18" ht="12" customHeight="1">
      <c r="A42" s="311">
        <v>39</v>
      </c>
      <c r="B42" s="293"/>
      <c r="C42" s="293"/>
      <c r="D42" s="236"/>
      <c r="E42" s="293"/>
      <c r="F42" s="236"/>
      <c r="G42" s="236"/>
      <c r="H42" s="360" t="s">
        <v>640</v>
      </c>
      <c r="I42" s="312" t="s">
        <v>737</v>
      </c>
      <c r="J42" s="312" t="s">
        <v>738</v>
      </c>
      <c r="K42" s="288" t="s">
        <v>641</v>
      </c>
      <c r="L42" s="297">
        <v>40991</v>
      </c>
      <c r="M42" s="288" t="s">
        <v>324</v>
      </c>
      <c r="N42" s="312">
        <v>65</v>
      </c>
      <c r="O42" s="386">
        <v>630495.41</v>
      </c>
      <c r="P42" s="387">
        <v>60330</v>
      </c>
      <c r="Q42" s="329">
        <f t="shared" si="1"/>
        <v>10.450777556771094</v>
      </c>
      <c r="R42" s="297">
        <v>41040</v>
      </c>
    </row>
    <row r="43" spans="1:18" ht="12" customHeight="1">
      <c r="A43" s="311">
        <v>40</v>
      </c>
      <c r="B43" s="236" t="s">
        <v>193</v>
      </c>
      <c r="C43" s="236">
        <v>3</v>
      </c>
      <c r="D43" s="236">
        <v>2</v>
      </c>
      <c r="E43" s="236" t="s">
        <v>250</v>
      </c>
      <c r="F43" s="236"/>
      <c r="G43" s="293"/>
      <c r="H43" s="361" t="s">
        <v>525</v>
      </c>
      <c r="I43" s="319" t="s">
        <v>118</v>
      </c>
      <c r="J43" s="312" t="s">
        <v>88</v>
      </c>
      <c r="K43" s="340" t="s">
        <v>524</v>
      </c>
      <c r="L43" s="320">
        <v>41253</v>
      </c>
      <c r="M43" s="288" t="s">
        <v>68</v>
      </c>
      <c r="N43" s="312">
        <v>60</v>
      </c>
      <c r="O43" s="382">
        <f>453045.5+152052.5+18216</f>
        <v>623314</v>
      </c>
      <c r="P43" s="383">
        <f>36464+11789+1308</f>
        <v>49561</v>
      </c>
      <c r="Q43" s="318">
        <f t="shared" si="1"/>
        <v>12.576703456346724</v>
      </c>
      <c r="R43" s="297">
        <v>40963</v>
      </c>
    </row>
    <row r="44" spans="1:18" ht="12" customHeight="1">
      <c r="A44" s="311">
        <v>41</v>
      </c>
      <c r="B44" s="236"/>
      <c r="C44" s="236"/>
      <c r="D44" s="236"/>
      <c r="E44" s="236"/>
      <c r="F44" s="236"/>
      <c r="G44" s="236" t="s">
        <v>54</v>
      </c>
      <c r="H44" s="361" t="s">
        <v>616</v>
      </c>
      <c r="I44" s="340" t="s">
        <v>617</v>
      </c>
      <c r="J44" s="312"/>
      <c r="K44" s="288" t="s">
        <v>616</v>
      </c>
      <c r="L44" s="320">
        <v>40984</v>
      </c>
      <c r="M44" s="288" t="s">
        <v>52</v>
      </c>
      <c r="N44" s="312">
        <v>206</v>
      </c>
      <c r="O44" s="378">
        <v>617289.34</v>
      </c>
      <c r="P44" s="379">
        <v>78708</v>
      </c>
      <c r="Q44" s="329">
        <f t="shared" si="1"/>
        <v>7.84277760837526</v>
      </c>
      <c r="R44" s="297">
        <v>41040</v>
      </c>
    </row>
    <row r="45" spans="1:18" ht="12" customHeight="1">
      <c r="A45" s="311">
        <v>42</v>
      </c>
      <c r="B45" s="293"/>
      <c r="C45" s="293"/>
      <c r="D45" s="236"/>
      <c r="E45" s="293"/>
      <c r="F45" s="236"/>
      <c r="G45" s="236" t="s">
        <v>54</v>
      </c>
      <c r="H45" s="364" t="s">
        <v>294</v>
      </c>
      <c r="I45" s="312"/>
      <c r="J45" s="288"/>
      <c r="K45" s="340" t="s">
        <v>294</v>
      </c>
      <c r="L45" s="320">
        <v>40914</v>
      </c>
      <c r="M45" s="288" t="s">
        <v>53</v>
      </c>
      <c r="N45" s="345">
        <v>97</v>
      </c>
      <c r="O45" s="480">
        <f>216520+198358.5+149589.5+18051.79+5443+2220+114+4171+1835+2260+1129+246+3268+461</f>
        <v>603666.79</v>
      </c>
      <c r="P45" s="481">
        <f>26831+25025+19383+2440+733+337+19+682+538+754+351+76+802+82</f>
        <v>78053</v>
      </c>
      <c r="Q45" s="318">
        <f t="shared" si="1"/>
        <v>7.734062624114384</v>
      </c>
      <c r="R45" s="297">
        <v>41012</v>
      </c>
    </row>
    <row r="46" spans="1:18" ht="12" customHeight="1">
      <c r="A46" s="311">
        <v>43</v>
      </c>
      <c r="B46" s="236"/>
      <c r="C46" s="236"/>
      <c r="D46" s="236"/>
      <c r="E46" s="236"/>
      <c r="F46" s="236"/>
      <c r="G46" s="236"/>
      <c r="H46" s="364" t="s">
        <v>376</v>
      </c>
      <c r="I46" s="312"/>
      <c r="J46" s="353"/>
      <c r="K46" s="340" t="s">
        <v>377</v>
      </c>
      <c r="L46" s="297">
        <v>40928</v>
      </c>
      <c r="M46" s="288" t="s">
        <v>68</v>
      </c>
      <c r="N46" s="340">
        <v>55</v>
      </c>
      <c r="O46" s="382">
        <f>323645+173227.82+35597.95+32858.57+5134.32+4763+2345.5+1425.5+2376+950.5+950.5+1905.5</f>
        <v>585180.1599999999</v>
      </c>
      <c r="P46" s="383">
        <f>28467+15589+4018+4355+973+712+612+285+472+190+190+211</f>
        <v>56074</v>
      </c>
      <c r="Q46" s="329">
        <f t="shared" si="1"/>
        <v>10.435855476691513</v>
      </c>
      <c r="R46" s="297">
        <v>41019</v>
      </c>
    </row>
    <row r="47" spans="1:18" ht="12" customHeight="1">
      <c r="A47" s="311">
        <v>44</v>
      </c>
      <c r="B47" s="293"/>
      <c r="C47" s="293"/>
      <c r="D47" s="236"/>
      <c r="E47" s="293"/>
      <c r="F47" s="236"/>
      <c r="G47" s="236"/>
      <c r="H47" s="360" t="s">
        <v>346</v>
      </c>
      <c r="I47" s="312" t="s">
        <v>348</v>
      </c>
      <c r="J47" s="312" t="s">
        <v>738</v>
      </c>
      <c r="K47" s="288" t="s">
        <v>347</v>
      </c>
      <c r="L47" s="320">
        <v>40921</v>
      </c>
      <c r="M47" s="288" t="s">
        <v>324</v>
      </c>
      <c r="N47" s="312">
        <v>30</v>
      </c>
      <c r="O47" s="386">
        <v>543555.5</v>
      </c>
      <c r="P47" s="387">
        <v>42183</v>
      </c>
      <c r="Q47" s="329">
        <f t="shared" si="1"/>
        <v>12.88565298817059</v>
      </c>
      <c r="R47" s="297">
        <v>41033</v>
      </c>
    </row>
    <row r="48" spans="1:18" ht="12" customHeight="1">
      <c r="A48" s="311">
        <v>45</v>
      </c>
      <c r="B48" s="236"/>
      <c r="C48" s="236"/>
      <c r="D48" s="236"/>
      <c r="E48" s="236"/>
      <c r="F48" s="236"/>
      <c r="G48" s="236"/>
      <c r="H48" s="364" t="s">
        <v>298</v>
      </c>
      <c r="I48" s="312" t="s">
        <v>299</v>
      </c>
      <c r="J48" s="340" t="s">
        <v>169</v>
      </c>
      <c r="K48" s="340" t="s">
        <v>300</v>
      </c>
      <c r="L48" s="297">
        <v>40914</v>
      </c>
      <c r="M48" s="288" t="s">
        <v>8</v>
      </c>
      <c r="N48" s="340">
        <v>36</v>
      </c>
      <c r="O48" s="382">
        <v>540865</v>
      </c>
      <c r="P48" s="383">
        <v>47630</v>
      </c>
      <c r="Q48" s="329">
        <f t="shared" si="1"/>
        <v>11.355553222758765</v>
      </c>
      <c r="R48" s="297">
        <v>41040</v>
      </c>
    </row>
    <row r="49" spans="1:18" ht="12" customHeight="1">
      <c r="A49" s="311">
        <v>46</v>
      </c>
      <c r="B49" s="236"/>
      <c r="C49" s="236"/>
      <c r="D49" s="236"/>
      <c r="E49" s="236"/>
      <c r="F49" s="236"/>
      <c r="G49" s="236"/>
      <c r="H49" s="362" t="s">
        <v>493</v>
      </c>
      <c r="I49" s="312"/>
      <c r="J49" s="288"/>
      <c r="K49" s="341" t="s">
        <v>495</v>
      </c>
      <c r="L49" s="320">
        <v>40942</v>
      </c>
      <c r="M49" s="288" t="s">
        <v>12</v>
      </c>
      <c r="N49" s="312">
        <v>38</v>
      </c>
      <c r="O49" s="378">
        <v>530832</v>
      </c>
      <c r="P49" s="379">
        <v>46352</v>
      </c>
      <c r="Q49" s="329">
        <f t="shared" si="1"/>
        <v>11.452191922678633</v>
      </c>
      <c r="R49" s="297">
        <v>41019</v>
      </c>
    </row>
    <row r="50" spans="1:18" ht="12" customHeight="1">
      <c r="A50" s="311">
        <v>47</v>
      </c>
      <c r="B50" s="293"/>
      <c r="C50" s="293"/>
      <c r="D50" s="293"/>
      <c r="E50" s="293"/>
      <c r="F50" s="236"/>
      <c r="G50" s="293"/>
      <c r="H50" s="361" t="s">
        <v>515</v>
      </c>
      <c r="I50" s="312"/>
      <c r="J50" s="340"/>
      <c r="K50" s="340" t="s">
        <v>521</v>
      </c>
      <c r="L50" s="320">
        <v>40949</v>
      </c>
      <c r="M50" s="288" t="s">
        <v>68</v>
      </c>
      <c r="N50" s="312">
        <v>30</v>
      </c>
      <c r="O50" s="382">
        <f>252789.19+123971.25+59444.68+20391+4002+551+2548+1735+400</f>
        <v>465832.12</v>
      </c>
      <c r="P50" s="383">
        <f>19304+9364+4801+1458+458+79+474+220+55</f>
        <v>36213</v>
      </c>
      <c r="Q50" s="329">
        <f t="shared" si="1"/>
        <v>12.863671057355093</v>
      </c>
      <c r="R50" s="297">
        <v>41019</v>
      </c>
    </row>
    <row r="51" spans="1:18" ht="12" customHeight="1">
      <c r="A51" s="311">
        <v>48</v>
      </c>
      <c r="B51" s="236"/>
      <c r="C51" s="236"/>
      <c r="D51" s="236"/>
      <c r="E51" s="236"/>
      <c r="F51" s="236"/>
      <c r="G51" s="236"/>
      <c r="H51" s="366" t="s">
        <v>837</v>
      </c>
      <c r="I51" s="312"/>
      <c r="J51" s="288" t="s">
        <v>117</v>
      </c>
      <c r="K51" s="339" t="s">
        <v>838</v>
      </c>
      <c r="L51" s="320">
        <v>41040</v>
      </c>
      <c r="M51" s="288" t="s">
        <v>12</v>
      </c>
      <c r="N51" s="312">
        <v>95</v>
      </c>
      <c r="O51" s="378">
        <v>443792</v>
      </c>
      <c r="P51" s="379">
        <v>43880</v>
      </c>
      <c r="Q51" s="329">
        <f t="shared" si="1"/>
        <v>10.113764813126709</v>
      </c>
      <c r="R51" s="297">
        <v>41040</v>
      </c>
    </row>
    <row r="52" spans="1:18" ht="12" customHeight="1">
      <c r="A52" s="311">
        <v>49</v>
      </c>
      <c r="B52" s="236"/>
      <c r="C52" s="236"/>
      <c r="D52" s="236"/>
      <c r="E52" s="236"/>
      <c r="F52" s="236"/>
      <c r="G52" s="236" t="s">
        <v>54</v>
      </c>
      <c r="H52" s="362" t="s">
        <v>717</v>
      </c>
      <c r="I52" s="312"/>
      <c r="J52" s="341"/>
      <c r="K52" s="341" t="s">
        <v>717</v>
      </c>
      <c r="L52" s="320">
        <v>41012</v>
      </c>
      <c r="M52" s="288" t="s">
        <v>68</v>
      </c>
      <c r="N52" s="312">
        <v>25</v>
      </c>
      <c r="O52" s="382">
        <f>181931+118209+64048.02+38445.4+25300.68</f>
        <v>427934.10000000003</v>
      </c>
      <c r="P52" s="383">
        <f>16563+10701+6525+4441+2948</f>
        <v>41178</v>
      </c>
      <c r="Q52" s="329">
        <f t="shared" si="1"/>
        <v>10.39229928602652</v>
      </c>
      <c r="R52" s="297">
        <v>41040</v>
      </c>
    </row>
    <row r="53" spans="1:18" ht="12" customHeight="1">
      <c r="A53" s="311">
        <v>50</v>
      </c>
      <c r="B53" s="236"/>
      <c r="C53" s="236"/>
      <c r="D53" s="236"/>
      <c r="E53" s="236"/>
      <c r="F53" s="236"/>
      <c r="G53" s="236" t="s">
        <v>54</v>
      </c>
      <c r="H53" s="360" t="s">
        <v>689</v>
      </c>
      <c r="I53" s="340"/>
      <c r="J53" s="312"/>
      <c r="K53" s="288" t="s">
        <v>689</v>
      </c>
      <c r="L53" s="297">
        <v>41005</v>
      </c>
      <c r="M53" s="288" t="s">
        <v>53</v>
      </c>
      <c r="N53" s="346">
        <v>80</v>
      </c>
      <c r="O53" s="378">
        <f>211710.1+106331.38+49223.93+25731.34+10951.5+7304</f>
        <v>411252.25</v>
      </c>
      <c r="P53" s="379">
        <f>27542+13996+6947+3731+1656+1208</f>
        <v>55080</v>
      </c>
      <c r="Q53" s="329">
        <f t="shared" si="1"/>
        <v>7.466453340595497</v>
      </c>
      <c r="R53" s="297">
        <v>41040</v>
      </c>
    </row>
    <row r="54" spans="1:18" ht="12" customHeight="1">
      <c r="A54" s="311">
        <v>51</v>
      </c>
      <c r="B54" s="236"/>
      <c r="C54" s="236"/>
      <c r="D54" s="236"/>
      <c r="E54" s="236"/>
      <c r="F54" s="236"/>
      <c r="G54" s="236"/>
      <c r="H54" s="366" t="s">
        <v>626</v>
      </c>
      <c r="I54" s="312"/>
      <c r="J54" s="353"/>
      <c r="K54" s="339" t="s">
        <v>627</v>
      </c>
      <c r="L54" s="297">
        <v>40984</v>
      </c>
      <c r="M54" s="288" t="s">
        <v>12</v>
      </c>
      <c r="N54" s="312">
        <v>41</v>
      </c>
      <c r="O54" s="378">
        <v>386156</v>
      </c>
      <c r="P54" s="379">
        <v>37592</v>
      </c>
      <c r="Q54" s="329">
        <f t="shared" si="1"/>
        <v>10.272291977016387</v>
      </c>
      <c r="R54" s="297">
        <v>41040</v>
      </c>
    </row>
    <row r="55" spans="1:18" ht="12" customHeight="1">
      <c r="A55" s="311">
        <v>52</v>
      </c>
      <c r="B55" s="236"/>
      <c r="C55" s="236"/>
      <c r="D55" s="236"/>
      <c r="E55" s="236"/>
      <c r="F55" s="236"/>
      <c r="G55" s="236"/>
      <c r="H55" s="366" t="s">
        <v>752</v>
      </c>
      <c r="I55" s="288"/>
      <c r="J55" s="288" t="s">
        <v>117</v>
      </c>
      <c r="K55" s="339" t="s">
        <v>753</v>
      </c>
      <c r="L55" s="297">
        <v>41026</v>
      </c>
      <c r="M55" s="288" t="s">
        <v>12</v>
      </c>
      <c r="N55" s="312">
        <v>49</v>
      </c>
      <c r="O55" s="378">
        <v>381731</v>
      </c>
      <c r="P55" s="379">
        <v>35769</v>
      </c>
      <c r="Q55" s="329">
        <f t="shared" si="1"/>
        <v>10.672118314741816</v>
      </c>
      <c r="R55" s="297">
        <v>41040</v>
      </c>
    </row>
    <row r="56" spans="1:18" ht="12" customHeight="1">
      <c r="A56" s="311">
        <v>53</v>
      </c>
      <c r="B56" s="236"/>
      <c r="C56" s="293"/>
      <c r="D56" s="236"/>
      <c r="E56" s="293"/>
      <c r="F56" s="236"/>
      <c r="G56" s="293"/>
      <c r="H56" s="362" t="s">
        <v>720</v>
      </c>
      <c r="I56" s="312" t="s">
        <v>743</v>
      </c>
      <c r="J56" s="341" t="s">
        <v>169</v>
      </c>
      <c r="K56" s="341" t="s">
        <v>716</v>
      </c>
      <c r="L56" s="320">
        <v>41012</v>
      </c>
      <c r="M56" s="288" t="s">
        <v>8</v>
      </c>
      <c r="N56" s="340">
        <v>72</v>
      </c>
      <c r="O56" s="382">
        <v>358987</v>
      </c>
      <c r="P56" s="383">
        <v>34663</v>
      </c>
      <c r="Q56" s="329">
        <f t="shared" si="1"/>
        <v>10.35648962871073</v>
      </c>
      <c r="R56" s="297">
        <v>41040</v>
      </c>
    </row>
    <row r="57" spans="1:18" ht="12" customHeight="1">
      <c r="A57" s="311">
        <v>54</v>
      </c>
      <c r="B57" s="236"/>
      <c r="C57" s="236"/>
      <c r="D57" s="236"/>
      <c r="E57" s="236"/>
      <c r="F57" s="236"/>
      <c r="G57" s="236"/>
      <c r="H57" s="360" t="s">
        <v>584</v>
      </c>
      <c r="I57" s="319"/>
      <c r="J57" s="319" t="s">
        <v>92</v>
      </c>
      <c r="K57" s="288" t="s">
        <v>584</v>
      </c>
      <c r="L57" s="320">
        <v>40970</v>
      </c>
      <c r="M57" s="288" t="s">
        <v>10</v>
      </c>
      <c r="N57" s="331">
        <v>31</v>
      </c>
      <c r="O57" s="382">
        <v>347925</v>
      </c>
      <c r="P57" s="383">
        <v>27913</v>
      </c>
      <c r="Q57" s="329">
        <f t="shared" si="1"/>
        <v>12.464622219037725</v>
      </c>
      <c r="R57" s="297">
        <v>41040</v>
      </c>
    </row>
    <row r="58" spans="1:18" ht="12" customHeight="1">
      <c r="A58" s="311">
        <v>55</v>
      </c>
      <c r="B58" s="236"/>
      <c r="C58" s="236"/>
      <c r="D58" s="236"/>
      <c r="E58" s="236"/>
      <c r="F58" s="236"/>
      <c r="G58" s="236"/>
      <c r="H58" s="366" t="s">
        <v>194</v>
      </c>
      <c r="I58" s="312"/>
      <c r="J58" s="319"/>
      <c r="K58" s="339" t="s">
        <v>171</v>
      </c>
      <c r="L58" s="297">
        <v>40907</v>
      </c>
      <c r="M58" s="288" t="s">
        <v>68</v>
      </c>
      <c r="N58" s="312">
        <v>19</v>
      </c>
      <c r="O58" s="382">
        <f>108631+115157+28332.5+21104.5+2954+17358.36+18153+140+9001.5+242+1826+554+3801.5</f>
        <v>327255.36</v>
      </c>
      <c r="P58" s="383">
        <f>8552+8628+2468+2132+301+2376+2114+19+1177+28+248+58+760</f>
        <v>28861</v>
      </c>
      <c r="Q58" s="329">
        <f t="shared" si="1"/>
        <v>11.339016666089186</v>
      </c>
      <c r="R58" s="297">
        <v>41040</v>
      </c>
    </row>
    <row r="59" spans="1:18" ht="12" customHeight="1">
      <c r="A59" s="311">
        <v>56</v>
      </c>
      <c r="B59" s="293"/>
      <c r="C59" s="293"/>
      <c r="D59" s="236"/>
      <c r="E59" s="293"/>
      <c r="F59" s="236"/>
      <c r="G59" s="236"/>
      <c r="H59" s="360" t="s">
        <v>512</v>
      </c>
      <c r="I59" s="319" t="s">
        <v>121</v>
      </c>
      <c r="J59" s="312" t="s">
        <v>738</v>
      </c>
      <c r="K59" s="288" t="s">
        <v>511</v>
      </c>
      <c r="L59" s="297">
        <v>40949</v>
      </c>
      <c r="M59" s="288" t="s">
        <v>324</v>
      </c>
      <c r="N59" s="312">
        <v>27</v>
      </c>
      <c r="O59" s="386">
        <v>324987</v>
      </c>
      <c r="P59" s="387">
        <v>28199</v>
      </c>
      <c r="Q59" s="329">
        <f t="shared" si="1"/>
        <v>11.524770381928438</v>
      </c>
      <c r="R59" s="297">
        <v>41040</v>
      </c>
    </row>
    <row r="60" spans="1:18" ht="12" customHeight="1">
      <c r="A60" s="311">
        <v>57</v>
      </c>
      <c r="B60" s="236"/>
      <c r="C60" s="236"/>
      <c r="D60" s="236"/>
      <c r="E60" s="236"/>
      <c r="F60" s="236"/>
      <c r="G60" s="236" t="s">
        <v>54</v>
      </c>
      <c r="H60" s="363" t="s">
        <v>509</v>
      </c>
      <c r="I60" s="312" t="s">
        <v>500</v>
      </c>
      <c r="J60" s="331" t="s">
        <v>128</v>
      </c>
      <c r="K60" s="319" t="s">
        <v>509</v>
      </c>
      <c r="L60" s="320">
        <v>40942</v>
      </c>
      <c r="M60" s="288" t="s">
        <v>53</v>
      </c>
      <c r="N60" s="346">
        <v>95</v>
      </c>
      <c r="O60" s="378">
        <f>166893.1+124753.91+25288.04+4237+1396+180</f>
        <v>322748.05</v>
      </c>
      <c r="P60" s="379">
        <f>18839+14893+3105+518+139+22</f>
        <v>37516</v>
      </c>
      <c r="Q60" s="329">
        <f t="shared" si="1"/>
        <v>8.60294407719373</v>
      </c>
      <c r="R60" s="297">
        <v>40977</v>
      </c>
    </row>
    <row r="61" spans="1:18" ht="12" customHeight="1">
      <c r="A61" s="311">
        <v>58</v>
      </c>
      <c r="B61" s="293"/>
      <c r="C61" s="293"/>
      <c r="D61" s="236"/>
      <c r="E61" s="293"/>
      <c r="F61" s="236"/>
      <c r="G61" s="236"/>
      <c r="H61" s="360" t="s">
        <v>479</v>
      </c>
      <c r="I61" s="288" t="s">
        <v>823</v>
      </c>
      <c r="J61" s="288" t="s">
        <v>94</v>
      </c>
      <c r="K61" s="288" t="s">
        <v>478</v>
      </c>
      <c r="L61" s="320">
        <v>40935</v>
      </c>
      <c r="M61" s="288" t="s">
        <v>52</v>
      </c>
      <c r="N61" s="312">
        <v>57</v>
      </c>
      <c r="O61" s="500">
        <v>297609.76</v>
      </c>
      <c r="P61" s="501">
        <v>38604</v>
      </c>
      <c r="Q61" s="329">
        <f t="shared" si="1"/>
        <v>7.709298518288261</v>
      </c>
      <c r="R61" s="297">
        <v>41033</v>
      </c>
    </row>
    <row r="62" spans="1:18" ht="12" customHeight="1">
      <c r="A62" s="311">
        <v>59</v>
      </c>
      <c r="B62" s="293"/>
      <c r="C62" s="293"/>
      <c r="D62" s="236"/>
      <c r="E62" s="293"/>
      <c r="F62" s="236"/>
      <c r="G62" s="236" t="s">
        <v>54</v>
      </c>
      <c r="H62" s="360" t="s">
        <v>492</v>
      </c>
      <c r="I62" s="312" t="s">
        <v>824</v>
      </c>
      <c r="J62" s="288"/>
      <c r="K62" s="288" t="s">
        <v>492</v>
      </c>
      <c r="L62" s="320">
        <v>40942</v>
      </c>
      <c r="M62" s="288" t="s">
        <v>52</v>
      </c>
      <c r="N62" s="312">
        <v>42</v>
      </c>
      <c r="O62" s="378">
        <v>289120.01</v>
      </c>
      <c r="P62" s="379">
        <v>32731</v>
      </c>
      <c r="Q62" s="329">
        <f t="shared" si="1"/>
        <v>8.833216522562708</v>
      </c>
      <c r="R62" s="297">
        <v>41040</v>
      </c>
    </row>
    <row r="63" spans="1:18" ht="12.75">
      <c r="A63" s="311">
        <v>60</v>
      </c>
      <c r="B63" s="236"/>
      <c r="C63" s="236"/>
      <c r="D63" s="236"/>
      <c r="E63" s="236"/>
      <c r="F63" s="236"/>
      <c r="G63" s="236"/>
      <c r="H63" s="360" t="s">
        <v>620</v>
      </c>
      <c r="I63" s="288"/>
      <c r="J63" s="288"/>
      <c r="K63" s="288" t="s">
        <v>619</v>
      </c>
      <c r="L63" s="297">
        <v>40984</v>
      </c>
      <c r="M63" s="288" t="s">
        <v>53</v>
      </c>
      <c r="N63" s="346">
        <v>25</v>
      </c>
      <c r="O63" s="378">
        <f>122912.69+58583.03+37413.97+10432+17893.5+17930.78+8047.5+9839.25+3295.96</f>
        <v>286348.68</v>
      </c>
      <c r="P63" s="379">
        <f>10193+4985+3446+1321+2499+2645+1177+1459+615</f>
        <v>28340</v>
      </c>
      <c r="Q63" s="329">
        <f t="shared" si="1"/>
        <v>10.104046577275934</v>
      </c>
      <c r="R63" s="297">
        <v>41040</v>
      </c>
    </row>
    <row r="64" spans="1:18" ht="12.75">
      <c r="A64" s="311">
        <v>61</v>
      </c>
      <c r="B64" s="236"/>
      <c r="C64" s="236"/>
      <c r="D64" s="236"/>
      <c r="E64" s="236"/>
      <c r="F64" s="236"/>
      <c r="G64" s="236" t="s">
        <v>54</v>
      </c>
      <c r="H64" s="361" t="s">
        <v>642</v>
      </c>
      <c r="I64" s="340" t="s">
        <v>643</v>
      </c>
      <c r="J64" s="312"/>
      <c r="K64" s="288" t="s">
        <v>642</v>
      </c>
      <c r="L64" s="320">
        <v>40991</v>
      </c>
      <c r="M64" s="288" t="s">
        <v>52</v>
      </c>
      <c r="N64" s="312">
        <v>47</v>
      </c>
      <c r="O64" s="378">
        <v>282297.09</v>
      </c>
      <c r="P64" s="379">
        <v>33684</v>
      </c>
      <c r="Q64" s="329">
        <f t="shared" si="1"/>
        <v>8.380747239045245</v>
      </c>
      <c r="R64" s="297">
        <v>41040</v>
      </c>
    </row>
    <row r="65" spans="1:18" ht="12.75">
      <c r="A65" s="311">
        <v>62</v>
      </c>
      <c r="B65" s="236"/>
      <c r="C65" s="236"/>
      <c r="D65" s="236"/>
      <c r="E65" s="236"/>
      <c r="F65" s="236"/>
      <c r="G65" s="236"/>
      <c r="H65" s="361" t="s">
        <v>581</v>
      </c>
      <c r="I65" s="312"/>
      <c r="J65" s="340"/>
      <c r="K65" s="340" t="s">
        <v>582</v>
      </c>
      <c r="L65" s="320">
        <v>40970</v>
      </c>
      <c r="M65" s="288" t="s">
        <v>68</v>
      </c>
      <c r="N65" s="312">
        <v>100</v>
      </c>
      <c r="O65" s="382">
        <f>141737.5+69212.99+17385.27+12661+9645+4953+1221.5</f>
        <v>256816.25999999998</v>
      </c>
      <c r="P65" s="383">
        <f>15777+8169+2548+1919+1615+842+213</f>
        <v>31083</v>
      </c>
      <c r="Q65" s="329">
        <f t="shared" si="1"/>
        <v>8.262273911784575</v>
      </c>
      <c r="R65" s="297">
        <v>41040</v>
      </c>
    </row>
    <row r="66" spans="1:18" ht="12.75">
      <c r="A66" s="311">
        <v>63</v>
      </c>
      <c r="B66" s="236"/>
      <c r="C66" s="236"/>
      <c r="D66" s="236"/>
      <c r="E66" s="236"/>
      <c r="F66" s="236"/>
      <c r="G66" s="236" t="s">
        <v>54</v>
      </c>
      <c r="H66" s="361" t="s">
        <v>668</v>
      </c>
      <c r="I66" s="288"/>
      <c r="J66" s="288"/>
      <c r="K66" s="340" t="s">
        <v>668</v>
      </c>
      <c r="L66" s="320">
        <v>40998</v>
      </c>
      <c r="M66" s="288" t="s">
        <v>68</v>
      </c>
      <c r="N66" s="346">
        <v>109</v>
      </c>
      <c r="O66" s="382">
        <f>141737.5+69212.99+17385.27+12661+9645+4953</f>
        <v>255594.75999999998</v>
      </c>
      <c r="P66" s="383">
        <f>15777+8169+2548+1919+1615+842</f>
        <v>30870</v>
      </c>
      <c r="Q66" s="329">
        <f t="shared" si="1"/>
        <v>8.279713637836085</v>
      </c>
      <c r="R66" s="297">
        <v>41033</v>
      </c>
    </row>
    <row r="67" spans="1:18" ht="12.75">
      <c r="A67" s="311">
        <v>64</v>
      </c>
      <c r="B67" s="236"/>
      <c r="C67" s="236"/>
      <c r="D67" s="236"/>
      <c r="E67" s="236"/>
      <c r="F67" s="236"/>
      <c r="G67" s="293"/>
      <c r="H67" s="361" t="s">
        <v>735</v>
      </c>
      <c r="I67" s="319" t="s">
        <v>121</v>
      </c>
      <c r="J67" s="312" t="s">
        <v>120</v>
      </c>
      <c r="K67" s="340" t="s">
        <v>736</v>
      </c>
      <c r="L67" s="320">
        <v>41019</v>
      </c>
      <c r="M67" s="288" t="s">
        <v>68</v>
      </c>
      <c r="N67" s="312">
        <v>40</v>
      </c>
      <c r="O67" s="382">
        <f>131090.96+61750.96+34097.25+27709.85</f>
        <v>254649.02</v>
      </c>
      <c r="P67" s="383">
        <f>13066+6930+4479+3589</f>
        <v>28064</v>
      </c>
      <c r="Q67" s="329">
        <f t="shared" si="1"/>
        <v>9.07386758836944</v>
      </c>
      <c r="R67" s="297">
        <v>41040</v>
      </c>
    </row>
    <row r="68" spans="1:18" ht="12.75">
      <c r="A68" s="311">
        <v>65</v>
      </c>
      <c r="B68" s="236"/>
      <c r="C68" s="293"/>
      <c r="D68" s="236"/>
      <c r="E68" s="293"/>
      <c r="F68" s="236"/>
      <c r="G68" s="293"/>
      <c r="H68" s="364" t="s">
        <v>758</v>
      </c>
      <c r="I68" s="340"/>
      <c r="J68" s="312" t="s">
        <v>759</v>
      </c>
      <c r="K68" s="340" t="s">
        <v>760</v>
      </c>
      <c r="L68" s="320">
        <v>41026</v>
      </c>
      <c r="M68" s="288" t="s">
        <v>8</v>
      </c>
      <c r="N68" s="340">
        <v>30</v>
      </c>
      <c r="O68" s="382">
        <v>230591</v>
      </c>
      <c r="P68" s="383">
        <v>18712</v>
      </c>
      <c r="Q68" s="329">
        <f aca="true" t="shared" si="2" ref="Q68:Q99">O68/P68</f>
        <v>12.323161607524582</v>
      </c>
      <c r="R68" s="297">
        <v>41040</v>
      </c>
    </row>
    <row r="69" spans="1:18" ht="12.75">
      <c r="A69" s="311">
        <v>66</v>
      </c>
      <c r="B69" s="236"/>
      <c r="C69" s="236"/>
      <c r="D69" s="236"/>
      <c r="E69" s="236"/>
      <c r="F69" s="236"/>
      <c r="G69" s="236"/>
      <c r="H69" s="361" t="s">
        <v>839</v>
      </c>
      <c r="I69" s="288"/>
      <c r="J69" s="288" t="s">
        <v>79</v>
      </c>
      <c r="K69" s="288" t="s">
        <v>840</v>
      </c>
      <c r="L69" s="320">
        <v>41010</v>
      </c>
      <c r="M69" s="288" t="s">
        <v>289</v>
      </c>
      <c r="N69" s="312">
        <v>45</v>
      </c>
      <c r="O69" s="378">
        <v>219507.5</v>
      </c>
      <c r="P69" s="379">
        <v>19010</v>
      </c>
      <c r="Q69" s="329">
        <f t="shared" si="2"/>
        <v>11.546948974224092</v>
      </c>
      <c r="R69" s="297">
        <v>41040</v>
      </c>
    </row>
    <row r="70" spans="1:18" ht="12.75">
      <c r="A70" s="311">
        <v>67</v>
      </c>
      <c r="B70" s="293"/>
      <c r="C70" s="293"/>
      <c r="D70" s="236"/>
      <c r="E70" s="293"/>
      <c r="F70" s="236"/>
      <c r="G70" s="236"/>
      <c r="H70" s="360" t="s">
        <v>513</v>
      </c>
      <c r="I70" s="288" t="s">
        <v>821</v>
      </c>
      <c r="J70" s="288" t="s">
        <v>94</v>
      </c>
      <c r="K70" s="288" t="s">
        <v>514</v>
      </c>
      <c r="L70" s="320">
        <v>40949</v>
      </c>
      <c r="M70" s="288" t="s">
        <v>52</v>
      </c>
      <c r="N70" s="312">
        <v>26</v>
      </c>
      <c r="O70" s="378">
        <v>195509.71</v>
      </c>
      <c r="P70" s="379">
        <v>21153</v>
      </c>
      <c r="Q70" s="329">
        <f t="shared" si="2"/>
        <v>9.242646905876235</v>
      </c>
      <c r="R70" s="297">
        <v>41040</v>
      </c>
    </row>
    <row r="71" spans="1:18" ht="12.75">
      <c r="A71" s="311">
        <v>68</v>
      </c>
      <c r="B71" s="236"/>
      <c r="C71" s="236"/>
      <c r="D71" s="236"/>
      <c r="E71" s="236"/>
      <c r="F71" s="236" t="s">
        <v>55</v>
      </c>
      <c r="G71" s="236"/>
      <c r="H71" s="361" t="s">
        <v>772</v>
      </c>
      <c r="I71" s="312"/>
      <c r="J71" s="319"/>
      <c r="K71" s="288" t="s">
        <v>773</v>
      </c>
      <c r="L71" s="320">
        <v>41033</v>
      </c>
      <c r="M71" s="288" t="s">
        <v>774</v>
      </c>
      <c r="N71" s="341">
        <v>60</v>
      </c>
      <c r="O71" s="384">
        <v>187746</v>
      </c>
      <c r="P71" s="385">
        <v>18687</v>
      </c>
      <c r="Q71" s="329">
        <f t="shared" si="2"/>
        <v>10.046877508428318</v>
      </c>
      <c r="R71" s="297">
        <v>41040</v>
      </c>
    </row>
    <row r="72" spans="1:18" ht="12.75">
      <c r="A72" s="311">
        <v>69</v>
      </c>
      <c r="B72" s="236"/>
      <c r="C72" s="236"/>
      <c r="D72" s="236"/>
      <c r="E72" s="236"/>
      <c r="F72" s="236" t="s">
        <v>55</v>
      </c>
      <c r="G72" s="293"/>
      <c r="H72" s="361" t="s">
        <v>783</v>
      </c>
      <c r="I72" s="319" t="s">
        <v>781</v>
      </c>
      <c r="J72" s="312"/>
      <c r="K72" s="340" t="s">
        <v>779</v>
      </c>
      <c r="L72" s="320">
        <v>41033</v>
      </c>
      <c r="M72" s="288" t="s">
        <v>68</v>
      </c>
      <c r="N72" s="312">
        <v>53</v>
      </c>
      <c r="O72" s="382">
        <f>99591.36+88112.29</f>
        <v>187703.65</v>
      </c>
      <c r="P72" s="383">
        <f>10045+9161</f>
        <v>19206</v>
      </c>
      <c r="Q72" s="329">
        <f t="shared" si="2"/>
        <v>9.773177652816829</v>
      </c>
      <c r="R72" s="297">
        <v>41040</v>
      </c>
    </row>
    <row r="73" spans="1:18" ht="12.75">
      <c r="A73" s="311">
        <v>70</v>
      </c>
      <c r="B73" s="236"/>
      <c r="C73" s="293"/>
      <c r="D73" s="236">
        <v>2</v>
      </c>
      <c r="E73" s="293"/>
      <c r="F73" s="236"/>
      <c r="G73" s="293"/>
      <c r="H73" s="364" t="s">
        <v>647</v>
      </c>
      <c r="I73" s="319"/>
      <c r="J73" s="312" t="s">
        <v>744</v>
      </c>
      <c r="K73" s="340" t="s">
        <v>647</v>
      </c>
      <c r="L73" s="297">
        <v>40991</v>
      </c>
      <c r="M73" s="288" t="s">
        <v>8</v>
      </c>
      <c r="N73" s="340">
        <v>30</v>
      </c>
      <c r="O73" s="382">
        <v>147882</v>
      </c>
      <c r="P73" s="383">
        <v>13307</v>
      </c>
      <c r="Q73" s="329">
        <f t="shared" si="2"/>
        <v>11.113098369279326</v>
      </c>
      <c r="R73" s="297">
        <v>41040</v>
      </c>
    </row>
    <row r="74" spans="1:18" ht="12.75">
      <c r="A74" s="311">
        <v>71</v>
      </c>
      <c r="B74" s="236"/>
      <c r="C74" s="236"/>
      <c r="D74" s="236"/>
      <c r="E74" s="236"/>
      <c r="F74" s="236"/>
      <c r="G74" s="236" t="s">
        <v>54</v>
      </c>
      <c r="H74" s="361" t="s">
        <v>648</v>
      </c>
      <c r="I74" s="312"/>
      <c r="J74" s="340"/>
      <c r="K74" s="340" t="s">
        <v>648</v>
      </c>
      <c r="L74" s="320">
        <v>40991</v>
      </c>
      <c r="M74" s="288" t="s">
        <v>68</v>
      </c>
      <c r="N74" s="312">
        <v>20</v>
      </c>
      <c r="O74" s="382">
        <f>50858.29+38451.47+23135.83+10325.02+9081+9951+2188</f>
        <v>143990.61000000002</v>
      </c>
      <c r="P74" s="383">
        <f>5799+4385+2913+1485+1324+1503+309</f>
        <v>17718</v>
      </c>
      <c r="Q74" s="329">
        <f t="shared" si="2"/>
        <v>8.126798171351169</v>
      </c>
      <c r="R74" s="297">
        <v>41033</v>
      </c>
    </row>
    <row r="75" spans="1:18" ht="12.75">
      <c r="A75" s="311">
        <v>72</v>
      </c>
      <c r="B75" s="236" t="s">
        <v>193</v>
      </c>
      <c r="C75" s="236">
        <v>3</v>
      </c>
      <c r="D75" s="236"/>
      <c r="E75" s="236"/>
      <c r="F75" s="236" t="s">
        <v>55</v>
      </c>
      <c r="G75" s="293"/>
      <c r="H75" s="361" t="s">
        <v>189</v>
      </c>
      <c r="I75" s="319" t="s">
        <v>167</v>
      </c>
      <c r="J75" s="312" t="s">
        <v>169</v>
      </c>
      <c r="K75" s="340" t="s">
        <v>165</v>
      </c>
      <c r="L75" s="320">
        <v>40907</v>
      </c>
      <c r="M75" s="288" t="s">
        <v>8</v>
      </c>
      <c r="N75" s="345">
        <v>73</v>
      </c>
      <c r="O75" s="502">
        <v>141554</v>
      </c>
      <c r="P75" s="503">
        <v>12703</v>
      </c>
      <c r="Q75" s="318">
        <f t="shared" si="2"/>
        <v>11.143351964102967</v>
      </c>
      <c r="R75" s="297">
        <v>40928</v>
      </c>
    </row>
    <row r="76" spans="1:18" ht="12.75">
      <c r="A76" s="311">
        <v>73</v>
      </c>
      <c r="B76" s="236"/>
      <c r="C76" s="236"/>
      <c r="D76" s="236"/>
      <c r="E76" s="236"/>
      <c r="F76" s="236"/>
      <c r="G76" s="236"/>
      <c r="H76" s="362" t="s">
        <v>718</v>
      </c>
      <c r="I76" s="312"/>
      <c r="J76" s="341"/>
      <c r="K76" s="341" t="s">
        <v>719</v>
      </c>
      <c r="L76" s="320">
        <v>41012</v>
      </c>
      <c r="M76" s="288" t="s">
        <v>53</v>
      </c>
      <c r="N76" s="346">
        <v>28</v>
      </c>
      <c r="O76" s="378">
        <f>44660.31+37795.71+16015.5+13519+9604.34</f>
        <v>121594.85999999999</v>
      </c>
      <c r="P76" s="379">
        <f>5011+4246+2231+1981+1347</f>
        <v>14816</v>
      </c>
      <c r="Q76" s="329">
        <f t="shared" si="2"/>
        <v>8.206996490280776</v>
      </c>
      <c r="R76" s="297">
        <v>41040</v>
      </c>
    </row>
    <row r="77" spans="1:18" ht="12.75">
      <c r="A77" s="311">
        <v>74</v>
      </c>
      <c r="B77" s="236"/>
      <c r="C77" s="236"/>
      <c r="D77" s="236"/>
      <c r="E77" s="236"/>
      <c r="F77" s="236"/>
      <c r="G77" s="236"/>
      <c r="H77" s="360" t="s">
        <v>754</v>
      </c>
      <c r="I77" s="288"/>
      <c r="J77" s="288"/>
      <c r="K77" s="288" t="s">
        <v>755</v>
      </c>
      <c r="L77" s="297">
        <v>41026</v>
      </c>
      <c r="M77" s="288" t="s">
        <v>53</v>
      </c>
      <c r="N77" s="346">
        <v>41</v>
      </c>
      <c r="O77" s="378">
        <f>67385.07+36872.58+17049.36</f>
        <v>121307.01000000001</v>
      </c>
      <c r="P77" s="379">
        <f>7044+3773+2188</f>
        <v>13005</v>
      </c>
      <c r="Q77" s="329">
        <f t="shared" si="2"/>
        <v>9.327720876585929</v>
      </c>
      <c r="R77" s="297">
        <v>41040</v>
      </c>
    </row>
    <row r="78" spans="1:18" ht="12.75">
      <c r="A78" s="311">
        <v>75</v>
      </c>
      <c r="B78" s="236"/>
      <c r="C78" s="236"/>
      <c r="D78" s="236"/>
      <c r="E78" s="236"/>
      <c r="F78" s="236"/>
      <c r="G78" s="236" t="s">
        <v>54</v>
      </c>
      <c r="H78" s="360" t="s">
        <v>599</v>
      </c>
      <c r="I78" s="312"/>
      <c r="J78" s="319"/>
      <c r="K78" s="288" t="s">
        <v>599</v>
      </c>
      <c r="L78" s="297">
        <v>40977</v>
      </c>
      <c r="M78" s="288" t="s">
        <v>53</v>
      </c>
      <c r="N78" s="312">
        <v>85</v>
      </c>
      <c r="O78" s="378">
        <f>70303.72+30009.91+8450.36+2364.5+610-24+424+213</f>
        <v>112351.49</v>
      </c>
      <c r="P78" s="379">
        <f>9206+3925+1180+347+89-2+64+35</f>
        <v>14844</v>
      </c>
      <c r="Q78" s="329">
        <f t="shared" si="2"/>
        <v>7.568815009431421</v>
      </c>
      <c r="R78" s="297">
        <v>41019</v>
      </c>
    </row>
    <row r="79" spans="1:18" ht="12.75">
      <c r="A79" s="311">
        <v>76</v>
      </c>
      <c r="B79" s="236"/>
      <c r="C79" s="236"/>
      <c r="D79" s="236"/>
      <c r="E79" s="236"/>
      <c r="F79" s="236"/>
      <c r="G79" s="236" t="s">
        <v>54</v>
      </c>
      <c r="H79" s="361" t="s">
        <v>775</v>
      </c>
      <c r="I79" s="319" t="s">
        <v>776</v>
      </c>
      <c r="J79" s="312"/>
      <c r="K79" s="340" t="s">
        <v>775</v>
      </c>
      <c r="L79" s="320">
        <v>40998</v>
      </c>
      <c r="M79" s="288" t="s">
        <v>8</v>
      </c>
      <c r="N79" s="340">
        <v>51</v>
      </c>
      <c r="O79" s="382">
        <v>101938</v>
      </c>
      <c r="P79" s="383">
        <v>11383</v>
      </c>
      <c r="Q79" s="329">
        <f t="shared" si="2"/>
        <v>8.955284195730476</v>
      </c>
      <c r="R79" s="297">
        <v>41040</v>
      </c>
    </row>
    <row r="80" spans="1:18" ht="12.75">
      <c r="A80" s="311">
        <v>77</v>
      </c>
      <c r="B80" s="236"/>
      <c r="C80" s="293"/>
      <c r="D80" s="236"/>
      <c r="E80" s="293"/>
      <c r="F80" s="236"/>
      <c r="G80" s="293"/>
      <c r="H80" s="364" t="s">
        <v>844</v>
      </c>
      <c r="I80" s="340" t="s">
        <v>847</v>
      </c>
      <c r="J80" s="312" t="s">
        <v>846</v>
      </c>
      <c r="K80" s="340" t="s">
        <v>845</v>
      </c>
      <c r="L80" s="320">
        <v>41010</v>
      </c>
      <c r="M80" s="288" t="s">
        <v>8</v>
      </c>
      <c r="N80" s="346">
        <v>31</v>
      </c>
      <c r="O80" s="382">
        <v>101631</v>
      </c>
      <c r="P80" s="383">
        <v>8257</v>
      </c>
      <c r="Q80" s="329">
        <f t="shared" si="2"/>
        <v>12.30846554438658</v>
      </c>
      <c r="R80" s="297">
        <v>41040</v>
      </c>
    </row>
    <row r="81" spans="1:18" ht="12.75">
      <c r="A81" s="311">
        <v>78</v>
      </c>
      <c r="B81" s="236"/>
      <c r="C81" s="236"/>
      <c r="D81" s="236"/>
      <c r="E81" s="236"/>
      <c r="F81" s="236"/>
      <c r="G81" s="236" t="s">
        <v>54</v>
      </c>
      <c r="H81" s="361" t="s">
        <v>764</v>
      </c>
      <c r="I81" s="319" t="s">
        <v>766</v>
      </c>
      <c r="J81" s="312"/>
      <c r="K81" s="340" t="s">
        <v>764</v>
      </c>
      <c r="L81" s="320">
        <v>41026</v>
      </c>
      <c r="M81" s="288" t="s">
        <v>68</v>
      </c>
      <c r="N81" s="312">
        <v>30</v>
      </c>
      <c r="O81" s="382">
        <f>58936.99+27846.05+11659.99</f>
        <v>98443.03</v>
      </c>
      <c r="P81" s="383">
        <f>6042+3064+1514</f>
        <v>10620</v>
      </c>
      <c r="Q81" s="329">
        <f t="shared" si="2"/>
        <v>9.269588512241054</v>
      </c>
      <c r="R81" s="297">
        <v>41040</v>
      </c>
    </row>
    <row r="82" spans="1:18" ht="12.75">
      <c r="A82" s="311">
        <v>79</v>
      </c>
      <c r="B82" s="236"/>
      <c r="C82" s="236"/>
      <c r="D82" s="236"/>
      <c r="E82" s="236"/>
      <c r="F82" s="294"/>
      <c r="G82" s="293"/>
      <c r="H82" s="362" t="s">
        <v>628</v>
      </c>
      <c r="I82" s="339"/>
      <c r="J82" s="319" t="s">
        <v>832</v>
      </c>
      <c r="K82" s="288" t="s">
        <v>629</v>
      </c>
      <c r="L82" s="297">
        <v>40984</v>
      </c>
      <c r="M82" s="288" t="s">
        <v>10</v>
      </c>
      <c r="N82" s="331">
        <v>15</v>
      </c>
      <c r="O82" s="382">
        <v>98134</v>
      </c>
      <c r="P82" s="383">
        <v>8840</v>
      </c>
      <c r="Q82" s="329">
        <f t="shared" si="2"/>
        <v>11.101131221719458</v>
      </c>
      <c r="R82" s="297">
        <v>41040</v>
      </c>
    </row>
    <row r="83" spans="1:18" ht="12.75">
      <c r="A83" s="311">
        <v>80</v>
      </c>
      <c r="B83" s="293"/>
      <c r="C83" s="293"/>
      <c r="D83" s="236"/>
      <c r="E83" s="293"/>
      <c r="F83" s="236"/>
      <c r="G83" s="236"/>
      <c r="H83" s="360" t="s">
        <v>756</v>
      </c>
      <c r="I83" s="312"/>
      <c r="J83" s="288" t="s">
        <v>79</v>
      </c>
      <c r="K83" s="288" t="s">
        <v>757</v>
      </c>
      <c r="L83" s="320">
        <v>41026</v>
      </c>
      <c r="M83" s="288" t="s">
        <v>289</v>
      </c>
      <c r="N83" s="312">
        <v>12</v>
      </c>
      <c r="O83" s="378">
        <v>90354.5</v>
      </c>
      <c r="P83" s="379">
        <v>7515</v>
      </c>
      <c r="Q83" s="329">
        <f t="shared" si="2"/>
        <v>12.023220226214239</v>
      </c>
      <c r="R83" s="297">
        <v>41040</v>
      </c>
    </row>
    <row r="84" spans="1:18" ht="12.75">
      <c r="A84" s="311">
        <v>81</v>
      </c>
      <c r="B84" s="236"/>
      <c r="C84" s="236"/>
      <c r="D84" s="236"/>
      <c r="E84" s="236"/>
      <c r="F84" s="236"/>
      <c r="G84" s="236"/>
      <c r="H84" s="366" t="s">
        <v>517</v>
      </c>
      <c r="I84" s="312" t="s">
        <v>187</v>
      </c>
      <c r="J84" s="341" t="s">
        <v>91</v>
      </c>
      <c r="K84" s="339" t="s">
        <v>519</v>
      </c>
      <c r="L84" s="320">
        <v>40949</v>
      </c>
      <c r="M84" s="288" t="s">
        <v>12</v>
      </c>
      <c r="N84" s="312">
        <v>15</v>
      </c>
      <c r="O84" s="378">
        <v>87720</v>
      </c>
      <c r="P84" s="379">
        <v>7372</v>
      </c>
      <c r="Q84" s="329">
        <f t="shared" si="2"/>
        <v>11.899077590884428</v>
      </c>
      <c r="R84" s="297">
        <v>40977</v>
      </c>
    </row>
    <row r="85" spans="1:18" ht="12.75">
      <c r="A85" s="311">
        <v>82</v>
      </c>
      <c r="B85" s="236"/>
      <c r="C85" s="236"/>
      <c r="D85" s="236"/>
      <c r="E85" s="236"/>
      <c r="F85" s="236"/>
      <c r="G85" s="236"/>
      <c r="H85" s="361" t="s">
        <v>611</v>
      </c>
      <c r="I85" s="319"/>
      <c r="J85" s="312"/>
      <c r="K85" s="340" t="s">
        <v>605</v>
      </c>
      <c r="L85" s="320">
        <v>40977</v>
      </c>
      <c r="M85" s="288" t="s">
        <v>68</v>
      </c>
      <c r="N85" s="346">
        <v>25</v>
      </c>
      <c r="O85" s="382">
        <f>44155.29+14545.19+3232+1413+3874.5+4880.5+7560.5+4403+1609+269</f>
        <v>85941.98000000001</v>
      </c>
      <c r="P85" s="383">
        <f>4205+1615+429+198+552+711+1106+704+269+38</f>
        <v>9827</v>
      </c>
      <c r="Q85" s="329">
        <f t="shared" si="2"/>
        <v>8.74549506461789</v>
      </c>
      <c r="R85" s="297">
        <v>41040</v>
      </c>
    </row>
    <row r="86" spans="1:18" ht="12.75">
      <c r="A86" s="311">
        <v>83</v>
      </c>
      <c r="B86" s="236"/>
      <c r="C86" s="236"/>
      <c r="D86" s="236"/>
      <c r="E86" s="236"/>
      <c r="F86" s="236"/>
      <c r="G86" s="293"/>
      <c r="H86" s="361" t="s">
        <v>765</v>
      </c>
      <c r="I86" s="319" t="s">
        <v>118</v>
      </c>
      <c r="J86" s="312" t="s">
        <v>88</v>
      </c>
      <c r="K86" s="340" t="s">
        <v>767</v>
      </c>
      <c r="L86" s="320">
        <v>41026</v>
      </c>
      <c r="M86" s="288" t="s">
        <v>68</v>
      </c>
      <c r="N86" s="312">
        <v>8</v>
      </c>
      <c r="O86" s="382">
        <f>35667+36947.5+8348</f>
        <v>80962.5</v>
      </c>
      <c r="P86" s="383">
        <f>2361+2711+628</f>
        <v>5700</v>
      </c>
      <c r="Q86" s="329">
        <f t="shared" si="2"/>
        <v>14.203947368421053</v>
      </c>
      <c r="R86" s="297">
        <v>41040</v>
      </c>
    </row>
    <row r="87" spans="1:18" ht="12.75">
      <c r="A87" s="311">
        <v>84</v>
      </c>
      <c r="B87" s="236"/>
      <c r="C87" s="236"/>
      <c r="D87" s="236"/>
      <c r="E87" s="236"/>
      <c r="F87" s="236"/>
      <c r="G87" s="236" t="s">
        <v>54</v>
      </c>
      <c r="H87" s="361" t="s">
        <v>778</v>
      </c>
      <c r="I87" s="319" t="s">
        <v>780</v>
      </c>
      <c r="J87" s="312" t="s">
        <v>780</v>
      </c>
      <c r="K87" s="340" t="s">
        <v>778</v>
      </c>
      <c r="L87" s="320">
        <v>41033</v>
      </c>
      <c r="M87" s="288" t="s">
        <v>68</v>
      </c>
      <c r="N87" s="312">
        <v>32</v>
      </c>
      <c r="O87" s="382">
        <f>47895.5+27071</f>
        <v>74966.5</v>
      </c>
      <c r="P87" s="383">
        <f>4434+2905</f>
        <v>7339</v>
      </c>
      <c r="Q87" s="329">
        <f t="shared" si="2"/>
        <v>10.214811282191034</v>
      </c>
      <c r="R87" s="297">
        <v>41040</v>
      </c>
    </row>
    <row r="88" spans="1:18" ht="12.75">
      <c r="A88" s="311">
        <v>85</v>
      </c>
      <c r="B88" s="236"/>
      <c r="C88" s="236"/>
      <c r="D88" s="236"/>
      <c r="E88" s="236"/>
      <c r="F88" s="236"/>
      <c r="G88" s="236" t="s">
        <v>54</v>
      </c>
      <c r="H88" s="361" t="s">
        <v>842</v>
      </c>
      <c r="I88" s="312" t="s">
        <v>843</v>
      </c>
      <c r="J88" s="319"/>
      <c r="K88" s="288" t="s">
        <v>842</v>
      </c>
      <c r="L88" s="320">
        <v>41010</v>
      </c>
      <c r="M88" s="288" t="s">
        <v>52</v>
      </c>
      <c r="N88" s="312">
        <v>70</v>
      </c>
      <c r="O88" s="378">
        <v>71623.04</v>
      </c>
      <c r="P88" s="379">
        <v>8394</v>
      </c>
      <c r="Q88" s="329">
        <f t="shared" si="2"/>
        <v>8.532647128901596</v>
      </c>
      <c r="R88" s="297">
        <v>41040</v>
      </c>
    </row>
    <row r="89" spans="1:18" ht="12.75">
      <c r="A89" s="311">
        <v>86</v>
      </c>
      <c r="B89" s="293"/>
      <c r="C89" s="293"/>
      <c r="D89" s="236"/>
      <c r="E89" s="293"/>
      <c r="F89" s="236"/>
      <c r="G89" s="293"/>
      <c r="H89" s="364" t="s">
        <v>662</v>
      </c>
      <c r="I89" s="312"/>
      <c r="J89" s="319"/>
      <c r="K89" s="340" t="s">
        <v>664</v>
      </c>
      <c r="L89" s="320">
        <v>40998</v>
      </c>
      <c r="M89" s="288" t="s">
        <v>8</v>
      </c>
      <c r="N89" s="340">
        <v>10</v>
      </c>
      <c r="O89" s="382">
        <v>60203</v>
      </c>
      <c r="P89" s="383">
        <v>4788</v>
      </c>
      <c r="Q89" s="329">
        <f t="shared" si="2"/>
        <v>12.573725981620719</v>
      </c>
      <c r="R89" s="297">
        <v>41040</v>
      </c>
    </row>
    <row r="90" spans="1:18" ht="12.75">
      <c r="A90" s="311">
        <v>87</v>
      </c>
      <c r="B90" s="293"/>
      <c r="C90" s="293"/>
      <c r="D90" s="236"/>
      <c r="E90" s="293"/>
      <c r="F90" s="236"/>
      <c r="G90" s="236"/>
      <c r="H90" s="360" t="s">
        <v>491</v>
      </c>
      <c r="I90" s="312"/>
      <c r="J90" s="340" t="s">
        <v>235</v>
      </c>
      <c r="K90" s="288" t="s">
        <v>498</v>
      </c>
      <c r="L90" s="320">
        <v>40942</v>
      </c>
      <c r="M90" s="288" t="s">
        <v>289</v>
      </c>
      <c r="N90" s="312">
        <v>5</v>
      </c>
      <c r="O90" s="500">
        <v>54024.5</v>
      </c>
      <c r="P90" s="501">
        <v>5404</v>
      </c>
      <c r="Q90" s="329">
        <f t="shared" si="2"/>
        <v>9.997131754256106</v>
      </c>
      <c r="R90" s="297">
        <v>41033</v>
      </c>
    </row>
    <row r="91" spans="1:18" ht="12.75">
      <c r="A91" s="311">
        <v>88</v>
      </c>
      <c r="B91" s="293"/>
      <c r="C91" s="293"/>
      <c r="D91" s="236"/>
      <c r="E91" s="293"/>
      <c r="F91" s="236"/>
      <c r="G91" s="236"/>
      <c r="H91" s="360" t="s">
        <v>328</v>
      </c>
      <c r="I91" s="339"/>
      <c r="J91" s="339"/>
      <c r="K91" s="288" t="s">
        <v>329</v>
      </c>
      <c r="L91" s="320">
        <v>40921</v>
      </c>
      <c r="M91" s="288" t="s">
        <v>289</v>
      </c>
      <c r="N91" s="312">
        <v>16</v>
      </c>
      <c r="O91" s="378">
        <v>48827.5</v>
      </c>
      <c r="P91" s="379">
        <v>4473</v>
      </c>
      <c r="Q91" s="329">
        <f t="shared" si="2"/>
        <v>10.916051866756092</v>
      </c>
      <c r="R91" s="297">
        <v>41019</v>
      </c>
    </row>
    <row r="92" spans="1:18" ht="12.75">
      <c r="A92" s="311">
        <v>89</v>
      </c>
      <c r="B92" s="236"/>
      <c r="C92" s="236"/>
      <c r="D92" s="236"/>
      <c r="E92" s="236"/>
      <c r="F92" s="236"/>
      <c r="G92" s="236" t="s">
        <v>54</v>
      </c>
      <c r="H92" s="361" t="s">
        <v>833</v>
      </c>
      <c r="I92" s="319" t="s">
        <v>834</v>
      </c>
      <c r="J92" s="312"/>
      <c r="K92" s="340" t="s">
        <v>833</v>
      </c>
      <c r="L92" s="320">
        <v>41040</v>
      </c>
      <c r="M92" s="288" t="s">
        <v>68</v>
      </c>
      <c r="N92" s="312">
        <v>37</v>
      </c>
      <c r="O92" s="382">
        <f>45605.82</f>
        <v>45605.82</v>
      </c>
      <c r="P92" s="383">
        <f>4934</f>
        <v>4934</v>
      </c>
      <c r="Q92" s="329">
        <f t="shared" si="2"/>
        <v>9.243173895419538</v>
      </c>
      <c r="R92" s="297">
        <v>41040</v>
      </c>
    </row>
    <row r="93" spans="1:18" ht="12.75">
      <c r="A93" s="311">
        <v>90</v>
      </c>
      <c r="B93" s="236"/>
      <c r="C93" s="236"/>
      <c r="D93" s="236"/>
      <c r="E93" s="236"/>
      <c r="F93" s="236"/>
      <c r="G93" s="236"/>
      <c r="H93" s="366" t="s">
        <v>669</v>
      </c>
      <c r="I93" s="312"/>
      <c r="J93" s="319"/>
      <c r="K93" s="339" t="s">
        <v>670</v>
      </c>
      <c r="L93" s="297">
        <v>40998</v>
      </c>
      <c r="M93" s="288" t="s">
        <v>12</v>
      </c>
      <c r="N93" s="312">
        <v>9</v>
      </c>
      <c r="O93" s="378">
        <v>38240</v>
      </c>
      <c r="P93" s="379">
        <v>2890</v>
      </c>
      <c r="Q93" s="329">
        <f t="shared" si="2"/>
        <v>13.231833910034602</v>
      </c>
      <c r="R93" s="297">
        <v>41019</v>
      </c>
    </row>
    <row r="94" spans="1:18" ht="12.75">
      <c r="A94" s="311">
        <v>91</v>
      </c>
      <c r="B94" s="236"/>
      <c r="C94" s="236"/>
      <c r="D94" s="236"/>
      <c r="E94" s="236"/>
      <c r="F94" s="236"/>
      <c r="G94" s="293"/>
      <c r="H94" s="361" t="s">
        <v>768</v>
      </c>
      <c r="I94" s="319"/>
      <c r="J94" s="312" t="s">
        <v>79</v>
      </c>
      <c r="K94" s="340" t="s">
        <v>769</v>
      </c>
      <c r="L94" s="320">
        <v>41026</v>
      </c>
      <c r="M94" s="288" t="s">
        <v>68</v>
      </c>
      <c r="N94" s="312">
        <v>10</v>
      </c>
      <c r="O94" s="382">
        <f>14013.48+13087.2+8674.69</f>
        <v>35775.37</v>
      </c>
      <c r="P94" s="383">
        <f>1688+1678+1198</f>
        <v>4564</v>
      </c>
      <c r="Q94" s="329">
        <f t="shared" si="2"/>
        <v>7.838599912357582</v>
      </c>
      <c r="R94" s="297">
        <v>41040</v>
      </c>
    </row>
    <row r="95" spans="1:18" ht="12.75">
      <c r="A95" s="311">
        <v>92</v>
      </c>
      <c r="B95" s="293"/>
      <c r="C95" s="293"/>
      <c r="D95" s="236"/>
      <c r="E95" s="293"/>
      <c r="F95" s="236"/>
      <c r="G95" s="236" t="s">
        <v>54</v>
      </c>
      <c r="H95" s="360" t="s">
        <v>841</v>
      </c>
      <c r="I95" s="312" t="s">
        <v>771</v>
      </c>
      <c r="J95" s="288"/>
      <c r="K95" s="288" t="s">
        <v>782</v>
      </c>
      <c r="L95" s="320">
        <v>41033</v>
      </c>
      <c r="M95" s="288" t="s">
        <v>289</v>
      </c>
      <c r="N95" s="312">
        <v>2</v>
      </c>
      <c r="O95" s="378">
        <v>33165</v>
      </c>
      <c r="P95" s="379">
        <v>3344</v>
      </c>
      <c r="Q95" s="329">
        <f t="shared" si="2"/>
        <v>9.917763157894736</v>
      </c>
      <c r="R95" s="297">
        <v>41040</v>
      </c>
    </row>
    <row r="96" spans="1:18" ht="12.75">
      <c r="A96" s="311">
        <v>93</v>
      </c>
      <c r="B96" s="236"/>
      <c r="C96" s="236"/>
      <c r="D96" s="236">
        <v>2</v>
      </c>
      <c r="E96" s="236"/>
      <c r="F96" s="236"/>
      <c r="G96" s="236"/>
      <c r="H96" s="361" t="s">
        <v>728</v>
      </c>
      <c r="I96" s="340" t="s">
        <v>819</v>
      </c>
      <c r="J96" s="312" t="s">
        <v>94</v>
      </c>
      <c r="K96" s="288" t="s">
        <v>726</v>
      </c>
      <c r="L96" s="320">
        <v>41019</v>
      </c>
      <c r="M96" s="288" t="s">
        <v>52</v>
      </c>
      <c r="N96" s="312">
        <v>6</v>
      </c>
      <c r="O96" s="378">
        <v>32063.08</v>
      </c>
      <c r="P96" s="379">
        <v>3912</v>
      </c>
      <c r="Q96" s="329">
        <f t="shared" si="2"/>
        <v>8.196083844580777</v>
      </c>
      <c r="R96" s="297">
        <v>41040</v>
      </c>
    </row>
    <row r="97" spans="1:18" ht="12.75">
      <c r="A97" s="311">
        <v>94</v>
      </c>
      <c r="B97" s="293"/>
      <c r="C97" s="293"/>
      <c r="D97" s="236"/>
      <c r="E97" s="293"/>
      <c r="F97" s="236"/>
      <c r="G97" s="236"/>
      <c r="H97" s="360" t="s">
        <v>608</v>
      </c>
      <c r="I97" s="340"/>
      <c r="J97" s="312" t="s">
        <v>826</v>
      </c>
      <c r="K97" s="288" t="s">
        <v>598</v>
      </c>
      <c r="L97" s="320">
        <v>40977</v>
      </c>
      <c r="M97" s="288" t="s">
        <v>289</v>
      </c>
      <c r="N97" s="312">
        <v>3</v>
      </c>
      <c r="O97" s="378">
        <v>31718.5</v>
      </c>
      <c r="P97" s="379">
        <v>3444</v>
      </c>
      <c r="Q97" s="329">
        <f t="shared" si="2"/>
        <v>9.209785133565621</v>
      </c>
      <c r="R97" s="297">
        <v>41040</v>
      </c>
    </row>
    <row r="98" spans="1:18" ht="12.75">
      <c r="A98" s="311">
        <v>95</v>
      </c>
      <c r="B98" s="236"/>
      <c r="C98" s="236">
        <v>3</v>
      </c>
      <c r="D98" s="236"/>
      <c r="E98" s="236"/>
      <c r="F98" s="236"/>
      <c r="G98" s="236" t="s">
        <v>54</v>
      </c>
      <c r="H98" s="360" t="s">
        <v>836</v>
      </c>
      <c r="I98" s="288" t="s">
        <v>835</v>
      </c>
      <c r="J98" s="288"/>
      <c r="K98" s="288" t="s">
        <v>836</v>
      </c>
      <c r="L98" s="297">
        <v>41010</v>
      </c>
      <c r="M98" s="288" t="s">
        <v>53</v>
      </c>
      <c r="N98" s="312">
        <v>67</v>
      </c>
      <c r="O98" s="378">
        <f>25633.5</f>
        <v>25633.5</v>
      </c>
      <c r="P98" s="379">
        <f>2104</f>
        <v>2104</v>
      </c>
      <c r="Q98" s="329">
        <f t="shared" si="2"/>
        <v>12.183222433460076</v>
      </c>
      <c r="R98" s="297">
        <v>41040</v>
      </c>
    </row>
    <row r="99" spans="1:18" ht="12.75">
      <c r="A99" s="311">
        <v>96</v>
      </c>
      <c r="B99" s="236"/>
      <c r="C99" s="236"/>
      <c r="D99" s="236"/>
      <c r="E99" s="236"/>
      <c r="F99" s="236"/>
      <c r="G99" s="236" t="s">
        <v>54</v>
      </c>
      <c r="H99" s="361" t="s">
        <v>685</v>
      </c>
      <c r="I99" s="312" t="s">
        <v>820</v>
      </c>
      <c r="J99" s="288"/>
      <c r="K99" s="288" t="s">
        <v>685</v>
      </c>
      <c r="L99" s="320">
        <v>41005</v>
      </c>
      <c r="M99" s="288" t="s">
        <v>52</v>
      </c>
      <c r="N99" s="312">
        <v>21</v>
      </c>
      <c r="O99" s="378">
        <v>19088.25</v>
      </c>
      <c r="P99" s="379">
        <v>2507</v>
      </c>
      <c r="Q99" s="329">
        <f t="shared" si="2"/>
        <v>7.613980853609893</v>
      </c>
      <c r="R99" s="297">
        <v>41040</v>
      </c>
    </row>
    <row r="100" spans="1:18" ht="12.75">
      <c r="A100" s="311">
        <v>97</v>
      </c>
      <c r="B100" s="236"/>
      <c r="C100" s="236"/>
      <c r="D100" s="236"/>
      <c r="E100" s="236"/>
      <c r="F100" s="236"/>
      <c r="G100" s="236" t="s">
        <v>54</v>
      </c>
      <c r="H100" s="360" t="s">
        <v>727</v>
      </c>
      <c r="I100" s="312"/>
      <c r="J100" s="341"/>
      <c r="K100" s="341" t="s">
        <v>727</v>
      </c>
      <c r="L100" s="320">
        <v>41019</v>
      </c>
      <c r="M100" s="288" t="s">
        <v>53</v>
      </c>
      <c r="N100" s="346">
        <v>10</v>
      </c>
      <c r="O100" s="378">
        <f>9511.47+5201.92+2862.74+1432</f>
        <v>19008.129999999997</v>
      </c>
      <c r="P100" s="379">
        <f>1194+685+402+218</f>
        <v>2499</v>
      </c>
      <c r="Q100" s="329">
        <f aca="true" t="shared" si="3" ref="Q100:Q106">O100/P100</f>
        <v>7.606294517807122</v>
      </c>
      <c r="R100" s="297">
        <v>41040</v>
      </c>
    </row>
    <row r="101" spans="1:18" ht="12.75">
      <c r="A101" s="311">
        <v>98</v>
      </c>
      <c r="B101" s="293"/>
      <c r="C101" s="293"/>
      <c r="D101" s="236"/>
      <c r="E101" s="293"/>
      <c r="F101" s="236"/>
      <c r="G101" s="236" t="s">
        <v>54</v>
      </c>
      <c r="H101" s="362" t="s">
        <v>269</v>
      </c>
      <c r="I101" s="312" t="s">
        <v>822</v>
      </c>
      <c r="J101" s="341"/>
      <c r="K101" s="341" t="s">
        <v>269</v>
      </c>
      <c r="L101" s="320">
        <v>41012</v>
      </c>
      <c r="M101" s="288" t="s">
        <v>52</v>
      </c>
      <c r="N101" s="312">
        <v>19</v>
      </c>
      <c r="O101" s="378">
        <v>16302.57</v>
      </c>
      <c r="P101" s="379">
        <v>2003</v>
      </c>
      <c r="Q101" s="329">
        <f t="shared" si="3"/>
        <v>8.139076385421866</v>
      </c>
      <c r="R101" s="297">
        <v>41040</v>
      </c>
    </row>
    <row r="102" spans="1:18" ht="12.75">
      <c r="A102" s="311">
        <v>99</v>
      </c>
      <c r="B102" s="236"/>
      <c r="C102" s="236"/>
      <c r="D102" s="236"/>
      <c r="E102" s="236"/>
      <c r="F102" s="236"/>
      <c r="G102" s="236"/>
      <c r="H102" s="360" t="s">
        <v>147</v>
      </c>
      <c r="I102" s="288" t="s">
        <v>151</v>
      </c>
      <c r="J102" s="288" t="s">
        <v>79</v>
      </c>
      <c r="K102" s="288" t="s">
        <v>150</v>
      </c>
      <c r="L102" s="297">
        <v>40907</v>
      </c>
      <c r="M102" s="288" t="s">
        <v>13</v>
      </c>
      <c r="N102" s="312">
        <v>1</v>
      </c>
      <c r="O102" s="378">
        <v>6925</v>
      </c>
      <c r="P102" s="379">
        <v>705</v>
      </c>
      <c r="Q102" s="329">
        <f t="shared" si="3"/>
        <v>9.822695035460994</v>
      </c>
      <c r="R102" s="297">
        <v>40956</v>
      </c>
    </row>
    <row r="103" spans="1:18" ht="12.75">
      <c r="A103" s="311">
        <v>100</v>
      </c>
      <c r="B103" s="236"/>
      <c r="C103" s="236"/>
      <c r="D103" s="236"/>
      <c r="E103" s="236"/>
      <c r="F103" s="236" t="s">
        <v>55</v>
      </c>
      <c r="G103" s="236"/>
      <c r="H103" s="360" t="s">
        <v>146</v>
      </c>
      <c r="I103" s="288" t="s">
        <v>152</v>
      </c>
      <c r="J103" s="288" t="s">
        <v>120</v>
      </c>
      <c r="K103" s="288" t="s">
        <v>149</v>
      </c>
      <c r="L103" s="320">
        <v>40907</v>
      </c>
      <c r="M103" s="288" t="s">
        <v>13</v>
      </c>
      <c r="N103" s="313">
        <v>2</v>
      </c>
      <c r="O103" s="480">
        <v>3788</v>
      </c>
      <c r="P103" s="481">
        <v>529</v>
      </c>
      <c r="Q103" s="329">
        <f t="shared" si="3"/>
        <v>7.160680529300567</v>
      </c>
      <c r="R103" s="297">
        <v>40991</v>
      </c>
    </row>
    <row r="104" spans="1:18" ht="12.75">
      <c r="A104" s="311">
        <v>101</v>
      </c>
      <c r="B104" s="293"/>
      <c r="C104" s="293"/>
      <c r="D104" s="236"/>
      <c r="E104" s="293"/>
      <c r="F104" s="236"/>
      <c r="G104" s="236"/>
      <c r="H104" s="360" t="s">
        <v>614</v>
      </c>
      <c r="I104" s="312"/>
      <c r="J104" s="288" t="s">
        <v>120</v>
      </c>
      <c r="K104" s="288" t="s">
        <v>615</v>
      </c>
      <c r="L104" s="320">
        <v>40984</v>
      </c>
      <c r="M104" s="288" t="s">
        <v>289</v>
      </c>
      <c r="N104" s="312">
        <v>1</v>
      </c>
      <c r="O104" s="466">
        <v>2664</v>
      </c>
      <c r="P104" s="467">
        <v>262</v>
      </c>
      <c r="Q104" s="329">
        <f t="shared" si="3"/>
        <v>10.16793893129771</v>
      </c>
      <c r="R104" s="297">
        <v>41019</v>
      </c>
    </row>
    <row r="105" spans="1:18" ht="12.75">
      <c r="A105" s="311">
        <v>102</v>
      </c>
      <c r="B105" s="293"/>
      <c r="C105" s="293"/>
      <c r="D105" s="236"/>
      <c r="E105" s="293"/>
      <c r="F105" s="236"/>
      <c r="G105" s="236"/>
      <c r="H105" s="360" t="s">
        <v>490</v>
      </c>
      <c r="I105" s="312"/>
      <c r="J105" s="288"/>
      <c r="K105" s="288" t="s">
        <v>497</v>
      </c>
      <c r="L105" s="320">
        <v>40942</v>
      </c>
      <c r="M105" s="288" t="s">
        <v>289</v>
      </c>
      <c r="N105" s="312">
        <v>17</v>
      </c>
      <c r="O105" s="378">
        <v>2211</v>
      </c>
      <c r="P105" s="379">
        <v>215</v>
      </c>
      <c r="Q105" s="329">
        <f t="shared" si="3"/>
        <v>10.283720930232558</v>
      </c>
      <c r="R105" s="297">
        <v>41019</v>
      </c>
    </row>
    <row r="106" spans="1:18" ht="12.75">
      <c r="A106" s="311">
        <v>103</v>
      </c>
      <c r="B106" s="293"/>
      <c r="C106" s="293"/>
      <c r="D106" s="236"/>
      <c r="E106" s="293"/>
      <c r="F106" s="236"/>
      <c r="G106" s="236"/>
      <c r="H106" s="360" t="s">
        <v>638</v>
      </c>
      <c r="I106" s="312"/>
      <c r="J106" s="288" t="s">
        <v>79</v>
      </c>
      <c r="K106" s="288" t="s">
        <v>639</v>
      </c>
      <c r="L106" s="320">
        <v>40991</v>
      </c>
      <c r="M106" s="288" t="s">
        <v>289</v>
      </c>
      <c r="N106" s="312">
        <v>1</v>
      </c>
      <c r="O106" s="378">
        <v>1937</v>
      </c>
      <c r="P106" s="379">
        <v>239</v>
      </c>
      <c r="Q106" s="329">
        <f t="shared" si="3"/>
        <v>8.104602510460252</v>
      </c>
      <c r="R106" s="297">
        <v>41040</v>
      </c>
    </row>
  </sheetData>
  <sheetProtection/>
  <mergeCells count="2">
    <mergeCell ref="B1:R1"/>
    <mergeCell ref="B3:G3"/>
  </mergeCells>
  <printOptions/>
  <pageMargins left="0.7" right="0.7" top="0.75" bottom="0.75" header="0.3" footer="0.3"/>
  <pageSetup horizontalDpi="600" verticalDpi="600" orientation="portrait" paperSize="9" r:id="rId1"/>
  <ignoredErrors>
    <ignoredError sqref="O4:P67 O72:P96" unlockedFormula="1"/>
  </ignoredErrors>
</worksheet>
</file>

<file path=xl/worksheets/sheet6.xml><?xml version="1.0" encoding="utf-8"?>
<worksheet xmlns="http://schemas.openxmlformats.org/spreadsheetml/2006/main" xmlns:r="http://schemas.openxmlformats.org/officeDocument/2006/relationships">
  <sheetPr>
    <tabColor rgb="FFFFFF00"/>
  </sheetPr>
  <dimension ref="A1:L407"/>
  <sheetViews>
    <sheetView zoomScale="70" zoomScaleNormal="70" zoomScalePageLayoutView="0" workbookViewId="0" topLeftCell="A1">
      <selection activeCell="A1" sqref="A1"/>
    </sheetView>
  </sheetViews>
  <sheetFormatPr defaultColWidth="47.421875" defaultRowHeight="12" customHeight="1"/>
  <cols>
    <col min="1" max="1" width="3.57421875" style="311" customWidth="1"/>
    <col min="2" max="2" width="38.140625" style="526" bestFit="1" customWidth="1"/>
    <col min="3" max="3" width="19.7109375" style="311" bestFit="1" customWidth="1"/>
    <col min="4" max="4" width="7.00390625" style="311" bestFit="1" customWidth="1"/>
    <col min="5" max="5" width="16.8515625" style="311" bestFit="1" customWidth="1"/>
    <col min="6" max="6" width="7.421875" style="311" bestFit="1" customWidth="1"/>
    <col min="7" max="7" width="5.8515625" style="311" bestFit="1" customWidth="1"/>
    <col min="8" max="8" width="12.8515625" style="311" bestFit="1" customWidth="1"/>
    <col min="9" max="9" width="9.28125" style="311" bestFit="1" customWidth="1"/>
    <col min="10" max="10" width="11.00390625" style="311" bestFit="1" customWidth="1"/>
    <col min="11" max="11" width="10.421875" style="311" bestFit="1" customWidth="1"/>
    <col min="12" max="12" width="8.421875" style="311" bestFit="1" customWidth="1"/>
    <col min="13" max="16384" width="47.421875" style="311" customWidth="1"/>
  </cols>
  <sheetData>
    <row r="1" spans="2:12" ht="18.75">
      <c r="B1" s="612" t="s">
        <v>937</v>
      </c>
      <c r="C1" s="612"/>
      <c r="D1" s="612"/>
      <c r="E1" s="612"/>
      <c r="F1" s="612"/>
      <c r="G1" s="612"/>
      <c r="H1" s="612"/>
      <c r="I1" s="612"/>
      <c r="J1" s="612"/>
      <c r="K1" s="612"/>
      <c r="L1" s="612"/>
    </row>
    <row r="2" spans="2:12" s="527" customFormat="1" ht="11.25">
      <c r="B2" s="528"/>
      <c r="C2" s="528"/>
      <c r="D2" s="528" t="s">
        <v>359</v>
      </c>
      <c r="E2" s="528"/>
      <c r="F2" s="528" t="s">
        <v>360</v>
      </c>
      <c r="G2" s="528"/>
      <c r="H2" s="528" t="s">
        <v>372</v>
      </c>
      <c r="I2" s="528" t="s">
        <v>372</v>
      </c>
      <c r="J2" s="528" t="s">
        <v>271</v>
      </c>
      <c r="K2" s="528"/>
      <c r="L2" s="528" t="s">
        <v>361</v>
      </c>
    </row>
    <row r="3" spans="2:12" s="527" customFormat="1" ht="11.25">
      <c r="B3" s="529" t="s">
        <v>373</v>
      </c>
      <c r="C3" s="529" t="s">
        <v>364</v>
      </c>
      <c r="D3" s="529" t="s">
        <v>367</v>
      </c>
      <c r="E3" s="529" t="s">
        <v>368</v>
      </c>
      <c r="F3" s="529" t="s">
        <v>369</v>
      </c>
      <c r="G3" s="529" t="s">
        <v>267</v>
      </c>
      <c r="H3" s="529" t="s">
        <v>272</v>
      </c>
      <c r="I3" s="529" t="s">
        <v>273</v>
      </c>
      <c r="J3" s="529" t="s">
        <v>272</v>
      </c>
      <c r="K3" s="529" t="s">
        <v>271</v>
      </c>
      <c r="L3" s="529" t="s">
        <v>371</v>
      </c>
    </row>
    <row r="4" spans="1:12" ht="12" customHeight="1">
      <c r="A4" s="311">
        <v>1</v>
      </c>
      <c r="B4" s="532" t="s">
        <v>540</v>
      </c>
      <c r="C4" s="319" t="s">
        <v>541</v>
      </c>
      <c r="D4" s="320">
        <v>40956</v>
      </c>
      <c r="E4" s="288" t="s">
        <v>68</v>
      </c>
      <c r="F4" s="346">
        <v>440</v>
      </c>
      <c r="G4" s="312">
        <v>1</v>
      </c>
      <c r="H4" s="382">
        <v>19448837.72</v>
      </c>
      <c r="I4" s="383">
        <v>2233041</v>
      </c>
      <c r="J4" s="328">
        <f>21413767.22</f>
        <v>21413767.22</v>
      </c>
      <c r="K4" s="344">
        <f>2475453</f>
        <v>2475453</v>
      </c>
      <c r="L4" s="297">
        <v>40956</v>
      </c>
    </row>
    <row r="5" spans="1:12" ht="12" customHeight="1">
      <c r="A5" s="311">
        <v>2</v>
      </c>
      <c r="B5" s="532" t="s">
        <v>540</v>
      </c>
      <c r="C5" s="319" t="s">
        <v>541</v>
      </c>
      <c r="D5" s="320">
        <v>40956</v>
      </c>
      <c r="E5" s="288" t="s">
        <v>68</v>
      </c>
      <c r="F5" s="346">
        <v>440</v>
      </c>
      <c r="G5" s="312">
        <v>2</v>
      </c>
      <c r="H5" s="382">
        <v>14038152.72</v>
      </c>
      <c r="I5" s="383">
        <v>1630125</v>
      </c>
      <c r="J5" s="328">
        <f>21413320.22+14038152.72</f>
        <v>35451472.94</v>
      </c>
      <c r="K5" s="344">
        <f>2475453+1630125</f>
        <v>4105578</v>
      </c>
      <c r="L5" s="297">
        <v>40963</v>
      </c>
    </row>
    <row r="6" spans="1:12" ht="12" customHeight="1">
      <c r="A6" s="311">
        <v>3</v>
      </c>
      <c r="B6" s="365" t="s">
        <v>484</v>
      </c>
      <c r="C6" s="312" t="s">
        <v>305</v>
      </c>
      <c r="D6" s="297">
        <v>40935</v>
      </c>
      <c r="E6" s="288" t="s">
        <v>12</v>
      </c>
      <c r="F6" s="340">
        <v>352</v>
      </c>
      <c r="G6" s="312">
        <v>1</v>
      </c>
      <c r="H6" s="378">
        <v>8393381</v>
      </c>
      <c r="I6" s="379">
        <v>889193</v>
      </c>
      <c r="J6" s="334">
        <v>8393381</v>
      </c>
      <c r="K6" s="338">
        <v>889193</v>
      </c>
      <c r="L6" s="297">
        <v>40935</v>
      </c>
    </row>
    <row r="7" spans="1:12" ht="12" customHeight="1">
      <c r="A7" s="311">
        <v>4</v>
      </c>
      <c r="B7" s="532" t="s">
        <v>540</v>
      </c>
      <c r="C7" s="319" t="s">
        <v>541</v>
      </c>
      <c r="D7" s="320">
        <v>40956</v>
      </c>
      <c r="E7" s="288" t="s">
        <v>68</v>
      </c>
      <c r="F7" s="346">
        <v>440</v>
      </c>
      <c r="G7" s="312">
        <v>3</v>
      </c>
      <c r="H7" s="382">
        <v>8091852.8</v>
      </c>
      <c r="I7" s="383">
        <v>937424</v>
      </c>
      <c r="J7" s="328">
        <f>21413320.22+14038209.72+8091852.8</f>
        <v>43543382.739999995</v>
      </c>
      <c r="K7" s="344">
        <f>2475453+1630117+937424</f>
        <v>5042994</v>
      </c>
      <c r="L7" s="297">
        <v>40970</v>
      </c>
    </row>
    <row r="8" spans="1:12" ht="12" customHeight="1">
      <c r="A8" s="311">
        <v>5</v>
      </c>
      <c r="B8" s="457" t="s">
        <v>583</v>
      </c>
      <c r="C8" s="312" t="s">
        <v>305</v>
      </c>
      <c r="D8" s="297">
        <v>40970</v>
      </c>
      <c r="E8" s="288" t="s">
        <v>12</v>
      </c>
      <c r="F8" s="312">
        <v>285</v>
      </c>
      <c r="G8" s="312">
        <v>1</v>
      </c>
      <c r="H8" s="378">
        <v>5679112</v>
      </c>
      <c r="I8" s="379">
        <v>631600</v>
      </c>
      <c r="J8" s="334">
        <v>5679112</v>
      </c>
      <c r="K8" s="338">
        <v>631600</v>
      </c>
      <c r="L8" s="297">
        <v>40970</v>
      </c>
    </row>
    <row r="9" spans="1:12" ht="12" customHeight="1">
      <c r="A9" s="311">
        <v>6</v>
      </c>
      <c r="B9" s="532" t="s">
        <v>540</v>
      </c>
      <c r="C9" s="319" t="s">
        <v>541</v>
      </c>
      <c r="D9" s="320">
        <v>40956</v>
      </c>
      <c r="E9" s="288" t="s">
        <v>68</v>
      </c>
      <c r="F9" s="346">
        <v>440</v>
      </c>
      <c r="G9" s="312">
        <v>4</v>
      </c>
      <c r="H9" s="382">
        <v>5223359.88</v>
      </c>
      <c r="I9" s="383">
        <v>623396</v>
      </c>
      <c r="J9" s="328">
        <f>21413320.22+14038209.72+8091830.8+5223359.88</f>
        <v>48766720.62</v>
      </c>
      <c r="K9" s="344">
        <f>2475453+1630117+937421+623396</f>
        <v>5666387</v>
      </c>
      <c r="L9" s="297">
        <v>40977</v>
      </c>
    </row>
    <row r="10" spans="1:12" ht="12" customHeight="1">
      <c r="A10" s="311">
        <v>7</v>
      </c>
      <c r="B10" s="365" t="s">
        <v>484</v>
      </c>
      <c r="C10" s="312" t="s">
        <v>305</v>
      </c>
      <c r="D10" s="297">
        <v>40935</v>
      </c>
      <c r="E10" s="288" t="s">
        <v>12</v>
      </c>
      <c r="F10" s="340">
        <v>352</v>
      </c>
      <c r="G10" s="312">
        <v>2</v>
      </c>
      <c r="H10" s="378">
        <v>4819569</v>
      </c>
      <c r="I10" s="379">
        <v>519684</v>
      </c>
      <c r="J10" s="334">
        <v>13213244</v>
      </c>
      <c r="K10" s="338">
        <v>1408858</v>
      </c>
      <c r="L10" s="297">
        <v>40942</v>
      </c>
    </row>
    <row r="11" spans="1:12" ht="12" customHeight="1">
      <c r="A11" s="311">
        <v>8</v>
      </c>
      <c r="B11" s="457" t="s">
        <v>583</v>
      </c>
      <c r="C11" s="312" t="s">
        <v>305</v>
      </c>
      <c r="D11" s="297">
        <v>40970</v>
      </c>
      <c r="E11" s="288" t="s">
        <v>12</v>
      </c>
      <c r="F11" s="312">
        <v>285</v>
      </c>
      <c r="G11" s="312">
        <v>2</v>
      </c>
      <c r="H11" s="378">
        <v>4089156</v>
      </c>
      <c r="I11" s="379">
        <v>451806</v>
      </c>
      <c r="J11" s="334">
        <v>9768268</v>
      </c>
      <c r="K11" s="338">
        <v>1083406</v>
      </c>
      <c r="L11" s="297">
        <v>40977</v>
      </c>
    </row>
    <row r="12" spans="1:12" ht="12" customHeight="1">
      <c r="A12" s="311">
        <v>9</v>
      </c>
      <c r="B12" s="532" t="s">
        <v>540</v>
      </c>
      <c r="C12" s="319" t="s">
        <v>541</v>
      </c>
      <c r="D12" s="320">
        <v>40956</v>
      </c>
      <c r="E12" s="288" t="s">
        <v>68</v>
      </c>
      <c r="F12" s="346">
        <v>440</v>
      </c>
      <c r="G12" s="312">
        <v>5</v>
      </c>
      <c r="H12" s="382">
        <v>2812594.76</v>
      </c>
      <c r="I12" s="383">
        <v>343374</v>
      </c>
      <c r="J12" s="328">
        <f>21413320.22+14038209.72+8091830.8+5223667.88+2812594.76</f>
        <v>51579623.379999995</v>
      </c>
      <c r="K12" s="344">
        <f>2475453+1630117+937421+623418+343374</f>
        <v>6009783</v>
      </c>
      <c r="L12" s="297">
        <v>40984</v>
      </c>
    </row>
    <row r="13" spans="1:12" ht="12" customHeight="1">
      <c r="A13" s="311">
        <v>10</v>
      </c>
      <c r="B13" s="365" t="s">
        <v>484</v>
      </c>
      <c r="C13" s="312" t="s">
        <v>305</v>
      </c>
      <c r="D13" s="297">
        <v>40935</v>
      </c>
      <c r="E13" s="288" t="s">
        <v>12</v>
      </c>
      <c r="F13" s="340">
        <v>352</v>
      </c>
      <c r="G13" s="312">
        <v>3</v>
      </c>
      <c r="H13" s="378">
        <v>2549122</v>
      </c>
      <c r="I13" s="379">
        <v>281880</v>
      </c>
      <c r="J13" s="334">
        <v>15762366</v>
      </c>
      <c r="K13" s="338">
        <v>1690738</v>
      </c>
      <c r="L13" s="297">
        <v>40949</v>
      </c>
    </row>
    <row r="14" spans="1:12" ht="12" customHeight="1">
      <c r="A14" s="311">
        <v>11</v>
      </c>
      <c r="B14" s="365" t="s">
        <v>130</v>
      </c>
      <c r="C14" s="312" t="s">
        <v>131</v>
      </c>
      <c r="D14" s="297">
        <v>40893</v>
      </c>
      <c r="E14" s="288" t="s">
        <v>8</v>
      </c>
      <c r="F14" s="340">
        <v>131</v>
      </c>
      <c r="G14" s="340">
        <v>3</v>
      </c>
      <c r="H14" s="382">
        <v>2464903</v>
      </c>
      <c r="I14" s="383">
        <v>273690</v>
      </c>
      <c r="J14" s="328">
        <v>8604215</v>
      </c>
      <c r="K14" s="344">
        <v>960307</v>
      </c>
      <c r="L14" s="297">
        <v>40907</v>
      </c>
    </row>
    <row r="15" spans="1:12" ht="12" customHeight="1">
      <c r="A15" s="311">
        <v>12</v>
      </c>
      <c r="B15" s="457" t="s">
        <v>583</v>
      </c>
      <c r="C15" s="312" t="s">
        <v>305</v>
      </c>
      <c r="D15" s="297">
        <v>40970</v>
      </c>
      <c r="E15" s="288" t="s">
        <v>12</v>
      </c>
      <c r="F15" s="312">
        <v>285</v>
      </c>
      <c r="G15" s="312">
        <v>3</v>
      </c>
      <c r="H15" s="378">
        <v>1867453</v>
      </c>
      <c r="I15" s="379">
        <v>208556</v>
      </c>
      <c r="J15" s="334">
        <v>11635721</v>
      </c>
      <c r="K15" s="338">
        <v>1291962</v>
      </c>
      <c r="L15" s="297">
        <v>40984</v>
      </c>
    </row>
    <row r="16" spans="1:12" ht="12" customHeight="1">
      <c r="A16" s="311">
        <v>13</v>
      </c>
      <c r="B16" s="365" t="s">
        <v>130</v>
      </c>
      <c r="C16" s="312" t="s">
        <v>131</v>
      </c>
      <c r="D16" s="297">
        <v>40893</v>
      </c>
      <c r="E16" s="288" t="s">
        <v>8</v>
      </c>
      <c r="F16" s="340">
        <v>131</v>
      </c>
      <c r="G16" s="340">
        <v>4</v>
      </c>
      <c r="H16" s="382">
        <v>1826075</v>
      </c>
      <c r="I16" s="383">
        <v>198737</v>
      </c>
      <c r="J16" s="328">
        <v>10430290</v>
      </c>
      <c r="K16" s="344">
        <v>1159044</v>
      </c>
      <c r="L16" s="297">
        <v>40914</v>
      </c>
    </row>
    <row r="17" spans="1:12" ht="12" customHeight="1">
      <c r="A17" s="311">
        <v>14</v>
      </c>
      <c r="B17" s="365" t="s">
        <v>130</v>
      </c>
      <c r="C17" s="312" t="s">
        <v>131</v>
      </c>
      <c r="D17" s="297">
        <v>40893</v>
      </c>
      <c r="E17" s="288" t="s">
        <v>8</v>
      </c>
      <c r="F17" s="340">
        <v>131</v>
      </c>
      <c r="G17" s="340">
        <v>6</v>
      </c>
      <c r="H17" s="380">
        <v>1674165</v>
      </c>
      <c r="I17" s="381">
        <v>188583</v>
      </c>
      <c r="J17" s="342">
        <v>13641012</v>
      </c>
      <c r="K17" s="343">
        <v>1519587</v>
      </c>
      <c r="L17" s="297">
        <v>40928</v>
      </c>
    </row>
    <row r="18" spans="1:12" ht="12" customHeight="1">
      <c r="A18" s="311">
        <v>15</v>
      </c>
      <c r="B18" s="533" t="s">
        <v>304</v>
      </c>
      <c r="C18" s="312" t="s">
        <v>305</v>
      </c>
      <c r="D18" s="320">
        <v>40914</v>
      </c>
      <c r="E18" s="288" t="s">
        <v>12</v>
      </c>
      <c r="F18" s="312">
        <v>204</v>
      </c>
      <c r="G18" s="312">
        <v>1</v>
      </c>
      <c r="H18" s="378">
        <v>1571916</v>
      </c>
      <c r="I18" s="379">
        <v>166869</v>
      </c>
      <c r="J18" s="334">
        <v>1571916</v>
      </c>
      <c r="K18" s="338">
        <v>166869</v>
      </c>
      <c r="L18" s="297">
        <v>40914</v>
      </c>
    </row>
    <row r="19" spans="1:12" ht="12" customHeight="1">
      <c r="A19" s="311">
        <v>16</v>
      </c>
      <c r="B19" s="533" t="s">
        <v>304</v>
      </c>
      <c r="C19" s="312" t="s">
        <v>305</v>
      </c>
      <c r="D19" s="320">
        <v>40914</v>
      </c>
      <c r="E19" s="288" t="s">
        <v>12</v>
      </c>
      <c r="F19" s="312">
        <v>204</v>
      </c>
      <c r="G19" s="312">
        <v>2</v>
      </c>
      <c r="H19" s="378">
        <v>1545867</v>
      </c>
      <c r="I19" s="379">
        <v>166896</v>
      </c>
      <c r="J19" s="334">
        <v>3117783</v>
      </c>
      <c r="K19" s="338">
        <v>333765</v>
      </c>
      <c r="L19" s="297">
        <v>40921</v>
      </c>
    </row>
    <row r="20" spans="1:12" ht="12" customHeight="1">
      <c r="A20" s="311">
        <v>17</v>
      </c>
      <c r="B20" s="365" t="s">
        <v>130</v>
      </c>
      <c r="C20" s="312" t="s">
        <v>131</v>
      </c>
      <c r="D20" s="297">
        <v>40893</v>
      </c>
      <c r="E20" s="288" t="s">
        <v>8</v>
      </c>
      <c r="F20" s="340">
        <v>131</v>
      </c>
      <c r="G20" s="340">
        <v>5</v>
      </c>
      <c r="H20" s="384">
        <v>1536557</v>
      </c>
      <c r="I20" s="385">
        <v>171960</v>
      </c>
      <c r="J20" s="328">
        <v>11382284</v>
      </c>
      <c r="K20" s="344">
        <v>1257533</v>
      </c>
      <c r="L20" s="297">
        <v>40921</v>
      </c>
    </row>
    <row r="21" spans="1:12" ht="12" customHeight="1">
      <c r="A21" s="311">
        <v>18</v>
      </c>
      <c r="B21" s="532" t="s">
        <v>540</v>
      </c>
      <c r="C21" s="319" t="s">
        <v>541</v>
      </c>
      <c r="D21" s="320">
        <v>40956</v>
      </c>
      <c r="E21" s="288" t="s">
        <v>68</v>
      </c>
      <c r="F21" s="346">
        <v>440</v>
      </c>
      <c r="G21" s="312">
        <v>6</v>
      </c>
      <c r="H21" s="382">
        <v>1480814.82</v>
      </c>
      <c r="I21" s="383">
        <v>183619</v>
      </c>
      <c r="J21" s="328">
        <f>21413320.22+14038209.72+8091830.8+5223667.88+2812594.76+1480814.82</f>
        <v>53060438.199999996</v>
      </c>
      <c r="K21" s="344">
        <f>2475453+1630117+937421+623418+343374+183619</f>
        <v>6193402</v>
      </c>
      <c r="L21" s="297">
        <v>40991</v>
      </c>
    </row>
    <row r="22" spans="1:12" ht="12" customHeight="1">
      <c r="A22" s="311">
        <v>19</v>
      </c>
      <c r="B22" s="365" t="s">
        <v>484</v>
      </c>
      <c r="C22" s="312" t="s">
        <v>305</v>
      </c>
      <c r="D22" s="297">
        <v>40935</v>
      </c>
      <c r="E22" s="288" t="s">
        <v>12</v>
      </c>
      <c r="F22" s="340">
        <v>352</v>
      </c>
      <c r="G22" s="312">
        <v>4</v>
      </c>
      <c r="H22" s="378">
        <v>1192174</v>
      </c>
      <c r="I22" s="379">
        <v>134260</v>
      </c>
      <c r="J22" s="334">
        <v>16954478</v>
      </c>
      <c r="K22" s="338">
        <v>1824977</v>
      </c>
      <c r="L22" s="297">
        <v>40956</v>
      </c>
    </row>
    <row r="23" spans="1:12" ht="12" customHeight="1">
      <c r="A23" s="311">
        <v>20</v>
      </c>
      <c r="B23" s="533" t="s">
        <v>304</v>
      </c>
      <c r="C23" s="312" t="s">
        <v>305</v>
      </c>
      <c r="D23" s="320">
        <v>40914</v>
      </c>
      <c r="E23" s="288" t="s">
        <v>12</v>
      </c>
      <c r="F23" s="312">
        <v>204</v>
      </c>
      <c r="G23" s="312">
        <v>3</v>
      </c>
      <c r="H23" s="378">
        <v>1163723</v>
      </c>
      <c r="I23" s="379">
        <v>122619</v>
      </c>
      <c r="J23" s="334">
        <v>4281506</v>
      </c>
      <c r="K23" s="338">
        <v>456384</v>
      </c>
      <c r="L23" s="297">
        <v>40928</v>
      </c>
    </row>
    <row r="24" spans="1:12" ht="12" customHeight="1">
      <c r="A24" s="311">
        <v>21</v>
      </c>
      <c r="B24" s="457" t="s">
        <v>583</v>
      </c>
      <c r="C24" s="312" t="s">
        <v>305</v>
      </c>
      <c r="D24" s="297">
        <v>40970</v>
      </c>
      <c r="E24" s="288" t="s">
        <v>12</v>
      </c>
      <c r="F24" s="312">
        <v>285</v>
      </c>
      <c r="G24" s="312">
        <v>4</v>
      </c>
      <c r="H24" s="378">
        <v>967106</v>
      </c>
      <c r="I24" s="379">
        <v>109436</v>
      </c>
      <c r="J24" s="334">
        <v>12602800</v>
      </c>
      <c r="K24" s="338">
        <v>1401395</v>
      </c>
      <c r="L24" s="297">
        <v>40991</v>
      </c>
    </row>
    <row r="25" spans="1:12" ht="12" customHeight="1">
      <c r="A25" s="311">
        <v>22</v>
      </c>
      <c r="B25" s="361" t="s">
        <v>540</v>
      </c>
      <c r="C25" s="319" t="s">
        <v>541</v>
      </c>
      <c r="D25" s="320">
        <v>40956</v>
      </c>
      <c r="E25" s="288" t="s">
        <v>68</v>
      </c>
      <c r="F25" s="346">
        <v>440</v>
      </c>
      <c r="G25" s="522">
        <v>7</v>
      </c>
      <c r="H25" s="382">
        <v>955933.78</v>
      </c>
      <c r="I25" s="383">
        <v>118367</v>
      </c>
      <c r="J25" s="328">
        <f>21413320.22+14038209.72+8091830.8+5223667.88+2812594.76+1480814.82+955933.78</f>
        <v>54016371.98</v>
      </c>
      <c r="K25" s="344">
        <f>2475453+1630117+937421+623418+343374+183619+118367</f>
        <v>6311769</v>
      </c>
      <c r="L25" s="297">
        <v>40998</v>
      </c>
    </row>
    <row r="26" spans="1:12" ht="12" customHeight="1">
      <c r="A26" s="311">
        <v>23</v>
      </c>
      <c r="B26" s="365" t="s">
        <v>130</v>
      </c>
      <c r="C26" s="312" t="s">
        <v>131</v>
      </c>
      <c r="D26" s="297">
        <v>40893</v>
      </c>
      <c r="E26" s="288" t="s">
        <v>8</v>
      </c>
      <c r="F26" s="340">
        <v>131</v>
      </c>
      <c r="G26" s="340">
        <v>7</v>
      </c>
      <c r="H26" s="384">
        <v>782818</v>
      </c>
      <c r="I26" s="385">
        <v>90206</v>
      </c>
      <c r="J26" s="332">
        <v>14423830</v>
      </c>
      <c r="K26" s="333">
        <v>1609793</v>
      </c>
      <c r="L26" s="297">
        <v>40935</v>
      </c>
    </row>
    <row r="27" spans="1:12" ht="12" customHeight="1">
      <c r="A27" s="311">
        <v>24</v>
      </c>
      <c r="B27" s="365" t="s">
        <v>484</v>
      </c>
      <c r="C27" s="312" t="s">
        <v>305</v>
      </c>
      <c r="D27" s="297">
        <v>40935</v>
      </c>
      <c r="E27" s="288" t="s">
        <v>12</v>
      </c>
      <c r="F27" s="340">
        <v>352</v>
      </c>
      <c r="G27" s="312">
        <v>5</v>
      </c>
      <c r="H27" s="382">
        <v>780803</v>
      </c>
      <c r="I27" s="383">
        <v>90515</v>
      </c>
      <c r="J27" s="328">
        <v>17735281</v>
      </c>
      <c r="K27" s="344">
        <v>1915492</v>
      </c>
      <c r="L27" s="297">
        <v>40963</v>
      </c>
    </row>
    <row r="28" spans="1:12" ht="12" customHeight="1">
      <c r="A28" s="311">
        <v>25</v>
      </c>
      <c r="B28" s="366" t="s">
        <v>583</v>
      </c>
      <c r="C28" s="312" t="s">
        <v>305</v>
      </c>
      <c r="D28" s="297">
        <v>40970</v>
      </c>
      <c r="E28" s="288" t="s">
        <v>12</v>
      </c>
      <c r="F28" s="312">
        <v>285</v>
      </c>
      <c r="G28" s="313">
        <v>5</v>
      </c>
      <c r="H28" s="378">
        <v>758144</v>
      </c>
      <c r="I28" s="379">
        <v>85076</v>
      </c>
      <c r="J28" s="334">
        <v>13360944</v>
      </c>
      <c r="K28" s="338">
        <v>1486471</v>
      </c>
      <c r="L28" s="297">
        <v>40998</v>
      </c>
    </row>
    <row r="29" spans="1:12" ht="12" customHeight="1">
      <c r="A29" s="311">
        <v>26</v>
      </c>
      <c r="B29" s="457" t="s">
        <v>140</v>
      </c>
      <c r="C29" s="312" t="s">
        <v>188</v>
      </c>
      <c r="D29" s="320">
        <v>40900</v>
      </c>
      <c r="E29" s="288" t="s">
        <v>68</v>
      </c>
      <c r="F29" s="312">
        <v>197</v>
      </c>
      <c r="G29" s="312">
        <v>2</v>
      </c>
      <c r="H29" s="382">
        <v>656291</v>
      </c>
      <c r="I29" s="383">
        <v>73110</v>
      </c>
      <c r="J29" s="328">
        <f>985836.5+656291</f>
        <v>1642127.5</v>
      </c>
      <c r="K29" s="344">
        <f>106718+73110</f>
        <v>179828</v>
      </c>
      <c r="L29" s="297">
        <v>40907</v>
      </c>
    </row>
    <row r="30" spans="1:12" ht="12" customHeight="1">
      <c r="A30" s="311">
        <v>27</v>
      </c>
      <c r="B30" s="533" t="s">
        <v>304</v>
      </c>
      <c r="C30" s="312" t="s">
        <v>305</v>
      </c>
      <c r="D30" s="320">
        <v>40914</v>
      </c>
      <c r="E30" s="288" t="s">
        <v>12</v>
      </c>
      <c r="F30" s="312">
        <v>204</v>
      </c>
      <c r="G30" s="312">
        <v>4</v>
      </c>
      <c r="H30" s="378">
        <v>641449</v>
      </c>
      <c r="I30" s="379">
        <v>67679</v>
      </c>
      <c r="J30" s="334">
        <v>4923160</v>
      </c>
      <c r="K30" s="338">
        <v>524082</v>
      </c>
      <c r="L30" s="297">
        <v>40935</v>
      </c>
    </row>
    <row r="31" spans="1:12" ht="12" customHeight="1">
      <c r="A31" s="311">
        <v>28</v>
      </c>
      <c r="B31" s="365" t="s">
        <v>130</v>
      </c>
      <c r="C31" s="312" t="s">
        <v>131</v>
      </c>
      <c r="D31" s="297">
        <v>40893</v>
      </c>
      <c r="E31" s="288" t="s">
        <v>8</v>
      </c>
      <c r="F31" s="340">
        <v>131</v>
      </c>
      <c r="G31" s="340">
        <v>8</v>
      </c>
      <c r="H31" s="382">
        <v>546513</v>
      </c>
      <c r="I31" s="383">
        <v>61901</v>
      </c>
      <c r="J31" s="328">
        <v>14970343</v>
      </c>
      <c r="K31" s="357">
        <v>1671694</v>
      </c>
      <c r="L31" s="297">
        <v>40942</v>
      </c>
    </row>
    <row r="32" spans="1:12" ht="12" customHeight="1">
      <c r="A32" s="311">
        <v>29</v>
      </c>
      <c r="B32" s="361" t="s">
        <v>540</v>
      </c>
      <c r="C32" s="319" t="s">
        <v>541</v>
      </c>
      <c r="D32" s="320">
        <v>40956</v>
      </c>
      <c r="E32" s="288" t="s">
        <v>68</v>
      </c>
      <c r="F32" s="346">
        <v>440</v>
      </c>
      <c r="G32" s="313">
        <v>8</v>
      </c>
      <c r="H32" s="382">
        <v>528159.45</v>
      </c>
      <c r="I32" s="383">
        <v>65562</v>
      </c>
      <c r="J32" s="328">
        <f>21413320.22+14038209.72+8091830.8+5223667.88+2812594.76+1480814.82+955933.78+528159.45</f>
        <v>54544531.43</v>
      </c>
      <c r="K32" s="344">
        <f>2475453+1630117+937421+623418+343374+183619+118367+65562</f>
        <v>6377331</v>
      </c>
      <c r="L32" s="297">
        <v>41005</v>
      </c>
    </row>
    <row r="33" spans="1:12" ht="12" customHeight="1">
      <c r="A33" s="311">
        <v>30</v>
      </c>
      <c r="B33" s="534" t="s">
        <v>618</v>
      </c>
      <c r="C33" s="288" t="s">
        <v>621</v>
      </c>
      <c r="D33" s="297">
        <v>40984</v>
      </c>
      <c r="E33" s="288" t="s">
        <v>53</v>
      </c>
      <c r="F33" s="312">
        <v>121</v>
      </c>
      <c r="G33" s="346">
        <v>1</v>
      </c>
      <c r="H33" s="378">
        <v>473490.49</v>
      </c>
      <c r="I33" s="379">
        <v>52347</v>
      </c>
      <c r="J33" s="334">
        <f>473490.49</f>
        <v>473490.49</v>
      </c>
      <c r="K33" s="493">
        <f>52347</f>
        <v>52347</v>
      </c>
      <c r="L33" s="297">
        <v>40984</v>
      </c>
    </row>
    <row r="34" spans="1:12" ht="12" customHeight="1">
      <c r="A34" s="311">
        <v>31</v>
      </c>
      <c r="B34" s="366" t="s">
        <v>583</v>
      </c>
      <c r="C34" s="312" t="s">
        <v>305</v>
      </c>
      <c r="D34" s="297">
        <v>40970</v>
      </c>
      <c r="E34" s="288" t="s">
        <v>12</v>
      </c>
      <c r="F34" s="312">
        <v>285</v>
      </c>
      <c r="G34" s="313">
        <v>6</v>
      </c>
      <c r="H34" s="378">
        <v>456248</v>
      </c>
      <c r="I34" s="379">
        <v>52160</v>
      </c>
      <c r="J34" s="334">
        <v>13817192</v>
      </c>
      <c r="K34" s="338">
        <v>1538631</v>
      </c>
      <c r="L34" s="297">
        <v>41005</v>
      </c>
    </row>
    <row r="35" spans="1:12" ht="12" customHeight="1">
      <c r="A35" s="311">
        <v>32</v>
      </c>
      <c r="B35" s="457" t="s">
        <v>140</v>
      </c>
      <c r="C35" s="312" t="s">
        <v>188</v>
      </c>
      <c r="D35" s="320">
        <v>40900</v>
      </c>
      <c r="E35" s="288" t="s">
        <v>68</v>
      </c>
      <c r="F35" s="312">
        <v>197</v>
      </c>
      <c r="G35" s="312">
        <v>3</v>
      </c>
      <c r="H35" s="382">
        <v>454728.5</v>
      </c>
      <c r="I35" s="383">
        <v>50608</v>
      </c>
      <c r="J35" s="328">
        <f>985836.5+657011.5+454728.5</f>
        <v>2097576.5</v>
      </c>
      <c r="K35" s="344">
        <f>106718+73176+50608</f>
        <v>230502</v>
      </c>
      <c r="L35" s="297">
        <v>40914</v>
      </c>
    </row>
    <row r="36" spans="1:12" ht="12" customHeight="1">
      <c r="A36" s="311">
        <v>33</v>
      </c>
      <c r="B36" s="534" t="s">
        <v>98</v>
      </c>
      <c r="C36" s="312" t="s">
        <v>99</v>
      </c>
      <c r="D36" s="297">
        <v>40872</v>
      </c>
      <c r="E36" s="288" t="s">
        <v>10</v>
      </c>
      <c r="F36" s="312">
        <v>277</v>
      </c>
      <c r="G36" s="331">
        <v>6</v>
      </c>
      <c r="H36" s="382">
        <v>441941</v>
      </c>
      <c r="I36" s="383">
        <v>49345</v>
      </c>
      <c r="J36" s="328">
        <v>10697295</v>
      </c>
      <c r="K36" s="344">
        <v>1139680</v>
      </c>
      <c r="L36" s="297">
        <v>40907</v>
      </c>
    </row>
    <row r="37" spans="1:12" ht="12" customHeight="1">
      <c r="A37" s="311">
        <v>34</v>
      </c>
      <c r="B37" s="365" t="s">
        <v>130</v>
      </c>
      <c r="C37" s="312" t="s">
        <v>131</v>
      </c>
      <c r="D37" s="297">
        <v>40893</v>
      </c>
      <c r="E37" s="288" t="s">
        <v>8</v>
      </c>
      <c r="F37" s="340">
        <v>131</v>
      </c>
      <c r="G37" s="340">
        <v>9</v>
      </c>
      <c r="H37" s="382">
        <v>387361</v>
      </c>
      <c r="I37" s="383">
        <v>45227</v>
      </c>
      <c r="J37" s="328">
        <v>15357703</v>
      </c>
      <c r="K37" s="344">
        <v>1716921</v>
      </c>
      <c r="L37" s="297">
        <v>40949</v>
      </c>
    </row>
    <row r="38" spans="1:12" ht="12" customHeight="1">
      <c r="A38" s="311">
        <v>35</v>
      </c>
      <c r="B38" s="532" t="s">
        <v>616</v>
      </c>
      <c r="C38" s="288" t="s">
        <v>617</v>
      </c>
      <c r="D38" s="320">
        <v>40984</v>
      </c>
      <c r="E38" s="288" t="s">
        <v>52</v>
      </c>
      <c r="F38" s="312">
        <v>206</v>
      </c>
      <c r="G38" s="312">
        <v>1</v>
      </c>
      <c r="H38" s="378">
        <v>376045.29</v>
      </c>
      <c r="I38" s="379">
        <v>44286</v>
      </c>
      <c r="J38" s="334">
        <v>376045.29</v>
      </c>
      <c r="K38" s="338">
        <v>44286</v>
      </c>
      <c r="L38" s="297">
        <v>40984</v>
      </c>
    </row>
    <row r="39" spans="1:12" ht="12" customHeight="1">
      <c r="A39" s="311">
        <v>36</v>
      </c>
      <c r="B39" s="365" t="s">
        <v>484</v>
      </c>
      <c r="C39" s="312" t="s">
        <v>305</v>
      </c>
      <c r="D39" s="297">
        <v>40935</v>
      </c>
      <c r="E39" s="288" t="s">
        <v>12</v>
      </c>
      <c r="F39" s="340">
        <v>352</v>
      </c>
      <c r="G39" s="312">
        <v>6</v>
      </c>
      <c r="H39" s="378">
        <v>367131</v>
      </c>
      <c r="I39" s="379">
        <v>43107</v>
      </c>
      <c r="J39" s="334">
        <v>18102412</v>
      </c>
      <c r="K39" s="338">
        <v>1958599</v>
      </c>
      <c r="L39" s="297">
        <v>40970</v>
      </c>
    </row>
    <row r="40" spans="1:12" ht="12" customHeight="1">
      <c r="A40" s="311">
        <v>37</v>
      </c>
      <c r="B40" s="532" t="s">
        <v>334</v>
      </c>
      <c r="C40" s="288" t="s">
        <v>335</v>
      </c>
      <c r="D40" s="320">
        <v>40921</v>
      </c>
      <c r="E40" s="288" t="s">
        <v>52</v>
      </c>
      <c r="F40" s="312">
        <v>49</v>
      </c>
      <c r="G40" s="331">
        <v>1</v>
      </c>
      <c r="H40" s="476">
        <v>357713</v>
      </c>
      <c r="I40" s="477">
        <v>33400</v>
      </c>
      <c r="J40" s="453">
        <v>357713</v>
      </c>
      <c r="K40" s="338">
        <v>33400</v>
      </c>
      <c r="L40" s="297">
        <v>40921</v>
      </c>
    </row>
    <row r="41" spans="1:12" ht="12" customHeight="1">
      <c r="A41" s="311">
        <v>38</v>
      </c>
      <c r="B41" s="532" t="s">
        <v>334</v>
      </c>
      <c r="C41" s="288" t="s">
        <v>335</v>
      </c>
      <c r="D41" s="320">
        <v>40921</v>
      </c>
      <c r="E41" s="288" t="s">
        <v>52</v>
      </c>
      <c r="F41" s="312">
        <v>49</v>
      </c>
      <c r="G41" s="331">
        <v>2</v>
      </c>
      <c r="H41" s="530">
        <v>343246.5</v>
      </c>
      <c r="I41" s="531">
        <v>31498</v>
      </c>
      <c r="J41" s="373">
        <f>357713+343246.5</f>
        <v>700959.5</v>
      </c>
      <c r="K41" s="338">
        <f>33400+31498</f>
        <v>64898</v>
      </c>
      <c r="L41" s="297">
        <v>40928</v>
      </c>
    </row>
    <row r="42" spans="1:12" ht="12" customHeight="1">
      <c r="A42" s="311">
        <v>39</v>
      </c>
      <c r="B42" s="457" t="s">
        <v>101</v>
      </c>
      <c r="C42" s="339" t="s">
        <v>116</v>
      </c>
      <c r="D42" s="320">
        <v>40879</v>
      </c>
      <c r="E42" s="288" t="s">
        <v>68</v>
      </c>
      <c r="F42" s="312">
        <v>202</v>
      </c>
      <c r="G42" s="312">
        <v>5</v>
      </c>
      <c r="H42" s="382">
        <v>299977</v>
      </c>
      <c r="I42" s="383">
        <v>39696</v>
      </c>
      <c r="J42" s="328">
        <f>1080241.5+1088121+871543+502064+299977</f>
        <v>3841946.5</v>
      </c>
      <c r="K42" s="344">
        <f>121812+123965+100674+61096+39696</f>
        <v>447243</v>
      </c>
      <c r="L42" s="297">
        <v>40907</v>
      </c>
    </row>
    <row r="43" spans="1:12" ht="12" customHeight="1">
      <c r="A43" s="311">
        <v>40</v>
      </c>
      <c r="B43" s="361" t="s">
        <v>540</v>
      </c>
      <c r="D43" s="320">
        <v>40956</v>
      </c>
      <c r="E43" s="288" t="s">
        <v>68</v>
      </c>
      <c r="F43" s="345">
        <v>440</v>
      </c>
      <c r="G43" s="313">
        <v>9</v>
      </c>
      <c r="H43" s="468">
        <v>298145.03</v>
      </c>
      <c r="I43" s="469">
        <v>39148</v>
      </c>
      <c r="J43" s="317">
        <f>21413320.22+14038209.72+8091830.8+5223667.88+2812594.76+1480814.82+955933.78+528159.45+298145.03</f>
        <v>54842676.46</v>
      </c>
      <c r="K43" s="368">
        <f>2475453+1630117+937421+623418+343374+183619+118367+65562+39148</f>
        <v>6416479</v>
      </c>
      <c r="L43" s="297">
        <v>41012</v>
      </c>
    </row>
    <row r="44" spans="1:12" ht="12" customHeight="1">
      <c r="A44" s="311">
        <v>41</v>
      </c>
      <c r="B44" s="533" t="s">
        <v>304</v>
      </c>
      <c r="C44" s="312" t="s">
        <v>305</v>
      </c>
      <c r="D44" s="320">
        <v>40914</v>
      </c>
      <c r="E44" s="288" t="s">
        <v>12</v>
      </c>
      <c r="F44" s="312">
        <v>204</v>
      </c>
      <c r="G44" s="312">
        <v>5</v>
      </c>
      <c r="H44" s="378">
        <v>291172</v>
      </c>
      <c r="I44" s="379">
        <v>35020</v>
      </c>
      <c r="J44" s="334">
        <v>5214332</v>
      </c>
      <c r="K44" s="338">
        <v>559102</v>
      </c>
      <c r="L44" s="297">
        <v>40942</v>
      </c>
    </row>
    <row r="45" spans="1:12" ht="12" customHeight="1">
      <c r="A45" s="311">
        <v>42</v>
      </c>
      <c r="B45" s="534" t="s">
        <v>618</v>
      </c>
      <c r="C45" s="288" t="s">
        <v>621</v>
      </c>
      <c r="D45" s="297">
        <v>40984</v>
      </c>
      <c r="E45" s="288" t="s">
        <v>53</v>
      </c>
      <c r="F45" s="312">
        <v>121</v>
      </c>
      <c r="G45" s="346">
        <v>2</v>
      </c>
      <c r="H45" s="378">
        <v>256734.07</v>
      </c>
      <c r="I45" s="379">
        <v>28804</v>
      </c>
      <c r="J45" s="492">
        <f>473567.49+256734.07</f>
        <v>730301.56</v>
      </c>
      <c r="K45" s="493">
        <f>52358+28804</f>
        <v>81162</v>
      </c>
      <c r="L45" s="297">
        <v>40991</v>
      </c>
    </row>
    <row r="46" spans="1:12" ht="12" customHeight="1">
      <c r="A46" s="311">
        <v>43</v>
      </c>
      <c r="B46" s="366" t="s">
        <v>583</v>
      </c>
      <c r="D46" s="297">
        <v>40970</v>
      </c>
      <c r="E46" s="288" t="s">
        <v>12</v>
      </c>
      <c r="F46" s="313">
        <v>285</v>
      </c>
      <c r="G46" s="313">
        <v>7</v>
      </c>
      <c r="H46" s="480">
        <v>228176</v>
      </c>
      <c r="I46" s="481">
        <v>30288</v>
      </c>
      <c r="J46" s="335">
        <v>14046024</v>
      </c>
      <c r="K46" s="336">
        <v>1569003</v>
      </c>
      <c r="L46" s="297">
        <v>41012</v>
      </c>
    </row>
    <row r="47" spans="1:12" ht="12" customHeight="1">
      <c r="A47" s="311">
        <v>44</v>
      </c>
      <c r="B47" s="365" t="s">
        <v>294</v>
      </c>
      <c r="C47" s="340" t="s">
        <v>296</v>
      </c>
      <c r="D47" s="320">
        <v>40914</v>
      </c>
      <c r="E47" s="288" t="s">
        <v>53</v>
      </c>
      <c r="F47" s="346">
        <v>97</v>
      </c>
      <c r="G47" s="346">
        <v>1</v>
      </c>
      <c r="H47" s="378">
        <v>216520</v>
      </c>
      <c r="I47" s="379">
        <v>26831</v>
      </c>
      <c r="J47" s="334">
        <f>216520</f>
        <v>216520</v>
      </c>
      <c r="K47" s="338">
        <f>26831</f>
        <v>26831</v>
      </c>
      <c r="L47" s="297">
        <v>40914</v>
      </c>
    </row>
    <row r="48" spans="1:12" ht="12" customHeight="1">
      <c r="A48" s="311">
        <v>45</v>
      </c>
      <c r="B48" s="360" t="s">
        <v>689</v>
      </c>
      <c r="C48" s="288" t="s">
        <v>690</v>
      </c>
      <c r="D48" s="297">
        <v>41005</v>
      </c>
      <c r="E48" s="288" t="s">
        <v>53</v>
      </c>
      <c r="F48" s="312">
        <v>80</v>
      </c>
      <c r="G48" s="345">
        <v>1</v>
      </c>
      <c r="H48" s="378">
        <v>211710.1</v>
      </c>
      <c r="I48" s="379">
        <v>27542</v>
      </c>
      <c r="J48" s="492">
        <f>211710.1</f>
        <v>211710.1</v>
      </c>
      <c r="K48" s="493">
        <f>27542</f>
        <v>27542</v>
      </c>
      <c r="L48" s="297">
        <v>41005</v>
      </c>
    </row>
    <row r="49" spans="1:12" ht="12" customHeight="1">
      <c r="A49" s="311">
        <v>46</v>
      </c>
      <c r="B49" s="457" t="s">
        <v>140</v>
      </c>
      <c r="C49" s="312" t="s">
        <v>188</v>
      </c>
      <c r="D49" s="320">
        <v>40900</v>
      </c>
      <c r="E49" s="288" t="s">
        <v>68</v>
      </c>
      <c r="F49" s="312">
        <v>197</v>
      </c>
      <c r="G49" s="312">
        <v>4</v>
      </c>
      <c r="H49" s="382">
        <v>206447</v>
      </c>
      <c r="I49" s="383">
        <v>29112</v>
      </c>
      <c r="J49" s="328">
        <f>985836.5+657011.5+454728.5+206447</f>
        <v>2304023.5</v>
      </c>
      <c r="K49" s="344">
        <f>106718+73176+50608+29112</f>
        <v>259614</v>
      </c>
      <c r="L49" s="297">
        <v>40921</v>
      </c>
    </row>
    <row r="50" spans="1:12" ht="12" customHeight="1">
      <c r="A50" s="311">
        <v>47</v>
      </c>
      <c r="B50" s="361" t="s">
        <v>540</v>
      </c>
      <c r="D50" s="320">
        <v>40956</v>
      </c>
      <c r="E50" s="288" t="s">
        <v>68</v>
      </c>
      <c r="F50" s="346">
        <v>440</v>
      </c>
      <c r="G50" s="312">
        <v>10</v>
      </c>
      <c r="H50" s="382">
        <v>198476.43</v>
      </c>
      <c r="I50" s="383">
        <v>26637</v>
      </c>
      <c r="J50" s="328">
        <f>21413320.22+14038209.72+8091830.8+5223667.88+2812594.76+1480814.82+955933.78+528159.45+298145.03+198476.43</f>
        <v>55041152.89</v>
      </c>
      <c r="K50" s="344">
        <f>2475453+1630117+937421+623418+343374+183619+118367+65562+39148+26637</f>
        <v>6443116</v>
      </c>
      <c r="L50" s="297">
        <v>41019</v>
      </c>
    </row>
    <row r="51" spans="1:12" ht="12" customHeight="1">
      <c r="A51" s="311">
        <v>48</v>
      </c>
      <c r="B51" s="365" t="s">
        <v>294</v>
      </c>
      <c r="C51" s="340" t="s">
        <v>296</v>
      </c>
      <c r="D51" s="320">
        <v>40914</v>
      </c>
      <c r="E51" s="288" t="s">
        <v>53</v>
      </c>
      <c r="F51" s="346">
        <v>97</v>
      </c>
      <c r="G51" s="346">
        <v>2</v>
      </c>
      <c r="H51" s="378">
        <v>198358.5</v>
      </c>
      <c r="I51" s="379">
        <v>25025</v>
      </c>
      <c r="J51" s="334">
        <f>216520+198358.5</f>
        <v>414878.5</v>
      </c>
      <c r="K51" s="338">
        <f>26831+25025</f>
        <v>51856</v>
      </c>
      <c r="L51" s="297">
        <v>40921</v>
      </c>
    </row>
    <row r="52" spans="1:12" ht="12" customHeight="1">
      <c r="A52" s="311">
        <v>49</v>
      </c>
      <c r="B52" s="532" t="s">
        <v>104</v>
      </c>
      <c r="C52" s="312" t="s">
        <v>107</v>
      </c>
      <c r="D52" s="320">
        <v>40879</v>
      </c>
      <c r="E52" s="288" t="s">
        <v>53</v>
      </c>
      <c r="F52" s="312">
        <v>135</v>
      </c>
      <c r="G52" s="346">
        <v>5</v>
      </c>
      <c r="H52" s="378">
        <v>197271.5</v>
      </c>
      <c r="I52" s="379">
        <v>25625</v>
      </c>
      <c r="J52" s="334">
        <f>1709882.25+1194489.75+708906.5+376327+70+197271.5</f>
        <v>4186947</v>
      </c>
      <c r="K52" s="338">
        <f>195314+135261+80447+45395+10+25625</f>
        <v>482052</v>
      </c>
      <c r="L52" s="297">
        <v>40907</v>
      </c>
    </row>
    <row r="53" spans="1:12" ht="12" customHeight="1">
      <c r="A53" s="311">
        <v>50</v>
      </c>
      <c r="B53" s="458" t="s">
        <v>74</v>
      </c>
      <c r="C53" s="331" t="s">
        <v>80</v>
      </c>
      <c r="D53" s="320">
        <v>40851</v>
      </c>
      <c r="E53" s="288" t="s">
        <v>53</v>
      </c>
      <c r="F53" s="340">
        <v>247</v>
      </c>
      <c r="G53" s="346">
        <v>9</v>
      </c>
      <c r="H53" s="378">
        <v>184428</v>
      </c>
      <c r="I53" s="379">
        <v>33224</v>
      </c>
      <c r="J53" s="334">
        <f>2260223+2366876.75+3859638+3137342+1906742.5+252.25+1189485.5+474275+250512+184428</f>
        <v>15629775</v>
      </c>
      <c r="K53" s="338">
        <f>286038+329194+554088+452220+278080+42+178270+68355+40409+33224</f>
        <v>2219920</v>
      </c>
      <c r="L53" s="297">
        <v>40907</v>
      </c>
    </row>
    <row r="54" spans="1:12" ht="12" customHeight="1">
      <c r="A54" s="311">
        <v>51</v>
      </c>
      <c r="B54" s="362" t="s">
        <v>717</v>
      </c>
      <c r="D54" s="320">
        <v>41012</v>
      </c>
      <c r="E54" s="288" t="s">
        <v>68</v>
      </c>
      <c r="F54" s="313">
        <v>25</v>
      </c>
      <c r="G54" s="313">
        <v>1</v>
      </c>
      <c r="H54" s="468">
        <v>181931</v>
      </c>
      <c r="I54" s="469">
        <v>16563</v>
      </c>
      <c r="J54" s="317">
        <f>181931</f>
        <v>181931</v>
      </c>
      <c r="K54" s="368">
        <f>16563</f>
        <v>16563</v>
      </c>
      <c r="L54" s="297">
        <v>41012</v>
      </c>
    </row>
    <row r="55" spans="1:12" ht="12" customHeight="1">
      <c r="A55" s="311">
        <v>52</v>
      </c>
      <c r="B55" s="458" t="s">
        <v>509</v>
      </c>
      <c r="C55" s="312" t="s">
        <v>500</v>
      </c>
      <c r="D55" s="320">
        <v>40942</v>
      </c>
      <c r="E55" s="288" t="s">
        <v>53</v>
      </c>
      <c r="F55" s="346">
        <v>95</v>
      </c>
      <c r="G55" s="346">
        <v>1</v>
      </c>
      <c r="H55" s="378">
        <v>167178.1</v>
      </c>
      <c r="I55" s="379">
        <v>18839</v>
      </c>
      <c r="J55" s="334">
        <f>167178.1</f>
        <v>167178.1</v>
      </c>
      <c r="K55" s="338">
        <f>18839</f>
        <v>18839</v>
      </c>
      <c r="L55" s="297">
        <v>40942</v>
      </c>
    </row>
    <row r="56" spans="1:12" ht="12" customHeight="1">
      <c r="A56" s="311">
        <v>53</v>
      </c>
      <c r="B56" s="534" t="s">
        <v>492</v>
      </c>
      <c r="C56" s="312" t="s">
        <v>499</v>
      </c>
      <c r="D56" s="320">
        <v>40942</v>
      </c>
      <c r="E56" s="288" t="s">
        <v>52</v>
      </c>
      <c r="F56" s="312">
        <v>42</v>
      </c>
      <c r="G56" s="312">
        <v>1</v>
      </c>
      <c r="H56" s="378">
        <v>162020.35</v>
      </c>
      <c r="I56" s="379">
        <v>16152</v>
      </c>
      <c r="J56" s="334">
        <v>162020.35</v>
      </c>
      <c r="K56" s="338">
        <v>16152</v>
      </c>
      <c r="L56" s="297">
        <v>40942</v>
      </c>
    </row>
    <row r="57" spans="1:12" ht="12" customHeight="1">
      <c r="A57" s="311">
        <v>54</v>
      </c>
      <c r="B57" s="365" t="s">
        <v>294</v>
      </c>
      <c r="C57" s="340" t="s">
        <v>296</v>
      </c>
      <c r="D57" s="320">
        <v>40914</v>
      </c>
      <c r="E57" s="288" t="s">
        <v>53</v>
      </c>
      <c r="F57" s="346">
        <v>97</v>
      </c>
      <c r="G57" s="346">
        <v>3</v>
      </c>
      <c r="H57" s="378">
        <v>149589.5</v>
      </c>
      <c r="I57" s="379">
        <v>19383</v>
      </c>
      <c r="J57" s="334">
        <f>216520+198358.5+149589.5</f>
        <v>564468</v>
      </c>
      <c r="K57" s="338">
        <f>26831+25025+19383</f>
        <v>71239</v>
      </c>
      <c r="L57" s="297">
        <v>40928</v>
      </c>
    </row>
    <row r="58" spans="1:12" ht="12" customHeight="1">
      <c r="A58" s="311">
        <v>55</v>
      </c>
      <c r="B58" s="532" t="s">
        <v>616</v>
      </c>
      <c r="C58" s="288" t="s">
        <v>617</v>
      </c>
      <c r="D58" s="320">
        <v>40984</v>
      </c>
      <c r="E58" s="288" t="s">
        <v>52</v>
      </c>
      <c r="F58" s="312">
        <v>206</v>
      </c>
      <c r="G58" s="312">
        <v>2</v>
      </c>
      <c r="H58" s="378">
        <v>143161.82</v>
      </c>
      <c r="I58" s="379">
        <v>18212</v>
      </c>
      <c r="J58" s="334">
        <f>376045.29+143161.82</f>
        <v>519207.11</v>
      </c>
      <c r="K58" s="338">
        <f>44286+18212</f>
        <v>62498</v>
      </c>
      <c r="L58" s="297">
        <v>40991</v>
      </c>
    </row>
    <row r="59" spans="1:12" ht="12" customHeight="1">
      <c r="A59" s="311">
        <v>56</v>
      </c>
      <c r="B59" s="361" t="s">
        <v>668</v>
      </c>
      <c r="C59" s="319" t="s">
        <v>643</v>
      </c>
      <c r="D59" s="320">
        <v>40998</v>
      </c>
      <c r="E59" s="288" t="s">
        <v>68</v>
      </c>
      <c r="F59" s="345">
        <v>109</v>
      </c>
      <c r="G59" s="522">
        <v>1</v>
      </c>
      <c r="H59" s="382">
        <v>141737.5</v>
      </c>
      <c r="I59" s="383">
        <v>15777</v>
      </c>
      <c r="J59" s="328">
        <f>141737.5</f>
        <v>141737.5</v>
      </c>
      <c r="K59" s="344">
        <f>15777</f>
        <v>15777</v>
      </c>
      <c r="L59" s="297">
        <v>40998</v>
      </c>
    </row>
    <row r="60" spans="1:12" ht="12" customHeight="1">
      <c r="A60" s="311">
        <v>57</v>
      </c>
      <c r="B60" s="360" t="s">
        <v>618</v>
      </c>
      <c r="C60" s="288" t="s">
        <v>621</v>
      </c>
      <c r="D60" s="297">
        <v>40984</v>
      </c>
      <c r="E60" s="288" t="s">
        <v>53</v>
      </c>
      <c r="F60" s="312">
        <v>121</v>
      </c>
      <c r="G60" s="345">
        <v>3</v>
      </c>
      <c r="H60" s="378">
        <v>139144.54</v>
      </c>
      <c r="I60" s="379">
        <v>16705</v>
      </c>
      <c r="J60" s="492">
        <f>473567.49+256734.07+139144.54</f>
        <v>869446.1000000001</v>
      </c>
      <c r="K60" s="493">
        <f>52358+28804+16705</f>
        <v>97867</v>
      </c>
      <c r="L60" s="297">
        <v>40998</v>
      </c>
    </row>
    <row r="61" spans="1:12" ht="12" customHeight="1">
      <c r="A61" s="311">
        <v>58</v>
      </c>
      <c r="B61" s="533" t="s">
        <v>304</v>
      </c>
      <c r="C61" s="312" t="s">
        <v>305</v>
      </c>
      <c r="D61" s="320">
        <v>40914</v>
      </c>
      <c r="E61" s="288" t="s">
        <v>12</v>
      </c>
      <c r="F61" s="312">
        <v>204</v>
      </c>
      <c r="G61" s="312">
        <v>6</v>
      </c>
      <c r="H61" s="378">
        <v>139126</v>
      </c>
      <c r="I61" s="379">
        <v>18433</v>
      </c>
      <c r="J61" s="334">
        <v>5353458</v>
      </c>
      <c r="K61" s="338">
        <v>577535</v>
      </c>
      <c r="L61" s="297">
        <v>40949</v>
      </c>
    </row>
    <row r="62" spans="1:12" ht="12" customHeight="1">
      <c r="A62" s="311">
        <v>59</v>
      </c>
      <c r="B62" s="457" t="s">
        <v>101</v>
      </c>
      <c r="C62" s="339" t="s">
        <v>116</v>
      </c>
      <c r="D62" s="320">
        <v>40879</v>
      </c>
      <c r="E62" s="288" t="s">
        <v>68</v>
      </c>
      <c r="F62" s="312">
        <v>202</v>
      </c>
      <c r="G62" s="312">
        <v>6</v>
      </c>
      <c r="H62" s="382">
        <v>131358.5</v>
      </c>
      <c r="I62" s="383">
        <v>19116</v>
      </c>
      <c r="J62" s="328">
        <f>1080241.5+1088121+871543+502064+300294.5+131358.5</f>
        <v>3973622.5</v>
      </c>
      <c r="K62" s="344">
        <f>121812+123965+100674+61096+39726+19116</f>
        <v>466389</v>
      </c>
      <c r="L62" s="297">
        <v>40914</v>
      </c>
    </row>
    <row r="63" spans="1:12" ht="12" customHeight="1">
      <c r="A63" s="311">
        <v>60</v>
      </c>
      <c r="B63" s="533" t="s">
        <v>98</v>
      </c>
      <c r="C63" s="312" t="s">
        <v>99</v>
      </c>
      <c r="D63" s="297">
        <v>40872</v>
      </c>
      <c r="E63" s="288" t="s">
        <v>10</v>
      </c>
      <c r="F63" s="312">
        <v>277</v>
      </c>
      <c r="G63" s="331">
        <v>7</v>
      </c>
      <c r="H63" s="382">
        <f>129529+680</f>
        <v>130209</v>
      </c>
      <c r="I63" s="383">
        <f>15613+55</f>
        <v>15668</v>
      </c>
      <c r="J63" s="328">
        <f>10697295+129529+680</f>
        <v>10827504</v>
      </c>
      <c r="K63" s="344">
        <f>1139680+15613+55</f>
        <v>1155348</v>
      </c>
      <c r="L63" s="297">
        <v>40914</v>
      </c>
    </row>
    <row r="64" spans="1:12" ht="12" customHeight="1">
      <c r="A64" s="311">
        <v>61</v>
      </c>
      <c r="B64" s="458" t="s">
        <v>509</v>
      </c>
      <c r="C64" s="312" t="s">
        <v>500</v>
      </c>
      <c r="D64" s="320">
        <v>40942</v>
      </c>
      <c r="E64" s="288" t="s">
        <v>53</v>
      </c>
      <c r="F64" s="346">
        <v>95</v>
      </c>
      <c r="G64" s="346">
        <v>2</v>
      </c>
      <c r="H64" s="378">
        <v>124753.91</v>
      </c>
      <c r="I64" s="379">
        <v>14893</v>
      </c>
      <c r="J64" s="334">
        <f>166893.1+124753.91</f>
        <v>291647.01</v>
      </c>
      <c r="K64" s="338">
        <f>18839+14893</f>
        <v>33732</v>
      </c>
      <c r="L64" s="297">
        <v>40949</v>
      </c>
    </row>
    <row r="65" spans="1:12" ht="12" customHeight="1">
      <c r="A65" s="311">
        <v>62</v>
      </c>
      <c r="B65" s="532" t="s">
        <v>642</v>
      </c>
      <c r="C65" s="288" t="s">
        <v>643</v>
      </c>
      <c r="D65" s="320">
        <v>40991</v>
      </c>
      <c r="E65" s="288" t="s">
        <v>52</v>
      </c>
      <c r="F65" s="312">
        <v>47</v>
      </c>
      <c r="G65" s="312">
        <v>1</v>
      </c>
      <c r="H65" s="378">
        <v>119520.52</v>
      </c>
      <c r="I65" s="379">
        <v>13074</v>
      </c>
      <c r="J65" s="334">
        <v>119520.52</v>
      </c>
      <c r="K65" s="338">
        <v>13074</v>
      </c>
      <c r="L65" s="297">
        <v>40991</v>
      </c>
    </row>
    <row r="66" spans="1:12" ht="12" customHeight="1">
      <c r="A66" s="311">
        <v>63</v>
      </c>
      <c r="B66" s="362" t="s">
        <v>717</v>
      </c>
      <c r="D66" s="320">
        <v>41012</v>
      </c>
      <c r="E66" s="288" t="s">
        <v>68</v>
      </c>
      <c r="F66" s="312">
        <v>25</v>
      </c>
      <c r="G66" s="312">
        <v>2</v>
      </c>
      <c r="H66" s="382">
        <v>118209</v>
      </c>
      <c r="I66" s="383">
        <v>10701</v>
      </c>
      <c r="J66" s="328">
        <f>181931+118209</f>
        <v>300140</v>
      </c>
      <c r="K66" s="344">
        <f>16563+10701</f>
        <v>27264</v>
      </c>
      <c r="L66" s="297">
        <v>41019</v>
      </c>
    </row>
    <row r="67" spans="1:12" ht="12" customHeight="1">
      <c r="A67" s="311">
        <v>64</v>
      </c>
      <c r="B67" s="532" t="s">
        <v>334</v>
      </c>
      <c r="C67" s="288" t="s">
        <v>335</v>
      </c>
      <c r="D67" s="320">
        <v>40921</v>
      </c>
      <c r="E67" s="288" t="s">
        <v>52</v>
      </c>
      <c r="F67" s="312">
        <v>49</v>
      </c>
      <c r="G67" s="331">
        <v>3</v>
      </c>
      <c r="H67" s="378">
        <v>115529.5</v>
      </c>
      <c r="I67" s="379">
        <v>10192</v>
      </c>
      <c r="J67" s="334">
        <v>816489</v>
      </c>
      <c r="K67" s="338">
        <v>75090</v>
      </c>
      <c r="L67" s="297">
        <v>40935</v>
      </c>
    </row>
    <row r="68" spans="1:12" ht="12" customHeight="1">
      <c r="A68" s="311">
        <v>65</v>
      </c>
      <c r="B68" s="360" t="s">
        <v>689</v>
      </c>
      <c r="D68" s="297">
        <v>41005</v>
      </c>
      <c r="E68" s="288" t="s">
        <v>53</v>
      </c>
      <c r="F68" s="313">
        <v>80</v>
      </c>
      <c r="G68" s="313">
        <v>2</v>
      </c>
      <c r="H68" s="480">
        <v>106331.38</v>
      </c>
      <c r="I68" s="481">
        <v>13996</v>
      </c>
      <c r="J68" s="523">
        <f>211710.1+106331.38</f>
        <v>318041.48</v>
      </c>
      <c r="K68" s="524">
        <f>27542+13996</f>
        <v>41538</v>
      </c>
      <c r="L68" s="297">
        <v>41012</v>
      </c>
    </row>
    <row r="69" spans="1:12" ht="12" customHeight="1">
      <c r="A69" s="311">
        <v>66</v>
      </c>
      <c r="B69" s="457" t="s">
        <v>101</v>
      </c>
      <c r="C69" s="339" t="s">
        <v>116</v>
      </c>
      <c r="D69" s="320">
        <v>40879</v>
      </c>
      <c r="E69" s="288" t="s">
        <v>68</v>
      </c>
      <c r="F69" s="312">
        <v>202</v>
      </c>
      <c r="G69" s="312">
        <v>7</v>
      </c>
      <c r="H69" s="382">
        <v>96969.5</v>
      </c>
      <c r="I69" s="383">
        <v>14898</v>
      </c>
      <c r="J69" s="328">
        <f>1080241.5+1088121+871543+502064+300294.5+131358.5+96969.5</f>
        <v>4070592</v>
      </c>
      <c r="K69" s="344">
        <f>121812+123965+100674+61096+39726+19116+14898</f>
        <v>481287</v>
      </c>
      <c r="L69" s="297">
        <v>40921</v>
      </c>
    </row>
    <row r="70" spans="1:12" ht="12" customHeight="1">
      <c r="A70" s="311">
        <v>67</v>
      </c>
      <c r="B70" s="361" t="s">
        <v>540</v>
      </c>
      <c r="C70" s="319" t="s">
        <v>541</v>
      </c>
      <c r="D70" s="370">
        <v>40956</v>
      </c>
      <c r="E70" s="288" t="s">
        <v>68</v>
      </c>
      <c r="F70" s="346">
        <v>440</v>
      </c>
      <c r="G70" s="312">
        <v>11</v>
      </c>
      <c r="H70" s="468">
        <v>95958.51</v>
      </c>
      <c r="I70" s="469">
        <v>13128</v>
      </c>
      <c r="J70" s="317">
        <f>21413320.22+14038209.72+8091830.8+5223667.88+2812594.76+1480814.82+955933.78+528159.45+298145.03+198476.43+95958.51</f>
        <v>55137111.4</v>
      </c>
      <c r="K70" s="368">
        <f>2475453+1630117+937421+623418+343374+183619+118367+65562+39148+26637+13128</f>
        <v>6456244</v>
      </c>
      <c r="L70" s="297">
        <v>41026</v>
      </c>
    </row>
    <row r="71" spans="1:12" ht="12" customHeight="1">
      <c r="A71" s="311">
        <v>68</v>
      </c>
      <c r="B71" s="366" t="s">
        <v>583</v>
      </c>
      <c r="D71" s="297">
        <v>40970</v>
      </c>
      <c r="E71" s="288" t="s">
        <v>12</v>
      </c>
      <c r="F71" s="312">
        <v>285</v>
      </c>
      <c r="G71" s="312">
        <v>8</v>
      </c>
      <c r="H71" s="378">
        <v>94463</v>
      </c>
      <c r="I71" s="379">
        <v>12720</v>
      </c>
      <c r="J71" s="334">
        <v>14140487</v>
      </c>
      <c r="K71" s="338">
        <v>1581723</v>
      </c>
      <c r="L71" s="297">
        <v>41019</v>
      </c>
    </row>
    <row r="72" spans="1:12" ht="12" customHeight="1">
      <c r="A72" s="311">
        <v>69</v>
      </c>
      <c r="B72" s="532" t="s">
        <v>104</v>
      </c>
      <c r="C72" s="312" t="s">
        <v>107</v>
      </c>
      <c r="D72" s="320">
        <v>40879</v>
      </c>
      <c r="E72" s="288" t="s">
        <v>53</v>
      </c>
      <c r="F72" s="312">
        <v>135</v>
      </c>
      <c r="G72" s="346">
        <v>6</v>
      </c>
      <c r="H72" s="378">
        <v>73341.5</v>
      </c>
      <c r="I72" s="379">
        <v>10302</v>
      </c>
      <c r="J72" s="334">
        <f>1709882.25+1194489.75+708906.5+376327+70+197271.5+73341.5</f>
        <v>4260288.5</v>
      </c>
      <c r="K72" s="338">
        <f>195314+135261+80447+45395+10+25625+10302</f>
        <v>492354</v>
      </c>
      <c r="L72" s="297">
        <v>40914</v>
      </c>
    </row>
    <row r="73" spans="1:12" ht="12" customHeight="1">
      <c r="A73" s="311">
        <v>70</v>
      </c>
      <c r="B73" s="457" t="s">
        <v>140</v>
      </c>
      <c r="C73" s="312" t="s">
        <v>188</v>
      </c>
      <c r="D73" s="320">
        <v>40900</v>
      </c>
      <c r="E73" s="288" t="s">
        <v>68</v>
      </c>
      <c r="F73" s="312">
        <v>197</v>
      </c>
      <c r="G73" s="312">
        <v>5</v>
      </c>
      <c r="H73" s="382">
        <v>72029</v>
      </c>
      <c r="I73" s="383">
        <v>10776</v>
      </c>
      <c r="J73" s="328">
        <f>985836.5+657011.5+454728.5+206461+72029</f>
        <v>2376066.5</v>
      </c>
      <c r="K73" s="344">
        <f>106718+73176+50608+29114+10776</f>
        <v>270392</v>
      </c>
      <c r="L73" s="297">
        <v>40928</v>
      </c>
    </row>
    <row r="74" spans="1:12" ht="12" customHeight="1">
      <c r="A74" s="311">
        <v>71</v>
      </c>
      <c r="B74" s="365" t="s">
        <v>130</v>
      </c>
      <c r="C74" s="312" t="s">
        <v>131</v>
      </c>
      <c r="D74" s="297">
        <v>40893</v>
      </c>
      <c r="E74" s="288" t="s">
        <v>8</v>
      </c>
      <c r="F74" s="340">
        <v>131</v>
      </c>
      <c r="G74" s="340">
        <v>10</v>
      </c>
      <c r="H74" s="382">
        <v>71809</v>
      </c>
      <c r="I74" s="383">
        <v>8523</v>
      </c>
      <c r="J74" s="328">
        <v>15429512</v>
      </c>
      <c r="K74" s="344">
        <v>1725444</v>
      </c>
      <c r="L74" s="297">
        <v>40956</v>
      </c>
    </row>
    <row r="75" spans="1:12" ht="12" customHeight="1">
      <c r="A75" s="311">
        <v>72</v>
      </c>
      <c r="B75" s="361" t="s">
        <v>642</v>
      </c>
      <c r="C75" s="288" t="s">
        <v>643</v>
      </c>
      <c r="D75" s="320">
        <v>40991</v>
      </c>
      <c r="E75" s="288" t="s">
        <v>52</v>
      </c>
      <c r="F75" s="313">
        <v>47</v>
      </c>
      <c r="G75" s="525">
        <v>2</v>
      </c>
      <c r="H75" s="378">
        <v>71717.42</v>
      </c>
      <c r="I75" s="379">
        <v>7819</v>
      </c>
      <c r="J75" s="334">
        <f>119520.52+71717.42</f>
        <v>191237.94</v>
      </c>
      <c r="K75" s="338">
        <f>13074+7819</f>
        <v>20893</v>
      </c>
      <c r="L75" s="297">
        <v>40998</v>
      </c>
    </row>
    <row r="76" spans="1:12" ht="12" customHeight="1">
      <c r="A76" s="311">
        <v>73</v>
      </c>
      <c r="B76" s="361" t="s">
        <v>842</v>
      </c>
      <c r="C76" s="312" t="s">
        <v>843</v>
      </c>
      <c r="D76" s="370">
        <v>41010</v>
      </c>
      <c r="E76" s="288" t="s">
        <v>52</v>
      </c>
      <c r="F76" s="312">
        <v>70</v>
      </c>
      <c r="G76" s="312">
        <v>1</v>
      </c>
      <c r="H76" s="378">
        <v>71623.04</v>
      </c>
      <c r="I76" s="379">
        <v>8394</v>
      </c>
      <c r="J76" s="334">
        <v>71623.04</v>
      </c>
      <c r="K76" s="338">
        <v>8394</v>
      </c>
      <c r="L76" s="297">
        <v>41040</v>
      </c>
    </row>
    <row r="77" spans="1:12" ht="12" customHeight="1">
      <c r="A77" s="311">
        <v>74</v>
      </c>
      <c r="B77" s="532" t="s">
        <v>104</v>
      </c>
      <c r="C77" s="312" t="s">
        <v>107</v>
      </c>
      <c r="D77" s="320">
        <v>40879</v>
      </c>
      <c r="E77" s="288" t="s">
        <v>53</v>
      </c>
      <c r="F77" s="312">
        <v>135</v>
      </c>
      <c r="G77" s="346">
        <v>7</v>
      </c>
      <c r="H77" s="378">
        <v>70692.5</v>
      </c>
      <c r="I77" s="379">
        <v>10950</v>
      </c>
      <c r="J77" s="334">
        <f>1709882.25+1194489.75+708906.5+376327+70+197271.5+73341.5+70692.5</f>
        <v>4330981</v>
      </c>
      <c r="K77" s="338">
        <f>195314+135261+80447+45395+10+25625+10302+10950</f>
        <v>503304</v>
      </c>
      <c r="L77" s="297">
        <v>40921</v>
      </c>
    </row>
    <row r="78" spans="1:12" ht="12" customHeight="1">
      <c r="A78" s="311">
        <v>75</v>
      </c>
      <c r="B78" s="534" t="s">
        <v>599</v>
      </c>
      <c r="C78" s="288" t="s">
        <v>602</v>
      </c>
      <c r="D78" s="297">
        <v>40977</v>
      </c>
      <c r="E78" s="288" t="s">
        <v>53</v>
      </c>
      <c r="F78" s="312">
        <v>85</v>
      </c>
      <c r="G78" s="346">
        <v>1</v>
      </c>
      <c r="H78" s="378">
        <v>70303.72</v>
      </c>
      <c r="I78" s="379">
        <v>9206</v>
      </c>
      <c r="J78" s="334">
        <f>70303.72</f>
        <v>70303.72</v>
      </c>
      <c r="K78" s="338">
        <f>9206</f>
        <v>9206</v>
      </c>
      <c r="L78" s="297">
        <v>40977</v>
      </c>
    </row>
    <row r="79" spans="1:12" ht="12" customHeight="1">
      <c r="A79" s="311">
        <v>76</v>
      </c>
      <c r="B79" s="534" t="s">
        <v>492</v>
      </c>
      <c r="C79" s="312" t="s">
        <v>499</v>
      </c>
      <c r="D79" s="320">
        <v>40942</v>
      </c>
      <c r="E79" s="288" t="s">
        <v>52</v>
      </c>
      <c r="F79" s="312">
        <v>42</v>
      </c>
      <c r="G79" s="312">
        <v>2</v>
      </c>
      <c r="H79" s="378">
        <v>70285.95</v>
      </c>
      <c r="I79" s="379">
        <v>7535</v>
      </c>
      <c r="J79" s="334">
        <f>162020.35+70285.95</f>
        <v>232306.3</v>
      </c>
      <c r="K79" s="338">
        <f>16152+7535</f>
        <v>23687</v>
      </c>
      <c r="L79" s="297">
        <v>40949</v>
      </c>
    </row>
    <row r="80" spans="1:12" ht="12" customHeight="1">
      <c r="A80" s="311">
        <v>77</v>
      </c>
      <c r="B80" s="361" t="s">
        <v>668</v>
      </c>
      <c r="C80" s="319" t="s">
        <v>643</v>
      </c>
      <c r="D80" s="320">
        <v>40998</v>
      </c>
      <c r="E80" s="288" t="s">
        <v>68</v>
      </c>
      <c r="F80" s="346">
        <v>109</v>
      </c>
      <c r="G80" s="313">
        <v>2</v>
      </c>
      <c r="H80" s="382">
        <v>69212.99</v>
      </c>
      <c r="I80" s="383">
        <v>8169</v>
      </c>
      <c r="J80" s="328">
        <f>141737.5+69212.99</f>
        <v>210950.49</v>
      </c>
      <c r="K80" s="344">
        <f>15777+8169</f>
        <v>23946</v>
      </c>
      <c r="L80" s="297">
        <v>41005</v>
      </c>
    </row>
    <row r="81" spans="1:12" ht="12" customHeight="1">
      <c r="A81" s="311">
        <v>78</v>
      </c>
      <c r="B81" s="457" t="s">
        <v>101</v>
      </c>
      <c r="C81" s="339" t="s">
        <v>116</v>
      </c>
      <c r="D81" s="320">
        <v>40879</v>
      </c>
      <c r="E81" s="288" t="s">
        <v>68</v>
      </c>
      <c r="F81" s="312">
        <v>202</v>
      </c>
      <c r="G81" s="312">
        <v>8</v>
      </c>
      <c r="H81" s="382">
        <v>68985</v>
      </c>
      <c r="I81" s="383">
        <v>10338</v>
      </c>
      <c r="J81" s="328">
        <f>1080241.5+1088121+871543+502064+300294.5+131358.5+96969.5+68985</f>
        <v>4139577</v>
      </c>
      <c r="K81" s="344">
        <f>121812+123965+100674+61096+39726+19116+14898+10338</f>
        <v>491625</v>
      </c>
      <c r="L81" s="297">
        <v>40928</v>
      </c>
    </row>
    <row r="82" spans="1:12" ht="12" customHeight="1">
      <c r="A82" s="311">
        <v>79</v>
      </c>
      <c r="B82" s="533" t="s">
        <v>98</v>
      </c>
      <c r="C82" s="312" t="s">
        <v>99</v>
      </c>
      <c r="D82" s="297">
        <v>40872</v>
      </c>
      <c r="E82" s="288" t="s">
        <v>10</v>
      </c>
      <c r="F82" s="312">
        <v>277</v>
      </c>
      <c r="G82" s="331">
        <v>8</v>
      </c>
      <c r="H82" s="382">
        <v>64482</v>
      </c>
      <c r="I82" s="383">
        <v>7909</v>
      </c>
      <c r="J82" s="328">
        <v>10891986</v>
      </c>
      <c r="K82" s="344">
        <v>1163257</v>
      </c>
      <c r="L82" s="297">
        <v>40921</v>
      </c>
    </row>
    <row r="83" spans="1:12" ht="12" customHeight="1">
      <c r="A83" s="311">
        <v>80</v>
      </c>
      <c r="B83" s="361" t="s">
        <v>775</v>
      </c>
      <c r="C83" s="319" t="s">
        <v>776</v>
      </c>
      <c r="D83" s="320">
        <v>40998</v>
      </c>
      <c r="E83" s="288" t="s">
        <v>8</v>
      </c>
      <c r="F83" s="340">
        <v>51</v>
      </c>
      <c r="G83" s="340">
        <v>1</v>
      </c>
      <c r="H83" s="384">
        <v>64358</v>
      </c>
      <c r="I83" s="385">
        <v>6947</v>
      </c>
      <c r="J83" s="332">
        <v>64358</v>
      </c>
      <c r="K83" s="333">
        <v>6947</v>
      </c>
      <c r="L83" s="297">
        <v>41033</v>
      </c>
    </row>
    <row r="84" spans="1:12" ht="12" customHeight="1">
      <c r="A84" s="311">
        <v>81</v>
      </c>
      <c r="B84" s="362" t="s">
        <v>717</v>
      </c>
      <c r="C84" s="312"/>
      <c r="D84" s="370">
        <v>41012</v>
      </c>
      <c r="E84" s="288" t="s">
        <v>68</v>
      </c>
      <c r="F84" s="312">
        <v>25</v>
      </c>
      <c r="G84" s="312">
        <v>3</v>
      </c>
      <c r="H84" s="468">
        <v>64048.02</v>
      </c>
      <c r="I84" s="469">
        <v>6525</v>
      </c>
      <c r="J84" s="317">
        <f>181931+118209+64048.02</f>
        <v>364188.02</v>
      </c>
      <c r="K84" s="368">
        <f>16563+10701+6525</f>
        <v>33789</v>
      </c>
      <c r="L84" s="297">
        <v>41026</v>
      </c>
    </row>
    <row r="85" spans="1:12" ht="12" customHeight="1">
      <c r="A85" s="311">
        <v>82</v>
      </c>
      <c r="B85" s="361" t="s">
        <v>764</v>
      </c>
      <c r="C85" s="319" t="s">
        <v>766</v>
      </c>
      <c r="D85" s="370">
        <v>41026</v>
      </c>
      <c r="E85" s="288" t="s">
        <v>68</v>
      </c>
      <c r="F85" s="346">
        <v>30</v>
      </c>
      <c r="G85" s="312">
        <v>1</v>
      </c>
      <c r="H85" s="468">
        <v>58936.99</v>
      </c>
      <c r="I85" s="469">
        <v>6042</v>
      </c>
      <c r="J85" s="317">
        <f>58936.99</f>
        <v>58936.99</v>
      </c>
      <c r="K85" s="368">
        <f>6042</f>
        <v>6042</v>
      </c>
      <c r="L85" s="297">
        <v>41026</v>
      </c>
    </row>
    <row r="86" spans="1:12" ht="12" customHeight="1">
      <c r="A86" s="311">
        <v>83</v>
      </c>
      <c r="B86" s="532" t="s">
        <v>334</v>
      </c>
      <c r="C86" s="288" t="s">
        <v>335</v>
      </c>
      <c r="D86" s="320">
        <v>40921</v>
      </c>
      <c r="E86" s="288" t="s">
        <v>52</v>
      </c>
      <c r="F86" s="312">
        <v>49</v>
      </c>
      <c r="G86" s="312">
        <v>4</v>
      </c>
      <c r="H86" s="378">
        <v>51137</v>
      </c>
      <c r="I86" s="379">
        <v>4818</v>
      </c>
      <c r="J86" s="334">
        <f>357713+343246.5+115529.5+51137</f>
        <v>867626</v>
      </c>
      <c r="K86" s="338">
        <f>33400+31498+10192+4818</f>
        <v>79908</v>
      </c>
      <c r="L86" s="297">
        <v>40942</v>
      </c>
    </row>
    <row r="87" spans="1:12" ht="12" customHeight="1">
      <c r="A87" s="311">
        <v>84</v>
      </c>
      <c r="B87" s="532" t="s">
        <v>648</v>
      </c>
      <c r="C87" s="319" t="s">
        <v>650</v>
      </c>
      <c r="D87" s="320">
        <v>40991</v>
      </c>
      <c r="E87" s="288" t="s">
        <v>68</v>
      </c>
      <c r="F87" s="346">
        <v>20</v>
      </c>
      <c r="G87" s="312">
        <v>1</v>
      </c>
      <c r="H87" s="382">
        <v>50858.29</v>
      </c>
      <c r="I87" s="383">
        <v>5799</v>
      </c>
      <c r="J87" s="328">
        <f>50858.29</f>
        <v>50858.29</v>
      </c>
      <c r="K87" s="344">
        <f>5799</f>
        <v>5799</v>
      </c>
      <c r="L87" s="297">
        <v>40991</v>
      </c>
    </row>
    <row r="88" spans="1:12" ht="12" customHeight="1">
      <c r="A88" s="311">
        <v>85</v>
      </c>
      <c r="B88" s="361" t="s">
        <v>540</v>
      </c>
      <c r="C88" s="319"/>
      <c r="D88" s="320">
        <v>40956</v>
      </c>
      <c r="E88" s="288" t="s">
        <v>68</v>
      </c>
      <c r="F88" s="312">
        <v>440</v>
      </c>
      <c r="G88" s="312">
        <v>12</v>
      </c>
      <c r="H88" s="382">
        <v>50635.81</v>
      </c>
      <c r="I88" s="383">
        <v>9069</v>
      </c>
      <c r="J88" s="328">
        <f>21413320.22+14038209.72+8091830.8+5223667.88+2812594.76+1480814.82+955933.78+528159.45+298145.03+198476.43+95958.51+50635.81</f>
        <v>55187747.21</v>
      </c>
      <c r="K88" s="344">
        <f>2475453+1630117+937421+623418+343374+183619+118367+65562+39148+26637+13128+9069</f>
        <v>6465313</v>
      </c>
      <c r="L88" s="297">
        <v>41033</v>
      </c>
    </row>
    <row r="89" spans="1:12" ht="12" customHeight="1">
      <c r="A89" s="311">
        <v>86</v>
      </c>
      <c r="B89" s="532" t="s">
        <v>104</v>
      </c>
      <c r="C89" s="312" t="s">
        <v>107</v>
      </c>
      <c r="D89" s="320">
        <v>40879</v>
      </c>
      <c r="E89" s="288" t="s">
        <v>53</v>
      </c>
      <c r="F89" s="312">
        <v>135</v>
      </c>
      <c r="G89" s="346">
        <v>8</v>
      </c>
      <c r="H89" s="378">
        <v>50480.5</v>
      </c>
      <c r="I89" s="379">
        <v>7727</v>
      </c>
      <c r="J89" s="334">
        <f>1709882.25+1194489.75+708906.5+376327+70+197271.5+73341.5+70692.5+50480.5</f>
        <v>4381461.5</v>
      </c>
      <c r="K89" s="338">
        <f>195314+135261+80447+45395+10+25625+10302+10950+7727</f>
        <v>511031</v>
      </c>
      <c r="L89" s="297">
        <v>40928</v>
      </c>
    </row>
    <row r="90" spans="1:12" ht="12" customHeight="1">
      <c r="A90" s="311">
        <v>87</v>
      </c>
      <c r="B90" s="360" t="s">
        <v>689</v>
      </c>
      <c r="D90" s="297">
        <v>41005</v>
      </c>
      <c r="E90" s="288" t="s">
        <v>53</v>
      </c>
      <c r="F90" s="312">
        <v>80</v>
      </c>
      <c r="G90" s="346">
        <v>3</v>
      </c>
      <c r="H90" s="378">
        <v>49223.93</v>
      </c>
      <c r="I90" s="379">
        <v>6947</v>
      </c>
      <c r="J90" s="492">
        <f>211710.1+106331.38+49223.93</f>
        <v>367265.41</v>
      </c>
      <c r="K90" s="493">
        <f>27542+13996+6947</f>
        <v>48485</v>
      </c>
      <c r="L90" s="297">
        <v>41019</v>
      </c>
    </row>
    <row r="91" spans="1:12" ht="12" customHeight="1">
      <c r="A91" s="311">
        <v>88</v>
      </c>
      <c r="B91" s="361" t="s">
        <v>778</v>
      </c>
      <c r="C91" s="319" t="s">
        <v>780</v>
      </c>
      <c r="D91" s="320">
        <v>41033</v>
      </c>
      <c r="E91" s="288" t="s">
        <v>68</v>
      </c>
      <c r="F91" s="312">
        <v>32</v>
      </c>
      <c r="G91" s="312">
        <v>1</v>
      </c>
      <c r="H91" s="382">
        <v>47895.5</v>
      </c>
      <c r="I91" s="383">
        <v>4434</v>
      </c>
      <c r="J91" s="328">
        <f>47895.5</f>
        <v>47895.5</v>
      </c>
      <c r="K91" s="344">
        <f>4434</f>
        <v>4434</v>
      </c>
      <c r="L91" s="297">
        <v>41033</v>
      </c>
    </row>
    <row r="92" spans="1:12" ht="12" customHeight="1">
      <c r="A92" s="311">
        <v>89</v>
      </c>
      <c r="B92" s="361" t="s">
        <v>616</v>
      </c>
      <c r="C92" s="288" t="s">
        <v>617</v>
      </c>
      <c r="D92" s="320">
        <v>40984</v>
      </c>
      <c r="E92" s="288" t="s">
        <v>52</v>
      </c>
      <c r="F92" s="313">
        <v>206</v>
      </c>
      <c r="G92" s="525">
        <v>3</v>
      </c>
      <c r="H92" s="378">
        <v>46934.73</v>
      </c>
      <c r="I92" s="379">
        <v>6636</v>
      </c>
      <c r="J92" s="334">
        <f>376045.29+143161.82+46934.73</f>
        <v>566141.84</v>
      </c>
      <c r="K92" s="338">
        <f>44286+18212+6636</f>
        <v>69134</v>
      </c>
      <c r="L92" s="297">
        <v>40998</v>
      </c>
    </row>
    <row r="93" spans="1:12" ht="12" customHeight="1">
      <c r="A93" s="311">
        <v>90</v>
      </c>
      <c r="B93" s="361" t="s">
        <v>833</v>
      </c>
      <c r="C93" s="319" t="s">
        <v>834</v>
      </c>
      <c r="D93" s="370">
        <v>41040</v>
      </c>
      <c r="E93" s="288" t="s">
        <v>68</v>
      </c>
      <c r="F93" s="312">
        <v>37</v>
      </c>
      <c r="G93" s="312">
        <v>1</v>
      </c>
      <c r="H93" s="382">
        <v>45605.82</v>
      </c>
      <c r="I93" s="383">
        <v>4934</v>
      </c>
      <c r="J93" s="328">
        <f>45605.82</f>
        <v>45605.82</v>
      </c>
      <c r="K93" s="344">
        <f>4934</f>
        <v>4934</v>
      </c>
      <c r="L93" s="297">
        <v>41040</v>
      </c>
    </row>
    <row r="94" spans="1:12" ht="12" customHeight="1">
      <c r="A94" s="311">
        <v>91</v>
      </c>
      <c r="B94" s="533" t="s">
        <v>98</v>
      </c>
      <c r="C94" s="312" t="s">
        <v>99</v>
      </c>
      <c r="D94" s="297">
        <v>40872</v>
      </c>
      <c r="E94" s="288" t="s">
        <v>10</v>
      </c>
      <c r="F94" s="312">
        <v>277</v>
      </c>
      <c r="G94" s="331">
        <v>9</v>
      </c>
      <c r="H94" s="380">
        <v>39245</v>
      </c>
      <c r="I94" s="381">
        <v>5888</v>
      </c>
      <c r="J94" s="342">
        <v>10931231</v>
      </c>
      <c r="K94" s="343">
        <v>1169145</v>
      </c>
      <c r="L94" s="297">
        <v>40928</v>
      </c>
    </row>
    <row r="95" spans="1:12" ht="12" customHeight="1">
      <c r="A95" s="311">
        <v>92</v>
      </c>
      <c r="B95" s="361" t="s">
        <v>648</v>
      </c>
      <c r="C95" s="319" t="s">
        <v>650</v>
      </c>
      <c r="D95" s="320">
        <v>40991</v>
      </c>
      <c r="E95" s="288" t="s">
        <v>68</v>
      </c>
      <c r="F95" s="345">
        <v>20</v>
      </c>
      <c r="G95" s="522">
        <v>2</v>
      </c>
      <c r="H95" s="382">
        <v>38451.47</v>
      </c>
      <c r="I95" s="383">
        <v>4385</v>
      </c>
      <c r="J95" s="328">
        <f>50858.29+38451.47</f>
        <v>89309.76000000001</v>
      </c>
      <c r="K95" s="344">
        <f>5799+4385</f>
        <v>10184</v>
      </c>
      <c r="L95" s="297">
        <v>40998</v>
      </c>
    </row>
    <row r="96" spans="1:12" ht="12" customHeight="1">
      <c r="A96" s="311">
        <v>93</v>
      </c>
      <c r="B96" s="362" t="s">
        <v>717</v>
      </c>
      <c r="C96" s="312"/>
      <c r="D96" s="320">
        <v>41012</v>
      </c>
      <c r="E96" s="288" t="s">
        <v>68</v>
      </c>
      <c r="F96" s="312">
        <v>25</v>
      </c>
      <c r="G96" s="312">
        <v>4</v>
      </c>
      <c r="H96" s="382">
        <v>38445.4</v>
      </c>
      <c r="I96" s="383">
        <v>4441</v>
      </c>
      <c r="J96" s="328">
        <f>181931+118209+64048.02+38445.4</f>
        <v>402633.42000000004</v>
      </c>
      <c r="K96" s="344">
        <f>16563+10701+6525+4441</f>
        <v>38230</v>
      </c>
      <c r="L96" s="297">
        <v>41033</v>
      </c>
    </row>
    <row r="97" spans="1:12" ht="12" customHeight="1">
      <c r="A97" s="311">
        <v>94</v>
      </c>
      <c r="B97" s="361" t="s">
        <v>775</v>
      </c>
      <c r="C97" s="319" t="s">
        <v>776</v>
      </c>
      <c r="D97" s="370">
        <v>40998</v>
      </c>
      <c r="E97" s="288" t="s">
        <v>8</v>
      </c>
      <c r="F97" s="340">
        <v>51</v>
      </c>
      <c r="G97" s="340">
        <v>2</v>
      </c>
      <c r="H97" s="382">
        <v>37580</v>
      </c>
      <c r="I97" s="383">
        <v>4436</v>
      </c>
      <c r="J97" s="328">
        <v>101938</v>
      </c>
      <c r="K97" s="344">
        <v>11383</v>
      </c>
      <c r="L97" s="297">
        <v>41040</v>
      </c>
    </row>
    <row r="98" spans="1:12" ht="12" customHeight="1">
      <c r="A98" s="311">
        <v>95</v>
      </c>
      <c r="B98" s="360" t="s">
        <v>618</v>
      </c>
      <c r="C98" s="288" t="s">
        <v>621</v>
      </c>
      <c r="D98" s="297">
        <v>40984</v>
      </c>
      <c r="E98" s="288" t="s">
        <v>53</v>
      </c>
      <c r="F98" s="312">
        <v>121</v>
      </c>
      <c r="G98" s="345">
        <v>4</v>
      </c>
      <c r="H98" s="378">
        <v>37019.89</v>
      </c>
      <c r="I98" s="379">
        <v>5262</v>
      </c>
      <c r="J98" s="492">
        <f>473567.49+256734.07+139144.54+37019.89</f>
        <v>906465.9900000001</v>
      </c>
      <c r="K98" s="493">
        <f>52358+28804+16705+5262</f>
        <v>103129</v>
      </c>
      <c r="L98" s="297">
        <v>41005</v>
      </c>
    </row>
    <row r="99" spans="1:12" ht="12" customHeight="1">
      <c r="A99" s="311">
        <v>96</v>
      </c>
      <c r="B99" s="365" t="s">
        <v>130</v>
      </c>
      <c r="C99" s="312" t="s">
        <v>131</v>
      </c>
      <c r="D99" s="297">
        <v>40893</v>
      </c>
      <c r="E99" s="288" t="s">
        <v>8</v>
      </c>
      <c r="F99" s="340">
        <v>131</v>
      </c>
      <c r="G99" s="340">
        <v>11</v>
      </c>
      <c r="H99" s="382">
        <v>33707</v>
      </c>
      <c r="I99" s="383">
        <v>4300</v>
      </c>
      <c r="J99" s="328">
        <v>15464802</v>
      </c>
      <c r="K99" s="344">
        <v>1729952</v>
      </c>
      <c r="L99" s="297">
        <v>40963</v>
      </c>
    </row>
    <row r="100" spans="1:12" ht="12" customHeight="1">
      <c r="A100" s="311">
        <v>97</v>
      </c>
      <c r="B100" s="534" t="s">
        <v>599</v>
      </c>
      <c r="C100" s="288" t="s">
        <v>602</v>
      </c>
      <c r="D100" s="297">
        <v>40977</v>
      </c>
      <c r="E100" s="288" t="s">
        <v>53</v>
      </c>
      <c r="F100" s="312">
        <v>85</v>
      </c>
      <c r="G100" s="346">
        <v>2</v>
      </c>
      <c r="H100" s="378">
        <v>30009.91</v>
      </c>
      <c r="I100" s="379">
        <v>3925</v>
      </c>
      <c r="J100" s="334">
        <f>70303.72+30009.91</f>
        <v>100313.63</v>
      </c>
      <c r="K100" s="338">
        <f>9206+3925</f>
        <v>13131</v>
      </c>
      <c r="L100" s="297">
        <v>40984</v>
      </c>
    </row>
    <row r="101" spans="1:12" ht="12" customHeight="1">
      <c r="A101" s="311">
        <v>98</v>
      </c>
      <c r="B101" s="361" t="s">
        <v>616</v>
      </c>
      <c r="D101" s="320">
        <v>40984</v>
      </c>
      <c r="E101" s="288" t="s">
        <v>52</v>
      </c>
      <c r="F101" s="313">
        <v>206</v>
      </c>
      <c r="G101" s="313">
        <v>5</v>
      </c>
      <c r="H101" s="480">
        <v>29937</v>
      </c>
      <c r="I101" s="481">
        <v>5878</v>
      </c>
      <c r="J101" s="335">
        <f>376045.29+143161.82+46934.73+8862.5+29937</f>
        <v>604941.34</v>
      </c>
      <c r="K101" s="336">
        <f>44286+18212+6636+1295+5878</f>
        <v>76307</v>
      </c>
      <c r="L101" s="297">
        <v>41012</v>
      </c>
    </row>
    <row r="102" spans="1:12" ht="12" customHeight="1">
      <c r="A102" s="311">
        <v>99</v>
      </c>
      <c r="B102" s="361" t="s">
        <v>764</v>
      </c>
      <c r="C102" s="319" t="s">
        <v>766</v>
      </c>
      <c r="D102" s="320">
        <v>41026</v>
      </c>
      <c r="E102" s="288" t="s">
        <v>68</v>
      </c>
      <c r="F102" s="312">
        <v>30</v>
      </c>
      <c r="G102" s="312">
        <v>2</v>
      </c>
      <c r="H102" s="382">
        <v>27846.05</v>
      </c>
      <c r="I102" s="383">
        <v>3064</v>
      </c>
      <c r="J102" s="328">
        <f>58936.99+27846.05</f>
        <v>86783.04</v>
      </c>
      <c r="K102" s="344">
        <f>6042+3064</f>
        <v>9106</v>
      </c>
      <c r="L102" s="297">
        <v>41033</v>
      </c>
    </row>
    <row r="103" spans="1:12" ht="12" customHeight="1">
      <c r="A103" s="311">
        <v>100</v>
      </c>
      <c r="B103" s="366" t="s">
        <v>583</v>
      </c>
      <c r="C103" s="340"/>
      <c r="D103" s="369">
        <v>40970</v>
      </c>
      <c r="E103" s="288" t="s">
        <v>12</v>
      </c>
      <c r="F103" s="312">
        <v>285</v>
      </c>
      <c r="G103" s="312">
        <v>9</v>
      </c>
      <c r="H103" s="378">
        <v>27795</v>
      </c>
      <c r="I103" s="379">
        <v>3602</v>
      </c>
      <c r="J103" s="334">
        <v>14168311</v>
      </c>
      <c r="K103" s="338">
        <v>1585328</v>
      </c>
      <c r="L103" s="297">
        <v>41026</v>
      </c>
    </row>
    <row r="104" spans="1:12" ht="12" customHeight="1">
      <c r="A104" s="311">
        <v>101</v>
      </c>
      <c r="B104" s="534" t="s">
        <v>113</v>
      </c>
      <c r="C104" s="312" t="s">
        <v>115</v>
      </c>
      <c r="D104" s="320">
        <v>40886</v>
      </c>
      <c r="E104" s="288" t="s">
        <v>114</v>
      </c>
      <c r="F104" s="312">
        <v>82</v>
      </c>
      <c r="G104" s="331">
        <v>4</v>
      </c>
      <c r="H104" s="472">
        <v>27702.5</v>
      </c>
      <c r="I104" s="473">
        <v>3949</v>
      </c>
      <c r="J104" s="450">
        <v>629561</v>
      </c>
      <c r="K104" s="451">
        <v>71923</v>
      </c>
      <c r="L104" s="297">
        <v>40907</v>
      </c>
    </row>
    <row r="105" spans="1:12" ht="12" customHeight="1">
      <c r="A105" s="311">
        <v>102</v>
      </c>
      <c r="B105" s="361" t="s">
        <v>778</v>
      </c>
      <c r="C105" s="319" t="s">
        <v>780</v>
      </c>
      <c r="D105" s="370">
        <v>41033</v>
      </c>
      <c r="E105" s="288" t="s">
        <v>68</v>
      </c>
      <c r="F105" s="312">
        <v>32</v>
      </c>
      <c r="G105" s="312">
        <v>2</v>
      </c>
      <c r="H105" s="382">
        <v>27071</v>
      </c>
      <c r="I105" s="383">
        <v>2905</v>
      </c>
      <c r="J105" s="328">
        <f>47895.5+27071</f>
        <v>74966.5</v>
      </c>
      <c r="K105" s="344">
        <f>4434+2905</f>
        <v>7339</v>
      </c>
      <c r="L105" s="297">
        <v>41040</v>
      </c>
    </row>
    <row r="106" spans="1:12" ht="12" customHeight="1">
      <c r="A106" s="311">
        <v>103</v>
      </c>
      <c r="B106" s="360" t="s">
        <v>689</v>
      </c>
      <c r="C106" s="340"/>
      <c r="D106" s="369">
        <v>41005</v>
      </c>
      <c r="E106" s="288" t="s">
        <v>53</v>
      </c>
      <c r="F106" s="312">
        <v>80</v>
      </c>
      <c r="G106" s="346">
        <v>4</v>
      </c>
      <c r="H106" s="378">
        <v>25731.34</v>
      </c>
      <c r="I106" s="379">
        <v>3731</v>
      </c>
      <c r="J106" s="334">
        <f>211710.1+106331.38+49223.93+25731.34</f>
        <v>392996.75</v>
      </c>
      <c r="K106" s="493">
        <f>27542+13996+6947+3731</f>
        <v>52216</v>
      </c>
      <c r="L106" s="297">
        <v>41026</v>
      </c>
    </row>
    <row r="107" spans="1:12" ht="12" customHeight="1">
      <c r="A107" s="311">
        <v>104</v>
      </c>
      <c r="B107" s="360" t="s">
        <v>836</v>
      </c>
      <c r="C107" s="288" t="s">
        <v>835</v>
      </c>
      <c r="D107" s="369">
        <v>41010</v>
      </c>
      <c r="E107" s="288" t="s">
        <v>53</v>
      </c>
      <c r="F107" s="312">
        <v>67</v>
      </c>
      <c r="G107" s="346">
        <v>1</v>
      </c>
      <c r="H107" s="378">
        <v>25633.5</v>
      </c>
      <c r="I107" s="379">
        <v>2104</v>
      </c>
      <c r="J107" s="334">
        <f>25633.5</f>
        <v>25633.5</v>
      </c>
      <c r="K107" s="338">
        <f>2104</f>
        <v>2104</v>
      </c>
      <c r="L107" s="297">
        <v>41040</v>
      </c>
    </row>
    <row r="108" spans="1:12" ht="12" customHeight="1">
      <c r="A108" s="311">
        <v>105</v>
      </c>
      <c r="B108" s="362" t="s">
        <v>717</v>
      </c>
      <c r="C108" s="312"/>
      <c r="D108" s="370">
        <v>41012</v>
      </c>
      <c r="E108" s="288" t="s">
        <v>68</v>
      </c>
      <c r="F108" s="312">
        <v>25</v>
      </c>
      <c r="G108" s="312">
        <v>5</v>
      </c>
      <c r="H108" s="382">
        <v>25300.68</v>
      </c>
      <c r="I108" s="383">
        <v>2948</v>
      </c>
      <c r="J108" s="328">
        <f>181931+118209+64048.02+38445.4+25300.68</f>
        <v>427934.10000000003</v>
      </c>
      <c r="K108" s="344">
        <f>16563+10701+6525+4441+2948</f>
        <v>41178</v>
      </c>
      <c r="L108" s="297">
        <v>41040</v>
      </c>
    </row>
    <row r="109" spans="1:12" ht="12" customHeight="1">
      <c r="A109" s="311">
        <v>106</v>
      </c>
      <c r="B109" s="458" t="s">
        <v>509</v>
      </c>
      <c r="C109" s="312" t="s">
        <v>500</v>
      </c>
      <c r="D109" s="320">
        <v>40942</v>
      </c>
      <c r="E109" s="288" t="s">
        <v>53</v>
      </c>
      <c r="F109" s="346">
        <v>95</v>
      </c>
      <c r="G109" s="346">
        <v>3</v>
      </c>
      <c r="H109" s="378">
        <v>25288.04</v>
      </c>
      <c r="I109" s="379">
        <v>3105</v>
      </c>
      <c r="J109" s="334">
        <f>166893.1+124753.91+25288.04</f>
        <v>316935.05</v>
      </c>
      <c r="K109" s="338">
        <f>18839+14893+3105</f>
        <v>36837</v>
      </c>
      <c r="L109" s="297">
        <v>40956</v>
      </c>
    </row>
    <row r="110" spans="1:12" ht="12" customHeight="1">
      <c r="A110" s="311">
        <v>107</v>
      </c>
      <c r="B110" s="532" t="s">
        <v>334</v>
      </c>
      <c r="C110" s="288" t="s">
        <v>335</v>
      </c>
      <c r="D110" s="320">
        <v>40921</v>
      </c>
      <c r="E110" s="288" t="s">
        <v>52</v>
      </c>
      <c r="F110" s="312">
        <v>49</v>
      </c>
      <c r="G110" s="312">
        <v>5</v>
      </c>
      <c r="H110" s="378">
        <v>24830.5</v>
      </c>
      <c r="I110" s="379">
        <v>3004</v>
      </c>
      <c r="J110" s="334">
        <f>357713+343246.5+115529.5+51137+24830.5</f>
        <v>892456.5</v>
      </c>
      <c r="K110" s="338">
        <f>33400+31498+10192+4818+3004</f>
        <v>82912</v>
      </c>
      <c r="L110" s="297">
        <v>40949</v>
      </c>
    </row>
    <row r="111" spans="1:12" ht="12" customHeight="1">
      <c r="A111" s="311">
        <v>108</v>
      </c>
      <c r="B111" s="361" t="s">
        <v>642</v>
      </c>
      <c r="D111" s="320">
        <v>40991</v>
      </c>
      <c r="E111" s="288" t="s">
        <v>52</v>
      </c>
      <c r="F111" s="313">
        <v>47</v>
      </c>
      <c r="G111" s="313">
        <v>4</v>
      </c>
      <c r="H111" s="480">
        <v>24071.39</v>
      </c>
      <c r="I111" s="481">
        <v>3513</v>
      </c>
      <c r="J111" s="335">
        <f>119520.52+71717.42+18156+24071.39</f>
        <v>233465.33000000002</v>
      </c>
      <c r="K111" s="336">
        <f>13074+7819+2352+3513</f>
        <v>26758</v>
      </c>
      <c r="L111" s="297">
        <v>41012</v>
      </c>
    </row>
    <row r="112" spans="1:12" ht="12" customHeight="1">
      <c r="A112" s="311">
        <v>109</v>
      </c>
      <c r="B112" s="457" t="s">
        <v>109</v>
      </c>
      <c r="C112" s="312" t="s">
        <v>110</v>
      </c>
      <c r="D112" s="320">
        <v>40886</v>
      </c>
      <c r="E112" s="288" t="s">
        <v>12</v>
      </c>
      <c r="F112" s="312">
        <v>161</v>
      </c>
      <c r="G112" s="312">
        <v>4</v>
      </c>
      <c r="H112" s="378">
        <v>23157</v>
      </c>
      <c r="I112" s="379">
        <v>3682</v>
      </c>
      <c r="J112" s="334">
        <v>853031</v>
      </c>
      <c r="K112" s="338">
        <v>102752</v>
      </c>
      <c r="L112" s="297">
        <v>40907</v>
      </c>
    </row>
    <row r="113" spans="1:12" ht="12" customHeight="1">
      <c r="A113" s="311">
        <v>110</v>
      </c>
      <c r="B113" s="361" t="s">
        <v>648</v>
      </c>
      <c r="C113" s="319" t="s">
        <v>650</v>
      </c>
      <c r="D113" s="320">
        <v>40991</v>
      </c>
      <c r="E113" s="288" t="s">
        <v>68</v>
      </c>
      <c r="F113" s="346">
        <v>20</v>
      </c>
      <c r="G113" s="313">
        <v>3</v>
      </c>
      <c r="H113" s="382">
        <v>23135.83</v>
      </c>
      <c r="I113" s="383">
        <v>2913</v>
      </c>
      <c r="J113" s="328">
        <f>50858.29+38451.47+23135.83</f>
        <v>112445.59000000001</v>
      </c>
      <c r="K113" s="344">
        <f>5799+4385+2913</f>
        <v>13097</v>
      </c>
      <c r="L113" s="297">
        <v>41005</v>
      </c>
    </row>
    <row r="114" spans="1:12" ht="12" customHeight="1">
      <c r="A114" s="311">
        <v>111</v>
      </c>
      <c r="B114" s="361" t="s">
        <v>540</v>
      </c>
      <c r="C114" s="319"/>
      <c r="D114" s="370">
        <v>40956</v>
      </c>
      <c r="E114" s="288" t="s">
        <v>68</v>
      </c>
      <c r="F114" s="312">
        <v>440</v>
      </c>
      <c r="G114" s="312">
        <v>13</v>
      </c>
      <c r="H114" s="382">
        <v>22068.5</v>
      </c>
      <c r="I114" s="383">
        <v>3464</v>
      </c>
      <c r="J114" s="328">
        <f>21413320.22+14038209.72+8091830.8+5223667.88+2812594.76+1480814.82+955933.78+528159.45+298145.03+198476.43+95958.51+50635.81+22068.5</f>
        <v>55209815.71</v>
      </c>
      <c r="K114" s="344">
        <f>2475453+1630117+937421+623418+343374+183619+118367+65562+39148+26637+13128+9069+3464</f>
        <v>6468777</v>
      </c>
      <c r="L114" s="297">
        <v>41040</v>
      </c>
    </row>
    <row r="115" spans="1:12" ht="12" customHeight="1">
      <c r="A115" s="311">
        <v>112</v>
      </c>
      <c r="B115" s="365" t="s">
        <v>484</v>
      </c>
      <c r="C115" s="312" t="s">
        <v>305</v>
      </c>
      <c r="D115" s="297">
        <v>40935</v>
      </c>
      <c r="E115" s="288" t="s">
        <v>12</v>
      </c>
      <c r="F115" s="340">
        <v>352</v>
      </c>
      <c r="G115" s="312">
        <v>7</v>
      </c>
      <c r="H115" s="378">
        <v>21582</v>
      </c>
      <c r="I115" s="379">
        <v>3600</v>
      </c>
      <c r="J115" s="334">
        <v>18123994</v>
      </c>
      <c r="K115" s="338">
        <v>1962199</v>
      </c>
      <c r="L115" s="297">
        <v>40977</v>
      </c>
    </row>
    <row r="116" spans="1:12" ht="12" customHeight="1">
      <c r="A116" s="311">
        <v>113</v>
      </c>
      <c r="B116" s="457" t="s">
        <v>101</v>
      </c>
      <c r="C116" s="339" t="s">
        <v>116</v>
      </c>
      <c r="D116" s="320">
        <v>40879</v>
      </c>
      <c r="E116" s="288" t="s">
        <v>68</v>
      </c>
      <c r="F116" s="312">
        <v>202</v>
      </c>
      <c r="G116" s="312">
        <v>14</v>
      </c>
      <c r="H116" s="382">
        <v>21051.01</v>
      </c>
      <c r="I116" s="383">
        <v>5321</v>
      </c>
      <c r="J116" s="328">
        <f>1080241.5+1088121+871543+502064+300294.5+131358.5+96969.5+68985+9253.5+5204.5+1760.5+2732.5+950.5+21051.01</f>
        <v>4180529.51</v>
      </c>
      <c r="K116" s="344">
        <f>121812+123965+100674+61096+39726+19116+14898+10338+1416+922+322+523+190+5321</f>
        <v>500319</v>
      </c>
      <c r="L116" s="297">
        <v>40977</v>
      </c>
    </row>
    <row r="117" spans="1:12" ht="12" customHeight="1">
      <c r="A117" s="311">
        <v>114</v>
      </c>
      <c r="B117" s="457" t="s">
        <v>132</v>
      </c>
      <c r="C117" s="312" t="s">
        <v>119</v>
      </c>
      <c r="D117" s="320">
        <v>40893</v>
      </c>
      <c r="E117" s="288" t="s">
        <v>68</v>
      </c>
      <c r="F117" s="312">
        <v>23</v>
      </c>
      <c r="G117" s="312">
        <v>3</v>
      </c>
      <c r="H117" s="382">
        <v>20298.5</v>
      </c>
      <c r="I117" s="383">
        <v>2691</v>
      </c>
      <c r="J117" s="328">
        <f>53228.5+28585+20298.5</f>
        <v>102112</v>
      </c>
      <c r="K117" s="344">
        <f>6440+3537+2691</f>
        <v>12668</v>
      </c>
      <c r="L117" s="297">
        <v>40907</v>
      </c>
    </row>
    <row r="118" spans="1:12" ht="12" customHeight="1">
      <c r="A118" s="311">
        <v>115</v>
      </c>
      <c r="B118" s="361" t="s">
        <v>642</v>
      </c>
      <c r="C118" s="340"/>
      <c r="D118" s="370">
        <v>40991</v>
      </c>
      <c r="E118" s="288" t="s">
        <v>52</v>
      </c>
      <c r="F118" s="312">
        <v>47</v>
      </c>
      <c r="G118" s="312">
        <v>6</v>
      </c>
      <c r="H118" s="378">
        <v>20074.76</v>
      </c>
      <c r="I118" s="379">
        <v>2733</v>
      </c>
      <c r="J118" s="334">
        <v>270447.59</v>
      </c>
      <c r="K118" s="338">
        <v>31937</v>
      </c>
      <c r="L118" s="297">
        <v>41026</v>
      </c>
    </row>
    <row r="119" spans="1:12" ht="12" customHeight="1">
      <c r="A119" s="311">
        <v>116</v>
      </c>
      <c r="B119" s="365" t="s">
        <v>484</v>
      </c>
      <c r="C119" s="312" t="s">
        <v>305</v>
      </c>
      <c r="D119" s="297">
        <v>40935</v>
      </c>
      <c r="E119" s="288" t="s">
        <v>12</v>
      </c>
      <c r="F119" s="340">
        <v>352</v>
      </c>
      <c r="G119" s="312">
        <v>8</v>
      </c>
      <c r="H119" s="378">
        <v>19532</v>
      </c>
      <c r="I119" s="379">
        <v>3595</v>
      </c>
      <c r="J119" s="334">
        <v>18143526</v>
      </c>
      <c r="K119" s="338">
        <v>1965794</v>
      </c>
      <c r="L119" s="297">
        <v>40984</v>
      </c>
    </row>
    <row r="120" spans="1:12" ht="12" customHeight="1">
      <c r="A120" s="311">
        <v>117</v>
      </c>
      <c r="B120" s="458" t="s">
        <v>137</v>
      </c>
      <c r="C120" s="288" t="s">
        <v>106</v>
      </c>
      <c r="D120" s="320">
        <v>40900</v>
      </c>
      <c r="E120" s="288" t="s">
        <v>52</v>
      </c>
      <c r="F120" s="331">
        <v>14</v>
      </c>
      <c r="G120" s="331">
        <v>2</v>
      </c>
      <c r="H120" s="474">
        <v>19458.5</v>
      </c>
      <c r="I120" s="475">
        <v>1850</v>
      </c>
      <c r="J120" s="330">
        <f>43848.5+19458.5</f>
        <v>63307</v>
      </c>
      <c r="K120" s="338">
        <f>3764+1850</f>
        <v>5614</v>
      </c>
      <c r="L120" s="297">
        <v>40907</v>
      </c>
    </row>
    <row r="121" spans="1:12" ht="12" customHeight="1">
      <c r="A121" s="311">
        <v>118</v>
      </c>
      <c r="B121" s="360" t="s">
        <v>770</v>
      </c>
      <c r="C121" s="312" t="s">
        <v>771</v>
      </c>
      <c r="D121" s="320">
        <v>41033</v>
      </c>
      <c r="E121" s="288" t="s">
        <v>289</v>
      </c>
      <c r="F121" s="312">
        <v>2</v>
      </c>
      <c r="G121" s="312">
        <v>1</v>
      </c>
      <c r="H121" s="378">
        <v>18799</v>
      </c>
      <c r="I121" s="379">
        <v>1884</v>
      </c>
      <c r="J121" s="334">
        <v>18799</v>
      </c>
      <c r="K121" s="338">
        <v>1884</v>
      </c>
      <c r="L121" s="297">
        <v>41033</v>
      </c>
    </row>
    <row r="122" spans="1:12" ht="12" customHeight="1">
      <c r="A122" s="311">
        <v>119</v>
      </c>
      <c r="B122" s="361" t="s">
        <v>642</v>
      </c>
      <c r="C122" s="288" t="s">
        <v>643</v>
      </c>
      <c r="D122" s="320">
        <v>40991</v>
      </c>
      <c r="E122" s="288" t="s">
        <v>52</v>
      </c>
      <c r="F122" s="312">
        <v>47</v>
      </c>
      <c r="G122" s="313">
        <v>3</v>
      </c>
      <c r="H122" s="378">
        <v>18156</v>
      </c>
      <c r="I122" s="379">
        <v>2352</v>
      </c>
      <c r="J122" s="334">
        <f>119520.52+71717.42+18156</f>
        <v>209393.94</v>
      </c>
      <c r="K122" s="338">
        <f>13074+7819+2352</f>
        <v>23245</v>
      </c>
      <c r="L122" s="297">
        <v>41005</v>
      </c>
    </row>
    <row r="123" spans="1:12" ht="12" customHeight="1">
      <c r="A123" s="311">
        <v>120</v>
      </c>
      <c r="B123" s="365" t="s">
        <v>294</v>
      </c>
      <c r="C123" s="340" t="s">
        <v>296</v>
      </c>
      <c r="D123" s="320">
        <v>40914</v>
      </c>
      <c r="E123" s="288" t="s">
        <v>53</v>
      </c>
      <c r="F123" s="346">
        <v>97</v>
      </c>
      <c r="G123" s="346">
        <v>4</v>
      </c>
      <c r="H123" s="378">
        <v>18051.79</v>
      </c>
      <c r="I123" s="379">
        <v>2440</v>
      </c>
      <c r="J123" s="334">
        <f>216520+198358.5+149589.5+18051.79</f>
        <v>582519.79</v>
      </c>
      <c r="K123" s="338">
        <f>26831+25025+19383+2440</f>
        <v>73679</v>
      </c>
      <c r="L123" s="297">
        <v>40935</v>
      </c>
    </row>
    <row r="124" spans="1:12" ht="12" customHeight="1">
      <c r="A124" s="311">
        <v>121</v>
      </c>
      <c r="B124" s="361" t="s">
        <v>668</v>
      </c>
      <c r="D124" s="320">
        <v>40998</v>
      </c>
      <c r="E124" s="288" t="s">
        <v>68</v>
      </c>
      <c r="F124" s="345">
        <v>109</v>
      </c>
      <c r="G124" s="313">
        <v>3</v>
      </c>
      <c r="H124" s="468">
        <v>17385.27</v>
      </c>
      <c r="I124" s="469">
        <v>2548</v>
      </c>
      <c r="J124" s="317">
        <f>141737.5+69212.99+17385.27</f>
        <v>228335.75999999998</v>
      </c>
      <c r="K124" s="368">
        <f>15777+8169+2548</f>
        <v>26494</v>
      </c>
      <c r="L124" s="297">
        <v>41012</v>
      </c>
    </row>
    <row r="125" spans="1:12" ht="12" customHeight="1">
      <c r="A125" s="311">
        <v>122</v>
      </c>
      <c r="B125" s="457" t="s">
        <v>67</v>
      </c>
      <c r="C125" s="339" t="s">
        <v>85</v>
      </c>
      <c r="D125" s="320">
        <v>40844</v>
      </c>
      <c r="E125" s="288" t="s">
        <v>68</v>
      </c>
      <c r="F125" s="312">
        <v>278</v>
      </c>
      <c r="G125" s="312">
        <v>13</v>
      </c>
      <c r="H125" s="382">
        <v>17226.5</v>
      </c>
      <c r="I125" s="383">
        <v>2090</v>
      </c>
      <c r="J125" s="328">
        <f>2021467.25+4147826.75+1641146.5+1086471.5+837723.5+353523.5+115157+12431.5+1554+13261.5+3397.5+17222.5+17226.5</f>
        <v>10268409.5</v>
      </c>
      <c r="K125" s="344">
        <f>231121+459388+190384+130345+104513+46481+14878+1830+250+1860+737+1888+2090</f>
        <v>1185765</v>
      </c>
      <c r="L125" s="297">
        <v>40928</v>
      </c>
    </row>
    <row r="126" spans="1:12" ht="12" customHeight="1">
      <c r="A126" s="311">
        <v>123</v>
      </c>
      <c r="B126" s="457" t="s">
        <v>67</v>
      </c>
      <c r="C126" s="339" t="s">
        <v>85</v>
      </c>
      <c r="D126" s="320">
        <v>40844</v>
      </c>
      <c r="E126" s="288" t="s">
        <v>68</v>
      </c>
      <c r="F126" s="312">
        <v>278</v>
      </c>
      <c r="G126" s="312">
        <v>12</v>
      </c>
      <c r="H126" s="382">
        <v>17222.5</v>
      </c>
      <c r="I126" s="383">
        <v>1888</v>
      </c>
      <c r="J126" s="328">
        <f>2021467.25+4147826.75+1641146.5+1086471.5+837723.5+353523.5+115157+12431.5+1554+13261.5+3397.5+17222.5</f>
        <v>10251183</v>
      </c>
      <c r="K126" s="344">
        <f>231121+459388+190384+130345+104513+46481+14878+1830+250+1860+737+1888</f>
        <v>1183675</v>
      </c>
      <c r="L126" s="297">
        <v>40921</v>
      </c>
    </row>
    <row r="127" spans="1:12" ht="12" customHeight="1">
      <c r="A127" s="311">
        <v>124</v>
      </c>
      <c r="B127" s="361" t="s">
        <v>642</v>
      </c>
      <c r="D127" s="320">
        <v>40991</v>
      </c>
      <c r="E127" s="288" t="s">
        <v>52</v>
      </c>
      <c r="F127" s="312">
        <v>47</v>
      </c>
      <c r="G127" s="312">
        <v>5</v>
      </c>
      <c r="H127" s="378">
        <v>16907.5</v>
      </c>
      <c r="I127" s="379">
        <v>2446</v>
      </c>
      <c r="J127" s="334">
        <v>250372.83</v>
      </c>
      <c r="K127" s="338">
        <v>29204</v>
      </c>
      <c r="L127" s="297">
        <v>41019</v>
      </c>
    </row>
    <row r="128" spans="1:12" ht="12" customHeight="1">
      <c r="A128" s="311">
        <v>125</v>
      </c>
      <c r="B128" s="457" t="s">
        <v>140</v>
      </c>
      <c r="C128" s="312" t="s">
        <v>188</v>
      </c>
      <c r="D128" s="320">
        <v>40900</v>
      </c>
      <c r="E128" s="288" t="s">
        <v>68</v>
      </c>
      <c r="F128" s="312">
        <v>197</v>
      </c>
      <c r="G128" s="312">
        <v>6</v>
      </c>
      <c r="H128" s="382">
        <v>16105.51</v>
      </c>
      <c r="I128" s="383">
        <v>3413</v>
      </c>
      <c r="J128" s="328">
        <f>985836.5+657011.5+454728.5+206461+72029+16105.51</f>
        <v>2392172.01</v>
      </c>
      <c r="K128" s="344">
        <f>106718+73176+50608+29114+10776+3413</f>
        <v>273805</v>
      </c>
      <c r="L128" s="297">
        <v>40935</v>
      </c>
    </row>
    <row r="129" spans="1:12" ht="12" customHeight="1">
      <c r="A129" s="311">
        <v>126</v>
      </c>
      <c r="B129" s="360" t="s">
        <v>841</v>
      </c>
      <c r="C129" s="312" t="s">
        <v>771</v>
      </c>
      <c r="D129" s="370">
        <v>41033</v>
      </c>
      <c r="E129" s="288" t="s">
        <v>289</v>
      </c>
      <c r="F129" s="312">
        <v>2</v>
      </c>
      <c r="G129" s="312">
        <v>2</v>
      </c>
      <c r="H129" s="378">
        <v>14366</v>
      </c>
      <c r="I129" s="379">
        <v>1460</v>
      </c>
      <c r="J129" s="334">
        <v>33165</v>
      </c>
      <c r="K129" s="338">
        <v>3344</v>
      </c>
      <c r="L129" s="297">
        <v>41040</v>
      </c>
    </row>
    <row r="130" spans="1:12" ht="12" customHeight="1">
      <c r="A130" s="311">
        <v>127</v>
      </c>
      <c r="B130" s="457" t="s">
        <v>67</v>
      </c>
      <c r="C130" s="339" t="s">
        <v>85</v>
      </c>
      <c r="D130" s="320">
        <v>40844</v>
      </c>
      <c r="E130" s="288" t="s">
        <v>68</v>
      </c>
      <c r="F130" s="312">
        <v>278</v>
      </c>
      <c r="G130" s="312">
        <v>10</v>
      </c>
      <c r="H130" s="382">
        <v>13261.5</v>
      </c>
      <c r="I130" s="383">
        <v>1860</v>
      </c>
      <c r="J130" s="328">
        <f>2021467.25+4147826.75+1641146.5+1086471.5+837723.5+353523.5+115157+12431.5+1554+13261.5</f>
        <v>10230563</v>
      </c>
      <c r="K130" s="344">
        <f>231121+459388+190384+130345+104513+46481+14878+1830+250+1860</f>
        <v>1181050</v>
      </c>
      <c r="L130" s="297">
        <v>40907</v>
      </c>
    </row>
    <row r="131" spans="1:12" ht="12" customHeight="1">
      <c r="A131" s="311">
        <v>128</v>
      </c>
      <c r="B131" s="458" t="s">
        <v>74</v>
      </c>
      <c r="C131" s="331" t="s">
        <v>80</v>
      </c>
      <c r="D131" s="320">
        <v>40851</v>
      </c>
      <c r="E131" s="288" t="s">
        <v>53</v>
      </c>
      <c r="F131" s="340">
        <v>247</v>
      </c>
      <c r="G131" s="346">
        <v>10</v>
      </c>
      <c r="H131" s="378">
        <v>13126</v>
      </c>
      <c r="I131" s="379">
        <v>1975</v>
      </c>
      <c r="J131" s="334">
        <f>2260223+2366876.75+3859638+3137342+1906742.5+252.25+1189485.5+474275+250512+184428+13126</f>
        <v>15642901</v>
      </c>
      <c r="K131" s="338">
        <f>286038+329194+554088+452220+278080+42+178270+68355+40409+33224+1975</f>
        <v>2221895</v>
      </c>
      <c r="L131" s="297">
        <v>40914</v>
      </c>
    </row>
    <row r="132" spans="1:12" ht="12" customHeight="1">
      <c r="A132" s="311">
        <v>129</v>
      </c>
      <c r="B132" s="360" t="s">
        <v>618</v>
      </c>
      <c r="D132" s="297">
        <v>40984</v>
      </c>
      <c r="E132" s="288" t="s">
        <v>53</v>
      </c>
      <c r="F132" s="313">
        <v>121</v>
      </c>
      <c r="G132" s="313">
        <v>5</v>
      </c>
      <c r="H132" s="480">
        <v>12727</v>
      </c>
      <c r="I132" s="481">
        <v>2060</v>
      </c>
      <c r="J132" s="523">
        <f>473567.49+256734.07+139144.54+37019.89+12727</f>
        <v>919192.9900000001</v>
      </c>
      <c r="K132" s="524">
        <f>52358+28804+16705+5262+2060</f>
        <v>105189</v>
      </c>
      <c r="L132" s="297">
        <v>41012</v>
      </c>
    </row>
    <row r="133" spans="1:12" ht="12" customHeight="1">
      <c r="A133" s="311">
        <v>130</v>
      </c>
      <c r="B133" s="361" t="s">
        <v>668</v>
      </c>
      <c r="D133" s="320">
        <v>40998</v>
      </c>
      <c r="E133" s="288" t="s">
        <v>68</v>
      </c>
      <c r="F133" s="346">
        <v>109</v>
      </c>
      <c r="G133" s="312">
        <v>4</v>
      </c>
      <c r="H133" s="382">
        <v>12661</v>
      </c>
      <c r="I133" s="383">
        <v>1919</v>
      </c>
      <c r="J133" s="328">
        <f>141737.5+69212.99+17385.27+12661</f>
        <v>240996.75999999998</v>
      </c>
      <c r="K133" s="344">
        <f>15777+8169+2548+1919</f>
        <v>28413</v>
      </c>
      <c r="L133" s="297">
        <v>41019</v>
      </c>
    </row>
    <row r="134" spans="1:12" ht="12" customHeight="1">
      <c r="A134" s="311">
        <v>131</v>
      </c>
      <c r="B134" s="534" t="s">
        <v>492</v>
      </c>
      <c r="C134" s="312" t="s">
        <v>499</v>
      </c>
      <c r="D134" s="320">
        <v>40942</v>
      </c>
      <c r="E134" s="288" t="s">
        <v>52</v>
      </c>
      <c r="F134" s="312">
        <v>42</v>
      </c>
      <c r="G134" s="312">
        <v>4</v>
      </c>
      <c r="H134" s="382">
        <v>12368</v>
      </c>
      <c r="I134" s="383">
        <v>1836</v>
      </c>
      <c r="J134" s="328">
        <f>162020.35+70285.95+11139.41+12368</f>
        <v>255813.71</v>
      </c>
      <c r="K134" s="344">
        <f>16152+7535+1434+1836</f>
        <v>26957</v>
      </c>
      <c r="L134" s="297">
        <v>40963</v>
      </c>
    </row>
    <row r="135" spans="1:12" ht="12" customHeight="1">
      <c r="A135" s="311">
        <v>132</v>
      </c>
      <c r="B135" s="532" t="s">
        <v>334</v>
      </c>
      <c r="C135" s="288" t="s">
        <v>335</v>
      </c>
      <c r="D135" s="320">
        <v>40921</v>
      </c>
      <c r="E135" s="288" t="s">
        <v>52</v>
      </c>
      <c r="F135" s="312">
        <v>49</v>
      </c>
      <c r="G135" s="312">
        <v>6</v>
      </c>
      <c r="H135" s="378">
        <v>11883</v>
      </c>
      <c r="I135" s="379">
        <v>1638</v>
      </c>
      <c r="J135" s="334">
        <f>357713+343246.5+115529.5+51137+24830.5+11883</f>
        <v>904339.5</v>
      </c>
      <c r="K135" s="338">
        <f>33400+31498+10192+4818+3004+1638</f>
        <v>84550</v>
      </c>
      <c r="L135" s="297">
        <v>40956</v>
      </c>
    </row>
    <row r="136" spans="1:12" ht="12" customHeight="1">
      <c r="A136" s="311">
        <v>133</v>
      </c>
      <c r="B136" s="361" t="s">
        <v>764</v>
      </c>
      <c r="C136" s="319" t="s">
        <v>766</v>
      </c>
      <c r="D136" s="370">
        <v>41026</v>
      </c>
      <c r="E136" s="288" t="s">
        <v>68</v>
      </c>
      <c r="F136" s="312">
        <v>30</v>
      </c>
      <c r="G136" s="312">
        <v>3</v>
      </c>
      <c r="H136" s="382">
        <v>11659.99</v>
      </c>
      <c r="I136" s="383">
        <v>1514</v>
      </c>
      <c r="J136" s="328">
        <f>58936.99+27846.05+11659.99</f>
        <v>98443.03</v>
      </c>
      <c r="K136" s="344">
        <f>6042+3064+1514</f>
        <v>10620</v>
      </c>
      <c r="L136" s="297">
        <v>41040</v>
      </c>
    </row>
    <row r="137" spans="1:12" ht="12" customHeight="1">
      <c r="A137" s="311">
        <v>134</v>
      </c>
      <c r="B137" s="457" t="s">
        <v>109</v>
      </c>
      <c r="C137" s="312" t="s">
        <v>110</v>
      </c>
      <c r="D137" s="320">
        <v>40886</v>
      </c>
      <c r="E137" s="288" t="s">
        <v>12</v>
      </c>
      <c r="F137" s="312">
        <v>161</v>
      </c>
      <c r="G137" s="312">
        <v>5</v>
      </c>
      <c r="H137" s="378">
        <v>11189</v>
      </c>
      <c r="I137" s="379">
        <v>1816</v>
      </c>
      <c r="J137" s="334">
        <v>864220</v>
      </c>
      <c r="K137" s="338">
        <v>104568</v>
      </c>
      <c r="L137" s="297">
        <v>40914</v>
      </c>
    </row>
    <row r="138" spans="1:12" ht="12" customHeight="1">
      <c r="A138" s="311">
        <v>135</v>
      </c>
      <c r="B138" s="534" t="s">
        <v>492</v>
      </c>
      <c r="C138" s="312" t="s">
        <v>499</v>
      </c>
      <c r="D138" s="320">
        <v>40942</v>
      </c>
      <c r="E138" s="288" t="s">
        <v>52</v>
      </c>
      <c r="F138" s="312">
        <v>42</v>
      </c>
      <c r="G138" s="312">
        <v>3</v>
      </c>
      <c r="H138" s="378">
        <v>11139.41</v>
      </c>
      <c r="I138" s="379">
        <v>1434</v>
      </c>
      <c r="J138" s="334">
        <f>162020.35+70285.95+11139.41</f>
        <v>243445.71</v>
      </c>
      <c r="K138" s="338">
        <f>16152+7535+1434</f>
        <v>25121</v>
      </c>
      <c r="L138" s="297">
        <v>40956</v>
      </c>
    </row>
    <row r="139" spans="1:12" ht="12" customHeight="1">
      <c r="A139" s="311">
        <v>136</v>
      </c>
      <c r="B139" s="360" t="s">
        <v>689</v>
      </c>
      <c r="C139" s="340"/>
      <c r="D139" s="297">
        <v>41005</v>
      </c>
      <c r="E139" s="288" t="s">
        <v>53</v>
      </c>
      <c r="F139" s="346">
        <v>80</v>
      </c>
      <c r="G139" s="346">
        <v>5</v>
      </c>
      <c r="H139" s="378">
        <v>10951.5</v>
      </c>
      <c r="I139" s="379">
        <v>1656</v>
      </c>
      <c r="J139" s="492">
        <f>211710.1+106331.38+49223.93+25731.34+10951.5</f>
        <v>403948.25</v>
      </c>
      <c r="K139" s="493">
        <f>27542+13996+6947+3731+1656</f>
        <v>53872</v>
      </c>
      <c r="L139" s="297">
        <v>41033</v>
      </c>
    </row>
    <row r="140" spans="1:12" ht="12" customHeight="1">
      <c r="A140" s="311">
        <v>137</v>
      </c>
      <c r="B140" s="362" t="s">
        <v>269</v>
      </c>
      <c r="D140" s="320">
        <v>41012</v>
      </c>
      <c r="E140" s="288" t="s">
        <v>52</v>
      </c>
      <c r="F140" s="313">
        <v>19</v>
      </c>
      <c r="G140" s="313">
        <v>1</v>
      </c>
      <c r="H140" s="480">
        <v>10633.62</v>
      </c>
      <c r="I140" s="481">
        <v>1211</v>
      </c>
      <c r="J140" s="335">
        <v>10633.62</v>
      </c>
      <c r="K140" s="336">
        <v>1211</v>
      </c>
      <c r="L140" s="297">
        <v>41012</v>
      </c>
    </row>
    <row r="141" spans="1:12" ht="12" customHeight="1">
      <c r="A141" s="311">
        <v>138</v>
      </c>
      <c r="B141" s="361" t="s">
        <v>648</v>
      </c>
      <c r="D141" s="320">
        <v>40991</v>
      </c>
      <c r="E141" s="288" t="s">
        <v>68</v>
      </c>
      <c r="F141" s="345">
        <v>20</v>
      </c>
      <c r="G141" s="313">
        <v>4</v>
      </c>
      <c r="H141" s="468">
        <v>10325.02</v>
      </c>
      <c r="I141" s="469">
        <v>1485</v>
      </c>
      <c r="J141" s="317">
        <f>50858.29+38451.47+23135.83+10325.02</f>
        <v>122770.61000000002</v>
      </c>
      <c r="K141" s="368">
        <f>5799+4385+2913+1485</f>
        <v>14582</v>
      </c>
      <c r="L141" s="297">
        <v>41012</v>
      </c>
    </row>
    <row r="142" spans="1:12" ht="12" customHeight="1">
      <c r="A142" s="311">
        <v>139</v>
      </c>
      <c r="B142" s="366" t="s">
        <v>583</v>
      </c>
      <c r="C142" s="340"/>
      <c r="D142" s="297">
        <v>40970</v>
      </c>
      <c r="E142" s="288" t="s">
        <v>12</v>
      </c>
      <c r="F142" s="312">
        <v>285</v>
      </c>
      <c r="G142" s="312">
        <v>10</v>
      </c>
      <c r="H142" s="378">
        <v>10271</v>
      </c>
      <c r="I142" s="379">
        <v>1347</v>
      </c>
      <c r="J142" s="334">
        <v>14178582</v>
      </c>
      <c r="K142" s="338">
        <v>1586675</v>
      </c>
      <c r="L142" s="297">
        <v>41033</v>
      </c>
    </row>
    <row r="143" spans="1:12" ht="12" customHeight="1">
      <c r="A143" s="311">
        <v>140</v>
      </c>
      <c r="B143" s="532" t="s">
        <v>104</v>
      </c>
      <c r="C143" s="312" t="s">
        <v>107</v>
      </c>
      <c r="D143" s="320">
        <v>40879</v>
      </c>
      <c r="E143" s="288" t="s">
        <v>53</v>
      </c>
      <c r="F143" s="312">
        <v>135</v>
      </c>
      <c r="G143" s="346">
        <v>9</v>
      </c>
      <c r="H143" s="378">
        <v>9953.5</v>
      </c>
      <c r="I143" s="379">
        <v>1402</v>
      </c>
      <c r="J143" s="334">
        <f>1709882.25+1194489.75+708906.5+376327+70+197271.5+73341.5+70692.5+50480.5+9953.5</f>
        <v>4391415</v>
      </c>
      <c r="K143" s="338">
        <f>195314+135261+80447+45395+10+25625+10302+10950+7727+1402</f>
        <v>512433</v>
      </c>
      <c r="L143" s="297">
        <v>40935</v>
      </c>
    </row>
    <row r="144" spans="1:12" ht="12" customHeight="1">
      <c r="A144" s="311">
        <v>141</v>
      </c>
      <c r="B144" s="361" t="s">
        <v>648</v>
      </c>
      <c r="C144" s="312"/>
      <c r="D144" s="370">
        <v>40991</v>
      </c>
      <c r="E144" s="288" t="s">
        <v>68</v>
      </c>
      <c r="F144" s="346">
        <v>20</v>
      </c>
      <c r="G144" s="312">
        <v>6</v>
      </c>
      <c r="H144" s="468">
        <v>9951</v>
      </c>
      <c r="I144" s="469">
        <v>1503</v>
      </c>
      <c r="J144" s="317">
        <f>50858.29+38451.47+23135.83+10325.02+9081+9951</f>
        <v>141802.61000000002</v>
      </c>
      <c r="K144" s="368">
        <f>5799+4385+2913+1485+1324+1503</f>
        <v>17409</v>
      </c>
      <c r="L144" s="297">
        <v>41026</v>
      </c>
    </row>
    <row r="145" spans="1:12" ht="12" customHeight="1">
      <c r="A145" s="311">
        <v>142</v>
      </c>
      <c r="B145" s="457" t="s">
        <v>109</v>
      </c>
      <c r="C145" s="312" t="s">
        <v>110</v>
      </c>
      <c r="D145" s="320">
        <v>40886</v>
      </c>
      <c r="E145" s="288" t="s">
        <v>12</v>
      </c>
      <c r="F145" s="312">
        <v>161</v>
      </c>
      <c r="G145" s="312">
        <v>6</v>
      </c>
      <c r="H145" s="378">
        <v>9906</v>
      </c>
      <c r="I145" s="379">
        <v>1845</v>
      </c>
      <c r="J145" s="334">
        <v>874126</v>
      </c>
      <c r="K145" s="338">
        <v>106413</v>
      </c>
      <c r="L145" s="297">
        <v>40921</v>
      </c>
    </row>
    <row r="146" spans="1:12" ht="12" customHeight="1">
      <c r="A146" s="311">
        <v>143</v>
      </c>
      <c r="B146" s="361" t="s">
        <v>668</v>
      </c>
      <c r="C146" s="288"/>
      <c r="D146" s="370">
        <v>40998</v>
      </c>
      <c r="E146" s="288" t="s">
        <v>68</v>
      </c>
      <c r="F146" s="346">
        <v>109</v>
      </c>
      <c r="G146" s="312">
        <v>5</v>
      </c>
      <c r="H146" s="468">
        <v>9645</v>
      </c>
      <c r="I146" s="469">
        <v>1615</v>
      </c>
      <c r="J146" s="317">
        <f>141737.5+69212.99+17385.27+12661+9645</f>
        <v>250641.75999999998</v>
      </c>
      <c r="K146" s="368">
        <f>15777+8169+2548+1919+1615</f>
        <v>30028</v>
      </c>
      <c r="L146" s="297">
        <v>41026</v>
      </c>
    </row>
    <row r="147" spans="1:12" ht="12" customHeight="1">
      <c r="A147" s="311">
        <v>144</v>
      </c>
      <c r="B147" s="360" t="s">
        <v>727</v>
      </c>
      <c r="D147" s="320">
        <v>41019</v>
      </c>
      <c r="E147" s="288" t="s">
        <v>53</v>
      </c>
      <c r="F147" s="312">
        <v>10</v>
      </c>
      <c r="G147" s="346">
        <v>1</v>
      </c>
      <c r="H147" s="378">
        <v>9511.47</v>
      </c>
      <c r="I147" s="379">
        <v>1194</v>
      </c>
      <c r="J147" s="334">
        <f>9511.47</f>
        <v>9511.47</v>
      </c>
      <c r="K147" s="338">
        <f>1194</f>
        <v>1194</v>
      </c>
      <c r="L147" s="297">
        <v>41019</v>
      </c>
    </row>
    <row r="148" spans="1:12" ht="12" customHeight="1">
      <c r="A148" s="311">
        <v>145</v>
      </c>
      <c r="B148" s="457" t="s">
        <v>101</v>
      </c>
      <c r="C148" s="339" t="s">
        <v>116</v>
      </c>
      <c r="D148" s="320">
        <v>40879</v>
      </c>
      <c r="E148" s="288" t="s">
        <v>68</v>
      </c>
      <c r="F148" s="312">
        <v>202</v>
      </c>
      <c r="G148" s="312">
        <v>9</v>
      </c>
      <c r="H148" s="382">
        <v>9253.5</v>
      </c>
      <c r="I148" s="383">
        <v>1416</v>
      </c>
      <c r="J148" s="328">
        <f>1080241.5+1088121+871543+502064+300294.5+131358.5+96969.5+68985+9253.5</f>
        <v>4148830.5</v>
      </c>
      <c r="K148" s="344">
        <f>121812+123965+100674+61096+39726+19116+14898+10338+1416</f>
        <v>493041</v>
      </c>
      <c r="L148" s="297">
        <v>40935</v>
      </c>
    </row>
    <row r="149" spans="1:12" ht="12" customHeight="1">
      <c r="A149" s="311">
        <v>146</v>
      </c>
      <c r="B149" s="361" t="s">
        <v>648</v>
      </c>
      <c r="D149" s="320">
        <v>40991</v>
      </c>
      <c r="E149" s="288" t="s">
        <v>68</v>
      </c>
      <c r="F149" s="346">
        <v>20</v>
      </c>
      <c r="G149" s="312">
        <v>5</v>
      </c>
      <c r="H149" s="382">
        <v>9081</v>
      </c>
      <c r="I149" s="383">
        <v>1324</v>
      </c>
      <c r="J149" s="328">
        <f>50858.29+38451.47+23135.83+10325.02+9081</f>
        <v>131851.61000000002</v>
      </c>
      <c r="K149" s="344">
        <f>5799+4385+2913+1485+1324</f>
        <v>15906</v>
      </c>
      <c r="L149" s="297">
        <v>41019</v>
      </c>
    </row>
    <row r="150" spans="1:12" ht="12" customHeight="1">
      <c r="A150" s="311">
        <v>147</v>
      </c>
      <c r="B150" s="361" t="s">
        <v>616</v>
      </c>
      <c r="C150" s="288" t="s">
        <v>617</v>
      </c>
      <c r="D150" s="320">
        <v>40984</v>
      </c>
      <c r="E150" s="288" t="s">
        <v>52</v>
      </c>
      <c r="F150" s="312">
        <v>206</v>
      </c>
      <c r="G150" s="313">
        <v>4</v>
      </c>
      <c r="H150" s="378">
        <v>8862.5</v>
      </c>
      <c r="I150" s="379">
        <v>1295</v>
      </c>
      <c r="J150" s="334">
        <f>376045.29+143161.82+46934.73+8862.5</f>
        <v>575004.34</v>
      </c>
      <c r="K150" s="338">
        <f>44286+18212+6636+1295</f>
        <v>70429</v>
      </c>
      <c r="L150" s="297">
        <v>41005</v>
      </c>
    </row>
    <row r="151" spans="1:12" ht="12" customHeight="1">
      <c r="A151" s="311">
        <v>148</v>
      </c>
      <c r="B151" s="532" t="s">
        <v>71</v>
      </c>
      <c r="C151" s="312" t="s">
        <v>82</v>
      </c>
      <c r="D151" s="297">
        <v>40858</v>
      </c>
      <c r="E151" s="288" t="s">
        <v>53</v>
      </c>
      <c r="F151" s="312">
        <v>130</v>
      </c>
      <c r="G151" s="346">
        <v>8</v>
      </c>
      <c r="H151" s="378">
        <v>8754</v>
      </c>
      <c r="I151" s="379">
        <v>1547</v>
      </c>
      <c r="J151" s="334">
        <f>665902+436506+215139.5+18371+13790+6539+18719+8754</f>
        <v>1383720.5</v>
      </c>
      <c r="K151" s="338">
        <f>66262+44749+24699+2311+1764+1135+3015+1547</f>
        <v>145482</v>
      </c>
      <c r="L151" s="297">
        <v>40907</v>
      </c>
    </row>
    <row r="152" spans="1:12" ht="12" customHeight="1">
      <c r="A152" s="311">
        <v>149</v>
      </c>
      <c r="B152" s="361" t="s">
        <v>642</v>
      </c>
      <c r="C152" s="340" t="s">
        <v>643</v>
      </c>
      <c r="D152" s="320">
        <v>40991</v>
      </c>
      <c r="E152" s="288" t="s">
        <v>52</v>
      </c>
      <c r="F152" s="312">
        <v>47</v>
      </c>
      <c r="G152" s="312">
        <v>7</v>
      </c>
      <c r="H152" s="378">
        <v>8571</v>
      </c>
      <c r="I152" s="379">
        <v>1234</v>
      </c>
      <c r="J152" s="334">
        <v>279018.59</v>
      </c>
      <c r="K152" s="338">
        <v>33171</v>
      </c>
      <c r="L152" s="297">
        <v>41033</v>
      </c>
    </row>
    <row r="153" spans="1:12" ht="12" customHeight="1">
      <c r="A153" s="311">
        <v>150</v>
      </c>
      <c r="B153" s="365" t="s">
        <v>484</v>
      </c>
      <c r="C153" s="312" t="s">
        <v>305</v>
      </c>
      <c r="D153" s="297">
        <v>40935</v>
      </c>
      <c r="E153" s="288" t="s">
        <v>12</v>
      </c>
      <c r="F153" s="340">
        <v>352</v>
      </c>
      <c r="G153" s="312">
        <v>9</v>
      </c>
      <c r="H153" s="378">
        <v>8536</v>
      </c>
      <c r="I153" s="379">
        <v>1691</v>
      </c>
      <c r="J153" s="334">
        <v>18152062</v>
      </c>
      <c r="K153" s="338">
        <v>1967485</v>
      </c>
      <c r="L153" s="297">
        <v>40991</v>
      </c>
    </row>
    <row r="154" spans="1:12" ht="12" customHeight="1">
      <c r="A154" s="311">
        <v>151</v>
      </c>
      <c r="B154" s="534" t="s">
        <v>599</v>
      </c>
      <c r="C154" s="288" t="s">
        <v>602</v>
      </c>
      <c r="D154" s="297">
        <v>40977</v>
      </c>
      <c r="E154" s="288" t="s">
        <v>53</v>
      </c>
      <c r="F154" s="312">
        <v>85</v>
      </c>
      <c r="G154" s="346">
        <v>3</v>
      </c>
      <c r="H154" s="378">
        <v>8450.36</v>
      </c>
      <c r="I154" s="379">
        <v>1180</v>
      </c>
      <c r="J154" s="334">
        <f>70303.72+30009.91+8450.36</f>
        <v>108763.99</v>
      </c>
      <c r="K154" s="338">
        <f>9206+3925+1180</f>
        <v>14311</v>
      </c>
      <c r="L154" s="297">
        <v>40991</v>
      </c>
    </row>
    <row r="155" spans="1:12" ht="12" customHeight="1">
      <c r="A155" s="311">
        <v>152</v>
      </c>
      <c r="B155" s="457" t="s">
        <v>132</v>
      </c>
      <c r="C155" s="312" t="s">
        <v>119</v>
      </c>
      <c r="D155" s="320">
        <v>40893</v>
      </c>
      <c r="E155" s="288" t="s">
        <v>68</v>
      </c>
      <c r="F155" s="312">
        <v>23</v>
      </c>
      <c r="G155" s="312">
        <v>4</v>
      </c>
      <c r="H155" s="382">
        <v>8299</v>
      </c>
      <c r="I155" s="383">
        <v>1237</v>
      </c>
      <c r="J155" s="328">
        <f>53228.5+28585+20298.5+8299</f>
        <v>110411</v>
      </c>
      <c r="K155" s="344">
        <f>6440+3537+2691+1237</f>
        <v>13905</v>
      </c>
      <c r="L155" s="297">
        <v>40914</v>
      </c>
    </row>
    <row r="156" spans="1:12" ht="12" customHeight="1">
      <c r="A156" s="311">
        <v>153</v>
      </c>
      <c r="B156" s="532" t="s">
        <v>334</v>
      </c>
      <c r="C156" s="288" t="s">
        <v>335</v>
      </c>
      <c r="D156" s="320">
        <v>40921</v>
      </c>
      <c r="E156" s="288" t="s">
        <v>52</v>
      </c>
      <c r="F156" s="312">
        <v>49</v>
      </c>
      <c r="G156" s="312">
        <v>7</v>
      </c>
      <c r="H156" s="382">
        <v>8256</v>
      </c>
      <c r="I156" s="383">
        <v>1139</v>
      </c>
      <c r="J156" s="328">
        <f>357713+343246.5+115529.5+51137+24830.5+11883+8256</f>
        <v>912595.5</v>
      </c>
      <c r="K156" s="344">
        <f>33400+31498+10192+4818+3004+1638+1139</f>
        <v>85689</v>
      </c>
      <c r="L156" s="297">
        <v>40963</v>
      </c>
    </row>
    <row r="157" spans="1:12" ht="12" customHeight="1">
      <c r="A157" s="311">
        <v>154</v>
      </c>
      <c r="B157" s="360" t="s">
        <v>618</v>
      </c>
      <c r="D157" s="297">
        <v>40984</v>
      </c>
      <c r="E157" s="288" t="s">
        <v>53</v>
      </c>
      <c r="F157" s="312">
        <v>121</v>
      </c>
      <c r="G157" s="346">
        <v>6</v>
      </c>
      <c r="H157" s="378">
        <v>8216.5</v>
      </c>
      <c r="I157" s="379">
        <v>1531</v>
      </c>
      <c r="J157" s="492">
        <f>473567.49+256734.07+139144.54+37019.89+12727+8216.5</f>
        <v>927409.4900000001</v>
      </c>
      <c r="K157" s="493">
        <f>52358+28804+16705+5262+2060+1531</f>
        <v>106720</v>
      </c>
      <c r="L157" s="297">
        <v>41019</v>
      </c>
    </row>
    <row r="158" spans="1:12" ht="12" customHeight="1">
      <c r="A158" s="311">
        <v>155</v>
      </c>
      <c r="B158" s="534" t="s">
        <v>113</v>
      </c>
      <c r="C158" s="312" t="s">
        <v>115</v>
      </c>
      <c r="D158" s="320">
        <v>40886</v>
      </c>
      <c r="E158" s="288" t="s">
        <v>114</v>
      </c>
      <c r="F158" s="312">
        <v>82</v>
      </c>
      <c r="G158" s="331">
        <v>5</v>
      </c>
      <c r="H158" s="472">
        <v>8167.5</v>
      </c>
      <c r="I158" s="473">
        <v>1300</v>
      </c>
      <c r="J158" s="450">
        <v>637877</v>
      </c>
      <c r="K158" s="451">
        <v>73245</v>
      </c>
      <c r="L158" s="297">
        <v>40914</v>
      </c>
    </row>
    <row r="159" spans="1:12" ht="12" customHeight="1">
      <c r="A159" s="311">
        <v>156</v>
      </c>
      <c r="B159" s="360" t="s">
        <v>689</v>
      </c>
      <c r="C159" s="340"/>
      <c r="D159" s="369">
        <v>41005</v>
      </c>
      <c r="E159" s="288" t="s">
        <v>53</v>
      </c>
      <c r="F159" s="346">
        <v>80</v>
      </c>
      <c r="G159" s="346">
        <v>6</v>
      </c>
      <c r="H159" s="378">
        <v>7304</v>
      </c>
      <c r="I159" s="379">
        <v>1208</v>
      </c>
      <c r="J159" s="334">
        <f>211710.1+106331.38+49223.93+25731.34+10951.5+7304</f>
        <v>411252.25</v>
      </c>
      <c r="K159" s="338">
        <f>27542+13996+6947+3731+1656+1208</f>
        <v>55080</v>
      </c>
      <c r="L159" s="297">
        <v>41040</v>
      </c>
    </row>
    <row r="160" spans="1:12" ht="12" customHeight="1">
      <c r="A160" s="311">
        <v>157</v>
      </c>
      <c r="B160" s="364" t="s">
        <v>484</v>
      </c>
      <c r="D160" s="297">
        <v>40935</v>
      </c>
      <c r="E160" s="288" t="s">
        <v>12</v>
      </c>
      <c r="F160" s="340">
        <v>352</v>
      </c>
      <c r="G160" s="312">
        <v>13</v>
      </c>
      <c r="H160" s="378">
        <v>7182</v>
      </c>
      <c r="I160" s="379">
        <v>1204</v>
      </c>
      <c r="J160" s="334">
        <v>18167607</v>
      </c>
      <c r="K160" s="338">
        <v>1970728</v>
      </c>
      <c r="L160" s="297">
        <v>41019</v>
      </c>
    </row>
    <row r="161" spans="1:12" ht="12" customHeight="1">
      <c r="A161" s="311">
        <v>158</v>
      </c>
      <c r="B161" s="533" t="s">
        <v>98</v>
      </c>
      <c r="C161" s="312" t="s">
        <v>99</v>
      </c>
      <c r="D161" s="297">
        <v>40872</v>
      </c>
      <c r="E161" s="288" t="s">
        <v>10</v>
      </c>
      <c r="F161" s="312">
        <v>277</v>
      </c>
      <c r="G161" s="331">
        <v>13</v>
      </c>
      <c r="H161" s="382">
        <v>7140</v>
      </c>
      <c r="I161" s="383">
        <v>1666</v>
      </c>
      <c r="J161" s="328">
        <v>10945899</v>
      </c>
      <c r="K161" s="344">
        <v>1172189</v>
      </c>
      <c r="L161" s="297">
        <v>40956</v>
      </c>
    </row>
    <row r="162" spans="1:12" ht="12" customHeight="1">
      <c r="A162" s="311">
        <v>159</v>
      </c>
      <c r="B162" s="532" t="s">
        <v>100</v>
      </c>
      <c r="C162" s="312" t="s">
        <v>108</v>
      </c>
      <c r="D162" s="320">
        <v>40879</v>
      </c>
      <c r="E162" s="288" t="s">
        <v>8</v>
      </c>
      <c r="F162" s="312">
        <v>39</v>
      </c>
      <c r="G162" s="340">
        <v>5</v>
      </c>
      <c r="H162" s="382">
        <v>6888</v>
      </c>
      <c r="I162" s="383">
        <v>1032</v>
      </c>
      <c r="J162" s="328">
        <v>207860</v>
      </c>
      <c r="K162" s="344">
        <v>22859</v>
      </c>
      <c r="L162" s="297">
        <v>40907</v>
      </c>
    </row>
    <row r="163" spans="1:12" ht="12" customHeight="1">
      <c r="A163" s="311">
        <v>160</v>
      </c>
      <c r="B163" s="361" t="s">
        <v>616</v>
      </c>
      <c r="C163" s="340"/>
      <c r="D163" s="370">
        <v>40984</v>
      </c>
      <c r="E163" s="288" t="s">
        <v>52</v>
      </c>
      <c r="F163" s="312">
        <v>206</v>
      </c>
      <c r="G163" s="312">
        <v>7</v>
      </c>
      <c r="H163" s="378">
        <v>6575</v>
      </c>
      <c r="I163" s="379">
        <v>1335</v>
      </c>
      <c r="J163" s="334">
        <v>613145.34</v>
      </c>
      <c r="K163" s="338">
        <v>77908</v>
      </c>
      <c r="L163" s="297">
        <v>41026</v>
      </c>
    </row>
    <row r="164" spans="1:12" ht="12" customHeight="1">
      <c r="A164" s="311">
        <v>161</v>
      </c>
      <c r="B164" s="457" t="s">
        <v>132</v>
      </c>
      <c r="C164" s="312" t="s">
        <v>119</v>
      </c>
      <c r="D164" s="320">
        <v>40893</v>
      </c>
      <c r="E164" s="288" t="s">
        <v>68</v>
      </c>
      <c r="F164" s="312">
        <v>23</v>
      </c>
      <c r="G164" s="312">
        <v>6</v>
      </c>
      <c r="H164" s="382">
        <v>6463</v>
      </c>
      <c r="I164" s="383">
        <v>1419</v>
      </c>
      <c r="J164" s="328">
        <f>53228.5+28585+20298.5+8299+5922+6463</f>
        <v>122796</v>
      </c>
      <c r="K164" s="344">
        <f>6440+3537+2691+1237+891+1419</f>
        <v>16215</v>
      </c>
      <c r="L164" s="297">
        <v>40928</v>
      </c>
    </row>
    <row r="165" spans="1:12" ht="12" customHeight="1">
      <c r="A165" s="311">
        <v>162</v>
      </c>
      <c r="B165" s="533" t="s">
        <v>304</v>
      </c>
      <c r="C165" s="312" t="s">
        <v>305</v>
      </c>
      <c r="D165" s="320">
        <v>40914</v>
      </c>
      <c r="E165" s="288" t="s">
        <v>12</v>
      </c>
      <c r="F165" s="312">
        <v>204</v>
      </c>
      <c r="G165" s="312">
        <v>8</v>
      </c>
      <c r="H165" s="382">
        <v>5976</v>
      </c>
      <c r="I165" s="383">
        <v>1120</v>
      </c>
      <c r="J165" s="328">
        <v>5363327</v>
      </c>
      <c r="K165" s="344">
        <v>579180</v>
      </c>
      <c r="L165" s="297">
        <v>40963</v>
      </c>
    </row>
    <row r="166" spans="1:12" ht="12" customHeight="1">
      <c r="A166" s="311">
        <v>163</v>
      </c>
      <c r="B166" s="457" t="s">
        <v>132</v>
      </c>
      <c r="C166" s="312" t="s">
        <v>119</v>
      </c>
      <c r="D166" s="320">
        <v>40893</v>
      </c>
      <c r="E166" s="288" t="s">
        <v>68</v>
      </c>
      <c r="F166" s="312">
        <v>23</v>
      </c>
      <c r="G166" s="312">
        <v>5</v>
      </c>
      <c r="H166" s="382">
        <v>5922</v>
      </c>
      <c r="I166" s="383">
        <v>891</v>
      </c>
      <c r="J166" s="328">
        <f>53228.5+28585+20298.5+8299+5922</f>
        <v>116333</v>
      </c>
      <c r="K166" s="344">
        <f>6440+3537+2691+1237+891</f>
        <v>14796</v>
      </c>
      <c r="L166" s="297">
        <v>40921</v>
      </c>
    </row>
    <row r="167" spans="1:12" ht="12" customHeight="1">
      <c r="A167" s="311">
        <v>164</v>
      </c>
      <c r="B167" s="532" t="s">
        <v>71</v>
      </c>
      <c r="C167" s="312" t="s">
        <v>82</v>
      </c>
      <c r="D167" s="297">
        <v>40858</v>
      </c>
      <c r="E167" s="288" t="s">
        <v>53</v>
      </c>
      <c r="F167" s="312">
        <v>130</v>
      </c>
      <c r="G167" s="346">
        <v>11</v>
      </c>
      <c r="H167" s="378">
        <v>5914</v>
      </c>
      <c r="I167" s="379">
        <v>595</v>
      </c>
      <c r="J167" s="334">
        <f>665902+436506+215139.5+18371+13790+6539+18719+8754+1085+753+5914</f>
        <v>1391472.5</v>
      </c>
      <c r="K167" s="338">
        <f>66262+44749+24699+2311+1764+1135+3015+1547+179+111+595</f>
        <v>146367</v>
      </c>
      <c r="L167" s="297">
        <v>40928</v>
      </c>
    </row>
    <row r="168" spans="1:12" ht="12" customHeight="1">
      <c r="A168" s="311">
        <v>165</v>
      </c>
      <c r="B168" s="457" t="s">
        <v>140</v>
      </c>
      <c r="C168" s="312" t="s">
        <v>188</v>
      </c>
      <c r="D168" s="320">
        <v>40900</v>
      </c>
      <c r="E168" s="288" t="s">
        <v>68</v>
      </c>
      <c r="F168" s="312">
        <v>197</v>
      </c>
      <c r="G168" s="312">
        <v>7</v>
      </c>
      <c r="H168" s="382">
        <v>5902</v>
      </c>
      <c r="I168" s="383">
        <v>1375</v>
      </c>
      <c r="J168" s="328">
        <f>985836.5+657011.5+454728.5+206461+72029+16105.51+5902</f>
        <v>2398074.01</v>
      </c>
      <c r="K168" s="344">
        <f>106718+73176+50608+29114+10776+3413+1375</f>
        <v>275180</v>
      </c>
      <c r="L168" s="297">
        <v>40942</v>
      </c>
    </row>
    <row r="169" spans="1:12" ht="12" customHeight="1">
      <c r="A169" s="311">
        <v>166</v>
      </c>
      <c r="B169" s="534" t="s">
        <v>492</v>
      </c>
      <c r="C169" s="312" t="s">
        <v>499</v>
      </c>
      <c r="D169" s="320">
        <v>40942</v>
      </c>
      <c r="E169" s="288" t="s">
        <v>52</v>
      </c>
      <c r="F169" s="312">
        <v>42</v>
      </c>
      <c r="G169" s="312">
        <v>6</v>
      </c>
      <c r="H169" s="378">
        <v>5840</v>
      </c>
      <c r="I169" s="379">
        <v>977</v>
      </c>
      <c r="J169" s="334">
        <f>162020.35+70285.95+11139.41+12368+4963+5840</f>
        <v>266616.70999999996</v>
      </c>
      <c r="K169" s="338">
        <f>16152+7535+1434+1836+857+977</f>
        <v>28791</v>
      </c>
      <c r="L169" s="297">
        <v>40977</v>
      </c>
    </row>
    <row r="170" spans="1:12" ht="12" customHeight="1">
      <c r="A170" s="311">
        <v>167</v>
      </c>
      <c r="B170" s="457" t="s">
        <v>67</v>
      </c>
      <c r="C170" s="339" t="s">
        <v>85</v>
      </c>
      <c r="D170" s="320">
        <v>40844</v>
      </c>
      <c r="E170" s="288" t="s">
        <v>68</v>
      </c>
      <c r="F170" s="312">
        <v>278</v>
      </c>
      <c r="G170" s="312">
        <v>14</v>
      </c>
      <c r="H170" s="382">
        <v>5821</v>
      </c>
      <c r="I170" s="383">
        <v>661</v>
      </c>
      <c r="J170" s="328">
        <f>2021467.25+4147826.75+1641146.5+1086471.5+837723.5+353523.5+115157+12431.5+1554+13261.5+3397.5+17222.5+17226.5+5821</f>
        <v>10274230.5</v>
      </c>
      <c r="K170" s="344">
        <f>231121+459388+190384+130345+104513+46481+14878+1830+250+1860+737+1888+2090+661</f>
        <v>1186426</v>
      </c>
      <c r="L170" s="297">
        <v>40935</v>
      </c>
    </row>
    <row r="171" spans="1:12" ht="12" customHeight="1">
      <c r="A171" s="311">
        <v>168</v>
      </c>
      <c r="B171" s="360" t="s">
        <v>492</v>
      </c>
      <c r="C171" s="312" t="s">
        <v>499</v>
      </c>
      <c r="D171" s="320">
        <v>40942</v>
      </c>
      <c r="E171" s="288" t="s">
        <v>52</v>
      </c>
      <c r="F171" s="313">
        <v>42</v>
      </c>
      <c r="G171" s="525">
        <v>9</v>
      </c>
      <c r="H171" s="378">
        <v>5726.3</v>
      </c>
      <c r="I171" s="379">
        <v>932</v>
      </c>
      <c r="J171" s="334">
        <f>162020.35+70285.95+11139.41+12368+4963+5840+1580+3663+5726.3</f>
        <v>277586.00999999995</v>
      </c>
      <c r="K171" s="338">
        <f>16152+7535+1434+1836+857+977+218+723+932</f>
        <v>30664</v>
      </c>
      <c r="L171" s="297">
        <v>40998</v>
      </c>
    </row>
    <row r="172" spans="1:12" ht="12" customHeight="1">
      <c r="A172" s="311">
        <v>169</v>
      </c>
      <c r="B172" s="457" t="s">
        <v>73</v>
      </c>
      <c r="C172" s="339" t="s">
        <v>87</v>
      </c>
      <c r="D172" s="320">
        <v>40858</v>
      </c>
      <c r="E172" s="288" t="s">
        <v>68</v>
      </c>
      <c r="F172" s="312">
        <v>32</v>
      </c>
      <c r="G172" s="312">
        <v>8</v>
      </c>
      <c r="H172" s="382">
        <v>5519</v>
      </c>
      <c r="I172" s="383">
        <v>782</v>
      </c>
      <c r="J172" s="328">
        <f>119417+74006.5+30939.5+15734+17682+7740+3814.5+5519</f>
        <v>274852.5</v>
      </c>
      <c r="K172" s="344">
        <f>12383+8559+4204+1986+2778+1301+707+782</f>
        <v>32700</v>
      </c>
      <c r="L172" s="297">
        <v>40907</v>
      </c>
    </row>
    <row r="173" spans="1:12" ht="12" customHeight="1">
      <c r="A173" s="311">
        <v>170</v>
      </c>
      <c r="B173" s="532" t="s">
        <v>100</v>
      </c>
      <c r="C173" s="312" t="s">
        <v>108</v>
      </c>
      <c r="D173" s="320">
        <v>40879</v>
      </c>
      <c r="E173" s="288" t="s">
        <v>8</v>
      </c>
      <c r="F173" s="312">
        <v>39</v>
      </c>
      <c r="G173" s="340">
        <v>6</v>
      </c>
      <c r="H173" s="382">
        <v>5509</v>
      </c>
      <c r="I173" s="383">
        <v>890</v>
      </c>
      <c r="J173" s="328">
        <v>213369</v>
      </c>
      <c r="K173" s="344">
        <v>23749</v>
      </c>
      <c r="L173" s="297">
        <v>40914</v>
      </c>
    </row>
    <row r="174" spans="1:12" ht="12" customHeight="1">
      <c r="A174" s="311">
        <v>171</v>
      </c>
      <c r="B174" s="457" t="s">
        <v>109</v>
      </c>
      <c r="C174" s="312" t="s">
        <v>110</v>
      </c>
      <c r="D174" s="320">
        <v>40886</v>
      </c>
      <c r="E174" s="288" t="s">
        <v>12</v>
      </c>
      <c r="F174" s="312">
        <v>161</v>
      </c>
      <c r="G174" s="312">
        <v>7</v>
      </c>
      <c r="H174" s="378">
        <v>5488</v>
      </c>
      <c r="I174" s="379">
        <v>871</v>
      </c>
      <c r="J174" s="334">
        <v>879619</v>
      </c>
      <c r="K174" s="338">
        <v>107284</v>
      </c>
      <c r="L174" s="297">
        <v>40928</v>
      </c>
    </row>
    <row r="175" spans="1:12" ht="12" customHeight="1">
      <c r="A175" s="311">
        <v>172</v>
      </c>
      <c r="B175" s="458" t="s">
        <v>137</v>
      </c>
      <c r="C175" s="288" t="s">
        <v>106</v>
      </c>
      <c r="D175" s="320">
        <v>40900</v>
      </c>
      <c r="E175" s="288" t="s">
        <v>52</v>
      </c>
      <c r="F175" s="331">
        <v>14</v>
      </c>
      <c r="G175" s="331">
        <v>5</v>
      </c>
      <c r="H175" s="530">
        <v>5447</v>
      </c>
      <c r="I175" s="531">
        <v>752</v>
      </c>
      <c r="J175" s="373">
        <f>43848.5+19458.5+4777+1091+5447</f>
        <v>74622</v>
      </c>
      <c r="K175" s="338">
        <f>3764+1850+439+142+752</f>
        <v>6947</v>
      </c>
      <c r="L175" s="297">
        <v>40928</v>
      </c>
    </row>
    <row r="176" spans="1:12" ht="12" customHeight="1">
      <c r="A176" s="311">
        <v>173</v>
      </c>
      <c r="B176" s="365" t="s">
        <v>294</v>
      </c>
      <c r="C176" s="340" t="s">
        <v>296</v>
      </c>
      <c r="D176" s="320">
        <v>40914</v>
      </c>
      <c r="E176" s="288" t="s">
        <v>53</v>
      </c>
      <c r="F176" s="346">
        <v>97</v>
      </c>
      <c r="G176" s="346">
        <v>5</v>
      </c>
      <c r="H176" s="378">
        <v>5443</v>
      </c>
      <c r="I176" s="379">
        <v>733</v>
      </c>
      <c r="J176" s="334">
        <f>216520+198358.5+149589.5+18051.79+5443</f>
        <v>587962.79</v>
      </c>
      <c r="K176" s="338">
        <f>26831+25025+19383+2440+733</f>
        <v>74412</v>
      </c>
      <c r="L176" s="297">
        <v>40942</v>
      </c>
    </row>
    <row r="177" spans="1:12" ht="12" customHeight="1">
      <c r="A177" s="311">
        <v>174</v>
      </c>
      <c r="B177" s="532" t="s">
        <v>100</v>
      </c>
      <c r="C177" s="312" t="s">
        <v>108</v>
      </c>
      <c r="D177" s="320">
        <v>40879</v>
      </c>
      <c r="E177" s="288" t="s">
        <v>8</v>
      </c>
      <c r="F177" s="312">
        <v>39</v>
      </c>
      <c r="G177" s="340">
        <v>8</v>
      </c>
      <c r="H177" s="380">
        <v>5216</v>
      </c>
      <c r="I177" s="381">
        <v>689</v>
      </c>
      <c r="J177" s="342">
        <v>223515</v>
      </c>
      <c r="K177" s="343">
        <v>25285</v>
      </c>
      <c r="L177" s="297">
        <v>40928</v>
      </c>
    </row>
    <row r="178" spans="1:12" ht="12" customHeight="1">
      <c r="A178" s="311">
        <v>175</v>
      </c>
      <c r="B178" s="457" t="s">
        <v>101</v>
      </c>
      <c r="C178" s="339" t="s">
        <v>116</v>
      </c>
      <c r="D178" s="320">
        <v>40879</v>
      </c>
      <c r="E178" s="288" t="s">
        <v>68</v>
      </c>
      <c r="F178" s="312">
        <v>202</v>
      </c>
      <c r="G178" s="312">
        <v>10</v>
      </c>
      <c r="H178" s="382">
        <v>5204.5</v>
      </c>
      <c r="I178" s="383">
        <v>922</v>
      </c>
      <c r="J178" s="328">
        <f>1080241.5+1088121+871543+502064+300294.5+131358.5+96969.5+68985+9253.5+5204.5</f>
        <v>4154035</v>
      </c>
      <c r="K178" s="344">
        <f>121812+123965+100674+61096+39726+19116+14898+10338+1416+922</f>
        <v>493963</v>
      </c>
      <c r="L178" s="297">
        <v>40942</v>
      </c>
    </row>
    <row r="179" spans="1:12" ht="12" customHeight="1">
      <c r="A179" s="311">
        <v>176</v>
      </c>
      <c r="B179" s="360" t="s">
        <v>727</v>
      </c>
      <c r="C179" s="312" t="s">
        <v>812</v>
      </c>
      <c r="D179" s="370">
        <v>41019</v>
      </c>
      <c r="E179" s="288" t="s">
        <v>53</v>
      </c>
      <c r="F179" s="312">
        <v>10</v>
      </c>
      <c r="G179" s="346">
        <v>2</v>
      </c>
      <c r="H179" s="378">
        <v>5201.92</v>
      </c>
      <c r="I179" s="379">
        <v>685</v>
      </c>
      <c r="J179" s="334">
        <f>9511.47+5201.92</f>
        <v>14713.39</v>
      </c>
      <c r="K179" s="338">
        <f>1194+685</f>
        <v>1879</v>
      </c>
      <c r="L179" s="297">
        <v>41026</v>
      </c>
    </row>
    <row r="180" spans="1:12" ht="12" customHeight="1">
      <c r="A180" s="311">
        <v>177</v>
      </c>
      <c r="B180" s="360" t="s">
        <v>492</v>
      </c>
      <c r="C180" s="312"/>
      <c r="D180" s="370">
        <v>40942</v>
      </c>
      <c r="E180" s="288" t="s">
        <v>52</v>
      </c>
      <c r="F180" s="312">
        <v>42</v>
      </c>
      <c r="G180" s="312">
        <v>13</v>
      </c>
      <c r="H180" s="378">
        <v>5059</v>
      </c>
      <c r="I180" s="379">
        <v>941</v>
      </c>
      <c r="J180" s="334">
        <v>286855.01</v>
      </c>
      <c r="K180" s="338">
        <v>32302</v>
      </c>
      <c r="L180" s="297">
        <v>41026</v>
      </c>
    </row>
    <row r="181" spans="1:12" ht="12" customHeight="1">
      <c r="A181" s="311">
        <v>178</v>
      </c>
      <c r="B181" s="458" t="s">
        <v>74</v>
      </c>
      <c r="C181" s="331" t="s">
        <v>80</v>
      </c>
      <c r="D181" s="320">
        <v>40851</v>
      </c>
      <c r="E181" s="288" t="s">
        <v>53</v>
      </c>
      <c r="F181" s="340">
        <v>247</v>
      </c>
      <c r="G181" s="346">
        <v>12</v>
      </c>
      <c r="H181" s="378">
        <v>5006</v>
      </c>
      <c r="I181" s="379">
        <v>988</v>
      </c>
      <c r="J181" s="334">
        <f>2260223+2366876.75+3859638+3137342+1906742.5+252.25+1189485.5+474275+250512+184428+13126+754+5006</f>
        <v>15648661</v>
      </c>
      <c r="K181" s="338">
        <f>286038+329194+554088+452220+278080+42+178270+68355+40409+33224+1975+104+988</f>
        <v>2222987</v>
      </c>
      <c r="L181" s="297">
        <v>40928</v>
      </c>
    </row>
    <row r="182" spans="1:12" ht="12" customHeight="1">
      <c r="A182" s="311">
        <v>179</v>
      </c>
      <c r="B182" s="534" t="s">
        <v>492</v>
      </c>
      <c r="C182" s="312" t="s">
        <v>499</v>
      </c>
      <c r="D182" s="320">
        <v>40942</v>
      </c>
      <c r="E182" s="288" t="s">
        <v>52</v>
      </c>
      <c r="F182" s="312">
        <v>42</v>
      </c>
      <c r="G182" s="312">
        <v>5</v>
      </c>
      <c r="H182" s="378">
        <v>4963</v>
      </c>
      <c r="I182" s="379">
        <v>857</v>
      </c>
      <c r="J182" s="334">
        <f>162020.35+70285.95+11139.41+12368+4963</f>
        <v>260776.71</v>
      </c>
      <c r="K182" s="338">
        <f>16152+7535+1434+1836+857</f>
        <v>27814</v>
      </c>
      <c r="L182" s="297">
        <v>40970</v>
      </c>
    </row>
    <row r="183" spans="1:12" ht="12" customHeight="1">
      <c r="A183" s="311">
        <v>180</v>
      </c>
      <c r="B183" s="361" t="s">
        <v>668</v>
      </c>
      <c r="C183" s="288"/>
      <c r="D183" s="320">
        <v>40998</v>
      </c>
      <c r="E183" s="288" t="s">
        <v>68</v>
      </c>
      <c r="F183" s="346">
        <v>109</v>
      </c>
      <c r="G183" s="312">
        <v>6</v>
      </c>
      <c r="H183" s="382">
        <v>4953</v>
      </c>
      <c r="I183" s="383">
        <v>842</v>
      </c>
      <c r="J183" s="328">
        <f>141737.5+69212.99+17385.27+12661+9645+4953</f>
        <v>255594.75999999998</v>
      </c>
      <c r="K183" s="344">
        <f>15777+8169+2548+1919+1615+842</f>
        <v>30870</v>
      </c>
      <c r="L183" s="297">
        <v>41033</v>
      </c>
    </row>
    <row r="184" spans="1:12" ht="12" customHeight="1">
      <c r="A184" s="311">
        <v>181</v>
      </c>
      <c r="B184" s="532" t="s">
        <v>100</v>
      </c>
      <c r="C184" s="312" t="s">
        <v>108</v>
      </c>
      <c r="D184" s="320">
        <v>40879</v>
      </c>
      <c r="E184" s="288" t="s">
        <v>8</v>
      </c>
      <c r="F184" s="312">
        <v>39</v>
      </c>
      <c r="G184" s="340">
        <v>7</v>
      </c>
      <c r="H184" s="384">
        <v>4931</v>
      </c>
      <c r="I184" s="385">
        <v>847</v>
      </c>
      <c r="J184" s="328">
        <v>216338</v>
      </c>
      <c r="K184" s="344">
        <v>24246</v>
      </c>
      <c r="L184" s="297">
        <v>40921</v>
      </c>
    </row>
    <row r="185" spans="1:12" ht="12" customHeight="1">
      <c r="A185" s="311">
        <v>182</v>
      </c>
      <c r="B185" s="457" t="s">
        <v>67</v>
      </c>
      <c r="C185" s="339" t="s">
        <v>85</v>
      </c>
      <c r="D185" s="320">
        <v>40844</v>
      </c>
      <c r="E185" s="288" t="s">
        <v>68</v>
      </c>
      <c r="F185" s="312">
        <v>278</v>
      </c>
      <c r="G185" s="312">
        <v>19</v>
      </c>
      <c r="H185" s="382">
        <v>4832</v>
      </c>
      <c r="I185" s="383">
        <v>673</v>
      </c>
      <c r="J185" s="328">
        <f>2021467.25+4147826.75+1641146.5+1086471.5+837723.5+353523.5+115157+12431.5+1554+13261.5+3397.5+17222.5+17226.5+5821+1188+2851+2851+2530+4832</f>
        <v>10288482.5</v>
      </c>
      <c r="K185" s="344">
        <f>231121+459388+190384+130345+104513+46481+14878+1830+250+1860+737+1888+2090+661+238+570+284+543+673</f>
        <v>1188734</v>
      </c>
      <c r="L185" s="297">
        <v>40970</v>
      </c>
    </row>
    <row r="186" spans="1:12" ht="12" customHeight="1">
      <c r="A186" s="311">
        <v>183</v>
      </c>
      <c r="B186" s="458" t="s">
        <v>74</v>
      </c>
      <c r="C186" s="331" t="s">
        <v>80</v>
      </c>
      <c r="D186" s="320">
        <v>40851</v>
      </c>
      <c r="E186" s="288" t="s">
        <v>53</v>
      </c>
      <c r="F186" s="340">
        <v>247</v>
      </c>
      <c r="G186" s="346">
        <v>15</v>
      </c>
      <c r="H186" s="378">
        <v>4804</v>
      </c>
      <c r="I186" s="379">
        <v>960</v>
      </c>
      <c r="J186" s="334">
        <f>2260223+2366876.75+3859638+3137342+1906742.5+252.25+1189485.5+474275+250512+184428+13126+754+5006+188+4804</f>
        <v>15653653</v>
      </c>
      <c r="K186" s="338">
        <f>286038+329194+554088+452220+278080+42+178270+68355+40409+33224+1975+104+988+22+960</f>
        <v>2223969</v>
      </c>
      <c r="L186" s="297">
        <v>40949</v>
      </c>
    </row>
    <row r="187" spans="1:12" ht="12" customHeight="1">
      <c r="A187" s="311">
        <v>184</v>
      </c>
      <c r="B187" s="458" t="s">
        <v>137</v>
      </c>
      <c r="C187" s="288" t="s">
        <v>106</v>
      </c>
      <c r="D187" s="320">
        <v>40900</v>
      </c>
      <c r="E187" s="288" t="s">
        <v>52</v>
      </c>
      <c r="F187" s="331">
        <v>14</v>
      </c>
      <c r="G187" s="331">
        <v>3</v>
      </c>
      <c r="H187" s="474">
        <v>4777</v>
      </c>
      <c r="I187" s="475">
        <v>439</v>
      </c>
      <c r="J187" s="330">
        <f>43848.5+19458.5+4777</f>
        <v>68084</v>
      </c>
      <c r="K187" s="338">
        <f>3764+1850+439</f>
        <v>6053</v>
      </c>
      <c r="L187" s="297">
        <v>40914</v>
      </c>
    </row>
    <row r="188" spans="1:12" ht="12" customHeight="1">
      <c r="A188" s="311">
        <v>185</v>
      </c>
      <c r="B188" s="362" t="s">
        <v>98</v>
      </c>
      <c r="C188" s="312" t="s">
        <v>99</v>
      </c>
      <c r="D188" s="297">
        <v>40872</v>
      </c>
      <c r="E188" s="288" t="s">
        <v>10</v>
      </c>
      <c r="F188" s="312">
        <v>277</v>
      </c>
      <c r="G188" s="358">
        <v>18</v>
      </c>
      <c r="H188" s="380">
        <v>4760</v>
      </c>
      <c r="I188" s="381">
        <v>1071</v>
      </c>
      <c r="J188" s="342">
        <v>10960179</v>
      </c>
      <c r="K188" s="343">
        <v>1175531</v>
      </c>
      <c r="L188" s="297">
        <v>41005</v>
      </c>
    </row>
    <row r="189" spans="1:12" ht="12" customHeight="1">
      <c r="A189" s="311">
        <v>186</v>
      </c>
      <c r="B189" s="362" t="s">
        <v>98</v>
      </c>
      <c r="D189" s="297">
        <v>40872</v>
      </c>
      <c r="E189" s="288" t="s">
        <v>10</v>
      </c>
      <c r="F189" s="313">
        <v>277</v>
      </c>
      <c r="G189" s="313">
        <v>19</v>
      </c>
      <c r="H189" s="468">
        <v>4760</v>
      </c>
      <c r="I189" s="469">
        <v>1071</v>
      </c>
      <c r="J189" s="317">
        <v>10964939</v>
      </c>
      <c r="K189" s="368">
        <v>1176602</v>
      </c>
      <c r="L189" s="297">
        <v>41012</v>
      </c>
    </row>
    <row r="190" spans="1:12" ht="12" customHeight="1">
      <c r="A190" s="311">
        <v>187</v>
      </c>
      <c r="B190" s="361" t="s">
        <v>334</v>
      </c>
      <c r="C190" s="339"/>
      <c r="D190" s="370">
        <v>40921</v>
      </c>
      <c r="E190" s="288" t="s">
        <v>52</v>
      </c>
      <c r="F190" s="312">
        <v>49</v>
      </c>
      <c r="G190" s="312">
        <v>12</v>
      </c>
      <c r="H190" s="378">
        <v>4752</v>
      </c>
      <c r="I190" s="379">
        <v>950</v>
      </c>
      <c r="J190" s="334">
        <v>923092.5</v>
      </c>
      <c r="K190" s="338">
        <v>87574</v>
      </c>
      <c r="L190" s="297">
        <v>41026</v>
      </c>
    </row>
    <row r="191" spans="1:12" ht="12" customHeight="1">
      <c r="A191" s="311">
        <v>188</v>
      </c>
      <c r="B191" s="534" t="s">
        <v>113</v>
      </c>
      <c r="C191" s="312" t="s">
        <v>115</v>
      </c>
      <c r="D191" s="320">
        <v>40886</v>
      </c>
      <c r="E191" s="288" t="s">
        <v>114</v>
      </c>
      <c r="F191" s="312">
        <v>82</v>
      </c>
      <c r="G191" s="331">
        <v>6</v>
      </c>
      <c r="H191" s="472">
        <v>4728</v>
      </c>
      <c r="I191" s="473">
        <v>758</v>
      </c>
      <c r="J191" s="450">
        <v>642785</v>
      </c>
      <c r="K191" s="451">
        <v>74003</v>
      </c>
      <c r="L191" s="297">
        <v>40921</v>
      </c>
    </row>
    <row r="192" spans="1:12" ht="12" customHeight="1">
      <c r="A192" s="311">
        <v>189</v>
      </c>
      <c r="B192" s="457" t="s">
        <v>231</v>
      </c>
      <c r="C192" s="312" t="s">
        <v>244</v>
      </c>
      <c r="D192" s="320">
        <v>40809</v>
      </c>
      <c r="E192" s="288" t="s">
        <v>68</v>
      </c>
      <c r="F192" s="312">
        <v>66</v>
      </c>
      <c r="G192" s="312">
        <v>16</v>
      </c>
      <c r="H192" s="382">
        <v>4669.5</v>
      </c>
      <c r="I192" s="383">
        <v>1220</v>
      </c>
      <c r="J192" s="328">
        <f>382290+386122+344313.5+244996+104138.75+43618.5+27632+12528+6812+832+1782+2257+1782+5477.5+2138.5+4669.5</f>
        <v>1571389.25</v>
      </c>
      <c r="K192" s="344">
        <f>34863+36137+32260+23896+12188+5940+2894+1417+1234+90+446+565+446+1293+535+1220</f>
        <v>155424</v>
      </c>
      <c r="L192" s="297">
        <v>40914</v>
      </c>
    </row>
    <row r="193" spans="1:12" ht="12" customHeight="1">
      <c r="A193" s="311">
        <v>190</v>
      </c>
      <c r="B193" s="366" t="s">
        <v>583</v>
      </c>
      <c r="C193" s="340"/>
      <c r="D193" s="369">
        <v>40970</v>
      </c>
      <c r="E193" s="288" t="s">
        <v>12</v>
      </c>
      <c r="F193" s="312">
        <v>285</v>
      </c>
      <c r="G193" s="312">
        <v>11</v>
      </c>
      <c r="H193" s="378">
        <v>4656</v>
      </c>
      <c r="I193" s="379">
        <v>677</v>
      </c>
      <c r="J193" s="334">
        <v>14183238</v>
      </c>
      <c r="K193" s="338">
        <v>1587352</v>
      </c>
      <c r="L193" s="297">
        <v>41040</v>
      </c>
    </row>
    <row r="194" spans="1:12" ht="12" customHeight="1">
      <c r="A194" s="311">
        <v>191</v>
      </c>
      <c r="B194" s="361" t="s">
        <v>685</v>
      </c>
      <c r="D194" s="320">
        <v>41005</v>
      </c>
      <c r="E194" s="288" t="s">
        <v>52</v>
      </c>
      <c r="F194" s="313">
        <v>21</v>
      </c>
      <c r="G194" s="313">
        <v>2</v>
      </c>
      <c r="H194" s="480">
        <v>4439</v>
      </c>
      <c r="I194" s="481">
        <v>543</v>
      </c>
      <c r="J194" s="335">
        <f>8810.26+4439</f>
        <v>13249.26</v>
      </c>
      <c r="K194" s="336">
        <f>1058+543</f>
        <v>1601</v>
      </c>
      <c r="L194" s="297">
        <v>41012</v>
      </c>
    </row>
    <row r="195" spans="1:12" ht="12" customHeight="1">
      <c r="A195" s="311">
        <v>192</v>
      </c>
      <c r="B195" s="534" t="s">
        <v>113</v>
      </c>
      <c r="C195" s="312" t="s">
        <v>115</v>
      </c>
      <c r="D195" s="320">
        <v>40886</v>
      </c>
      <c r="E195" s="288" t="s">
        <v>114</v>
      </c>
      <c r="F195" s="312">
        <v>82</v>
      </c>
      <c r="G195" s="331">
        <v>14</v>
      </c>
      <c r="H195" s="472">
        <v>4327</v>
      </c>
      <c r="I195" s="473">
        <v>819</v>
      </c>
      <c r="J195" s="450">
        <v>651438.9</v>
      </c>
      <c r="K195" s="451">
        <v>75523</v>
      </c>
      <c r="L195" s="297">
        <v>40977</v>
      </c>
    </row>
    <row r="196" spans="1:12" ht="12" customHeight="1">
      <c r="A196" s="311">
        <v>193</v>
      </c>
      <c r="B196" s="458" t="s">
        <v>509</v>
      </c>
      <c r="C196" s="312" t="s">
        <v>500</v>
      </c>
      <c r="D196" s="320">
        <v>40942</v>
      </c>
      <c r="E196" s="288" t="s">
        <v>53</v>
      </c>
      <c r="F196" s="346">
        <v>95</v>
      </c>
      <c r="G196" s="346">
        <v>4</v>
      </c>
      <c r="H196" s="382">
        <v>4237</v>
      </c>
      <c r="I196" s="383">
        <v>518</v>
      </c>
      <c r="J196" s="328">
        <f>166893.1+124753.91+25288.04+4237</f>
        <v>321172.05</v>
      </c>
      <c r="K196" s="344">
        <f>18839+14893+3105+518</f>
        <v>37355</v>
      </c>
      <c r="L196" s="297">
        <v>40963</v>
      </c>
    </row>
    <row r="197" spans="1:12" ht="12" customHeight="1">
      <c r="A197" s="311">
        <v>194</v>
      </c>
      <c r="B197" s="533" t="s">
        <v>98</v>
      </c>
      <c r="C197" s="312" t="s">
        <v>99</v>
      </c>
      <c r="D197" s="297">
        <v>40872</v>
      </c>
      <c r="E197" s="288" t="s">
        <v>10</v>
      </c>
      <c r="F197" s="312">
        <v>277</v>
      </c>
      <c r="G197" s="331">
        <v>12</v>
      </c>
      <c r="H197" s="382">
        <v>3968</v>
      </c>
      <c r="I197" s="383">
        <v>738</v>
      </c>
      <c r="J197" s="328">
        <v>10938759</v>
      </c>
      <c r="K197" s="344">
        <v>1170523</v>
      </c>
      <c r="L197" s="297">
        <v>40949</v>
      </c>
    </row>
    <row r="198" spans="1:12" ht="12" customHeight="1">
      <c r="A198" s="311">
        <v>195</v>
      </c>
      <c r="B198" s="533" t="s">
        <v>304</v>
      </c>
      <c r="C198" s="312" t="s">
        <v>305</v>
      </c>
      <c r="D198" s="320">
        <v>40914</v>
      </c>
      <c r="E198" s="288" t="s">
        <v>12</v>
      </c>
      <c r="F198" s="312">
        <v>204</v>
      </c>
      <c r="G198" s="312">
        <v>7</v>
      </c>
      <c r="H198" s="378">
        <v>3893</v>
      </c>
      <c r="I198" s="379">
        <v>525</v>
      </c>
      <c r="J198" s="334">
        <v>5357351</v>
      </c>
      <c r="K198" s="338">
        <v>578060</v>
      </c>
      <c r="L198" s="297">
        <v>40956</v>
      </c>
    </row>
    <row r="199" spans="1:12" ht="12" customHeight="1">
      <c r="A199" s="311">
        <v>196</v>
      </c>
      <c r="B199" s="365" t="s">
        <v>294</v>
      </c>
      <c r="C199" s="340" t="s">
        <v>296</v>
      </c>
      <c r="D199" s="320">
        <v>40914</v>
      </c>
      <c r="E199" s="288" t="s">
        <v>53</v>
      </c>
      <c r="F199" s="346">
        <v>97</v>
      </c>
      <c r="G199" s="346">
        <v>8</v>
      </c>
      <c r="H199" s="378">
        <v>3842</v>
      </c>
      <c r="I199" s="379">
        <v>635</v>
      </c>
      <c r="J199" s="334">
        <f>216520+198358.5+149589.5+18051.79+5443+2220+114+3842</f>
        <v>594138.79</v>
      </c>
      <c r="K199" s="338">
        <f>26831+25025+19383+2440+733+337+19+635</f>
        <v>75403</v>
      </c>
      <c r="L199" s="297">
        <v>40970</v>
      </c>
    </row>
    <row r="200" spans="1:12" ht="12" customHeight="1">
      <c r="A200" s="311">
        <v>197</v>
      </c>
      <c r="B200" s="457" t="s">
        <v>309</v>
      </c>
      <c r="C200" s="339" t="s">
        <v>320</v>
      </c>
      <c r="D200" s="320">
        <v>40676</v>
      </c>
      <c r="E200" s="288" t="s">
        <v>68</v>
      </c>
      <c r="F200" s="312">
        <v>10</v>
      </c>
      <c r="G200" s="312">
        <v>20</v>
      </c>
      <c r="H200" s="382">
        <v>3801.5</v>
      </c>
      <c r="I200" s="383">
        <v>950</v>
      </c>
      <c r="J200" s="328">
        <f>19776.5+5289.5+3941.5+4149+6030.5+491+2263+886+669+235+576+182+578+116+1188+1782+1782+1782+1782+3801.5</f>
        <v>57300.5</v>
      </c>
      <c r="K200" s="344">
        <f>2214+710+772+646+1024+103+434+139+105+46+100+16+62+13+297+446+446+446+446+950</f>
        <v>9415</v>
      </c>
      <c r="L200" s="297">
        <v>40914</v>
      </c>
    </row>
    <row r="201" spans="1:12" ht="12" customHeight="1">
      <c r="A201" s="311">
        <v>198</v>
      </c>
      <c r="B201" s="457" t="s">
        <v>349</v>
      </c>
      <c r="C201" s="339" t="s">
        <v>188</v>
      </c>
      <c r="D201" s="320">
        <v>40627</v>
      </c>
      <c r="E201" s="288" t="s">
        <v>68</v>
      </c>
      <c r="F201" s="312">
        <v>137</v>
      </c>
      <c r="G201" s="312">
        <v>25</v>
      </c>
      <c r="H201" s="382">
        <v>3801.5</v>
      </c>
      <c r="I201" s="383">
        <v>950</v>
      </c>
      <c r="J201" s="328">
        <f>1066061.5+1061275+813239.75+606216+468367.5+266511+137274.5+89937.5+9478+4671.5+2215.5+593.5+2273.5+2234+1858+10514.5+2603+2122+2001+349+713+2613.5+475.5+3801.5</f>
        <v>4557399.75</v>
      </c>
      <c r="K201" s="344">
        <f>110278+106719+82858+62672+50883+32012+17904+13463+1427+637+352+91+261+268+240+2410+402+325+272+26+178+653+109+950</f>
        <v>485390</v>
      </c>
      <c r="L201" s="297">
        <v>40921</v>
      </c>
    </row>
    <row r="202" spans="1:12" ht="12" customHeight="1">
      <c r="A202" s="311">
        <v>199</v>
      </c>
      <c r="B202" s="457" t="s">
        <v>132</v>
      </c>
      <c r="C202" s="312" t="s">
        <v>119</v>
      </c>
      <c r="D202" s="320">
        <v>40893</v>
      </c>
      <c r="E202" s="288" t="s">
        <v>68</v>
      </c>
      <c r="F202" s="312">
        <v>23</v>
      </c>
      <c r="G202" s="312">
        <v>10</v>
      </c>
      <c r="H202" s="382">
        <v>3801.5</v>
      </c>
      <c r="I202" s="383">
        <v>760</v>
      </c>
      <c r="J202" s="328">
        <f>53228.5+28585+20298.5+8299+5922+6463+2186.5+3291+2777+3801.5</f>
        <v>134852</v>
      </c>
      <c r="K202" s="344">
        <f>6440+3537+2691+1237+891+1419+633+570+423+760</f>
        <v>18601</v>
      </c>
      <c r="L202" s="297">
        <v>40956</v>
      </c>
    </row>
    <row r="203" spans="1:12" ht="12" customHeight="1">
      <c r="A203" s="311">
        <v>200</v>
      </c>
      <c r="B203" s="457" t="s">
        <v>474</v>
      </c>
      <c r="C203" s="339" t="s">
        <v>475</v>
      </c>
      <c r="D203" s="320">
        <v>40648</v>
      </c>
      <c r="E203" s="288" t="s">
        <v>68</v>
      </c>
      <c r="F203" s="312">
        <v>28</v>
      </c>
      <c r="G203" s="312">
        <v>26</v>
      </c>
      <c r="H203" s="382">
        <v>3801.5</v>
      </c>
      <c r="I203" s="383">
        <v>760</v>
      </c>
      <c r="J203" s="328">
        <f>67573+47761.5+14206.5+4949+3617+1080.5+492+714+1413.5+3743.5+735+1502.5+825+1147+1818+154+295+2263+179+160+3326.5+950.5+1782+1425.5+594+40+3801.5</f>
        <v>166549</v>
      </c>
      <c r="K203" s="344">
        <f>6695+4901+2068+559+504+215+178+122+205+836+119+235+131+174+400+22+45+527+35+28+831+237+446+356+149+8+760</f>
        <v>20786</v>
      </c>
      <c r="L203" s="297">
        <v>40963</v>
      </c>
    </row>
    <row r="204" spans="1:12" ht="12" customHeight="1">
      <c r="A204" s="311">
        <v>201</v>
      </c>
      <c r="B204" s="457" t="s">
        <v>73</v>
      </c>
      <c r="C204" s="339" t="s">
        <v>87</v>
      </c>
      <c r="D204" s="320">
        <v>40858</v>
      </c>
      <c r="E204" s="288" t="s">
        <v>68</v>
      </c>
      <c r="F204" s="312">
        <v>32</v>
      </c>
      <c r="G204" s="312">
        <v>17</v>
      </c>
      <c r="H204" s="382">
        <v>3801.5</v>
      </c>
      <c r="I204" s="383">
        <v>760</v>
      </c>
      <c r="J204" s="328">
        <f>119417+74006.5+30939.5+15734+17682+7740+3814.5+5519+937+732+479+1782+1188+713+96+745+3801.5</f>
        <v>285326</v>
      </c>
      <c r="K204" s="344">
        <f>12383+8559+4204+1986+2778+1301+707+782+165+115+82+325+238+143+32+132+760</f>
        <v>34692</v>
      </c>
      <c r="L204" s="297">
        <v>40991</v>
      </c>
    </row>
    <row r="205" spans="1:12" ht="12" customHeight="1">
      <c r="A205" s="311">
        <v>202</v>
      </c>
      <c r="B205" s="361" t="s">
        <v>642</v>
      </c>
      <c r="C205" s="340" t="s">
        <v>643</v>
      </c>
      <c r="D205" s="370">
        <v>40991</v>
      </c>
      <c r="E205" s="288" t="s">
        <v>52</v>
      </c>
      <c r="F205" s="312">
        <v>47</v>
      </c>
      <c r="G205" s="312">
        <v>8</v>
      </c>
      <c r="H205" s="378">
        <v>3728</v>
      </c>
      <c r="I205" s="379">
        <v>513</v>
      </c>
      <c r="J205" s="334">
        <v>282297.09</v>
      </c>
      <c r="K205" s="338">
        <v>33684</v>
      </c>
      <c r="L205" s="297">
        <v>41040</v>
      </c>
    </row>
    <row r="206" spans="1:12" ht="12" customHeight="1">
      <c r="A206" s="311">
        <v>203</v>
      </c>
      <c r="B206" s="534" t="s">
        <v>492</v>
      </c>
      <c r="C206" s="312" t="s">
        <v>499</v>
      </c>
      <c r="D206" s="320">
        <v>40942</v>
      </c>
      <c r="E206" s="288" t="s">
        <v>52</v>
      </c>
      <c r="F206" s="312">
        <v>42</v>
      </c>
      <c r="G206" s="312">
        <v>8</v>
      </c>
      <c r="H206" s="378">
        <v>3663</v>
      </c>
      <c r="I206" s="379">
        <v>723</v>
      </c>
      <c r="J206" s="334">
        <f>162020.35+70285.95+11139.41+12368+4963+5840+1580+3663</f>
        <v>271859.70999999996</v>
      </c>
      <c r="K206" s="338">
        <f>16152+7535+1434+1836+857+977+218+723</f>
        <v>29732</v>
      </c>
      <c r="L206" s="297">
        <v>40991</v>
      </c>
    </row>
    <row r="207" spans="1:12" ht="12" customHeight="1">
      <c r="A207" s="311">
        <v>204</v>
      </c>
      <c r="B207" s="458" t="s">
        <v>74</v>
      </c>
      <c r="C207" s="331" t="s">
        <v>80</v>
      </c>
      <c r="D207" s="320">
        <v>40851</v>
      </c>
      <c r="E207" s="288" t="s">
        <v>53</v>
      </c>
      <c r="F207" s="340">
        <v>247</v>
      </c>
      <c r="G207" s="346">
        <v>16</v>
      </c>
      <c r="H207" s="378">
        <v>3604</v>
      </c>
      <c r="I207" s="379">
        <v>721</v>
      </c>
      <c r="J207" s="334">
        <f>2260223+2366876.75+3859638+3137342+1906742.5+252.25+1189485.5+474275+250512+184428+13126+754+5006+188+4804+3604</f>
        <v>15657257</v>
      </c>
      <c r="K207" s="338">
        <f>286038+329194+554088+452220+278080+42+178270+68355+40409+33224+1975+104+988+22+960+721</f>
        <v>2224690</v>
      </c>
      <c r="L207" s="297">
        <v>40956</v>
      </c>
    </row>
    <row r="208" spans="1:12" ht="12" customHeight="1">
      <c r="A208" s="311">
        <v>205</v>
      </c>
      <c r="B208" s="365">
        <v>120</v>
      </c>
      <c r="C208" s="340" t="s">
        <v>578</v>
      </c>
      <c r="D208" s="297">
        <v>39488</v>
      </c>
      <c r="E208" s="288" t="s">
        <v>53</v>
      </c>
      <c r="F208" s="312">
        <v>179</v>
      </c>
      <c r="G208" s="346">
        <v>51</v>
      </c>
      <c r="H208" s="378">
        <v>3603</v>
      </c>
      <c r="I208" s="379">
        <v>720</v>
      </c>
      <c r="J208" s="334">
        <f>5039812.5+1919+2402+2402+1201+3603</f>
        <v>5051339.5</v>
      </c>
      <c r="K208" s="338">
        <f>1038442+320+480+480+240+720</f>
        <v>1040682</v>
      </c>
      <c r="L208" s="297">
        <v>40984</v>
      </c>
    </row>
    <row r="209" spans="1:12" ht="12" customHeight="1">
      <c r="A209" s="311">
        <v>206</v>
      </c>
      <c r="B209" s="457" t="s">
        <v>140</v>
      </c>
      <c r="C209" s="312" t="s">
        <v>188</v>
      </c>
      <c r="D209" s="320">
        <v>40900</v>
      </c>
      <c r="E209" s="288" t="s">
        <v>68</v>
      </c>
      <c r="F209" s="312">
        <v>197</v>
      </c>
      <c r="G209" s="312">
        <v>8</v>
      </c>
      <c r="H209" s="382">
        <v>3599</v>
      </c>
      <c r="I209" s="383">
        <v>639</v>
      </c>
      <c r="J209" s="328">
        <f>985836.5+657011.5+454728.5+206461+72029+16105.51+5902+3599</f>
        <v>2401673.01</v>
      </c>
      <c r="K209" s="344">
        <f>106718+73176+50608+29114+10776+3413+1375+639</f>
        <v>275819</v>
      </c>
      <c r="L209" s="297">
        <v>40949</v>
      </c>
    </row>
    <row r="210" spans="1:12" ht="12" customHeight="1">
      <c r="A210" s="311">
        <v>207</v>
      </c>
      <c r="B210" s="361" t="s">
        <v>616</v>
      </c>
      <c r="C210" s="340" t="s">
        <v>617</v>
      </c>
      <c r="D210" s="320">
        <v>40984</v>
      </c>
      <c r="E210" s="288" t="s">
        <v>52</v>
      </c>
      <c r="F210" s="312">
        <v>206</v>
      </c>
      <c r="G210" s="312">
        <v>8</v>
      </c>
      <c r="H210" s="378">
        <v>3567</v>
      </c>
      <c r="I210" s="379">
        <v>712</v>
      </c>
      <c r="J210" s="334">
        <v>616712.34</v>
      </c>
      <c r="K210" s="338">
        <v>78620</v>
      </c>
      <c r="L210" s="297">
        <v>41033</v>
      </c>
    </row>
    <row r="211" spans="1:12" ht="12" customHeight="1">
      <c r="A211" s="311">
        <v>208</v>
      </c>
      <c r="B211" s="363" t="s">
        <v>544</v>
      </c>
      <c r="C211" s="288" t="s">
        <v>548</v>
      </c>
      <c r="D211" s="320">
        <v>40606</v>
      </c>
      <c r="E211" s="288" t="s">
        <v>52</v>
      </c>
      <c r="F211" s="358">
        <v>152</v>
      </c>
      <c r="G211" s="313">
        <v>20</v>
      </c>
      <c r="H211" s="378">
        <v>3564</v>
      </c>
      <c r="I211" s="379">
        <v>713</v>
      </c>
      <c r="J211" s="334">
        <f>1064857.25+602581.25+269086.5+86552+70688+40243.5+15124.5+5534.5+5248.5+1364+305+140+147+994+250+240+70+55+2970+3564</f>
        <v>2170015</v>
      </c>
      <c r="K211" s="338">
        <f>118954+67997+33243+12973+11521+6623+2561+922+800+239+45+20+21+199+36+34+14+11+594+713</f>
        <v>257520</v>
      </c>
      <c r="L211" s="297">
        <v>40998</v>
      </c>
    </row>
    <row r="212" spans="1:12" ht="12" customHeight="1">
      <c r="A212" s="311">
        <v>209</v>
      </c>
      <c r="B212" s="534" t="s">
        <v>609</v>
      </c>
      <c r="C212" s="312" t="s">
        <v>610</v>
      </c>
      <c r="D212" s="320">
        <v>40620</v>
      </c>
      <c r="E212" s="288" t="s">
        <v>52</v>
      </c>
      <c r="F212" s="331">
        <v>218</v>
      </c>
      <c r="G212" s="312">
        <v>27</v>
      </c>
      <c r="H212" s="378">
        <v>3564</v>
      </c>
      <c r="I212" s="379">
        <v>713</v>
      </c>
      <c r="J212" s="334">
        <f>868723.5+629960.75+471670+272432+164061+97109.5+34971.5+29195+10591.5+4973+1214+25859.5+8228+5222+126+1321+161+8414+5940+170+7722+2970+242+249+16632+18847+2376+3564</f>
        <v>2692945.25</v>
      </c>
      <c r="K212" s="338">
        <f>93361+70981+54177+33865+22657+14644+6278+5343+1965+923+199+3609+1160+736+18+257+23+1598+1188+23+1386+594+42+42+3326+3498+339+713</f>
        <v>322945</v>
      </c>
      <c r="L212" s="297">
        <v>40977</v>
      </c>
    </row>
    <row r="213" spans="1:12" ht="12" customHeight="1">
      <c r="A213" s="311">
        <v>210</v>
      </c>
      <c r="B213" s="458" t="s">
        <v>77</v>
      </c>
      <c r="C213" s="288" t="s">
        <v>168</v>
      </c>
      <c r="D213" s="320">
        <v>40865</v>
      </c>
      <c r="E213" s="288" t="s">
        <v>52</v>
      </c>
      <c r="F213" s="331">
        <v>64</v>
      </c>
      <c r="G213" s="331">
        <v>10</v>
      </c>
      <c r="H213" s="378">
        <v>3564</v>
      </c>
      <c r="I213" s="379">
        <v>712</v>
      </c>
      <c r="J213" s="334">
        <f>256046+137037.5+20115+5099+3542+3484.5+1302+1985+195+659+3564</f>
        <v>433029</v>
      </c>
      <c r="K213" s="338">
        <f>25390+13650+2140+705+587+707+246+352+31+92+712</f>
        <v>44612</v>
      </c>
      <c r="L213" s="297">
        <v>40949</v>
      </c>
    </row>
    <row r="214" spans="1:12" ht="12" customHeight="1">
      <c r="A214" s="311">
        <v>211</v>
      </c>
      <c r="B214" s="366" t="s">
        <v>140</v>
      </c>
      <c r="C214" s="312" t="s">
        <v>188</v>
      </c>
      <c r="D214" s="320">
        <v>40900</v>
      </c>
      <c r="E214" s="288" t="s">
        <v>68</v>
      </c>
      <c r="F214" s="313">
        <v>197</v>
      </c>
      <c r="G214" s="313">
        <v>11</v>
      </c>
      <c r="H214" s="382">
        <v>3564</v>
      </c>
      <c r="I214" s="383">
        <v>712</v>
      </c>
      <c r="J214" s="328">
        <f>985836.5+657011.5+454728.5+206461+72029+16105.51+5902+3599+438+1782+3564</f>
        <v>2407457.01</v>
      </c>
      <c r="K214" s="344">
        <f>106718+73176+50608+29114+10776+3413+1375+639+190+356+712</f>
        <v>277077</v>
      </c>
      <c r="L214" s="297">
        <v>41005</v>
      </c>
    </row>
    <row r="215" spans="1:12" ht="12" customHeight="1">
      <c r="A215" s="311">
        <v>212</v>
      </c>
      <c r="B215" s="532" t="s">
        <v>334</v>
      </c>
      <c r="C215" s="288" t="s">
        <v>335</v>
      </c>
      <c r="D215" s="320">
        <v>40921</v>
      </c>
      <c r="E215" s="288" t="s">
        <v>52</v>
      </c>
      <c r="F215" s="312">
        <v>49</v>
      </c>
      <c r="G215" s="312">
        <v>8</v>
      </c>
      <c r="H215" s="378">
        <v>3443</v>
      </c>
      <c r="I215" s="379">
        <v>561</v>
      </c>
      <c r="J215" s="334">
        <f>357713+343246.5+115529.5+51137+24830.5+11883+8256+3443</f>
        <v>916038.5</v>
      </c>
      <c r="K215" s="338">
        <f>33400+31498+10192+4818+3004+1638+1139+561</f>
        <v>86250</v>
      </c>
      <c r="L215" s="297">
        <v>40970</v>
      </c>
    </row>
    <row r="216" spans="1:12" ht="12" customHeight="1">
      <c r="A216" s="311">
        <v>213</v>
      </c>
      <c r="B216" s="457" t="s">
        <v>67</v>
      </c>
      <c r="C216" s="339" t="s">
        <v>85</v>
      </c>
      <c r="D216" s="320">
        <v>40844</v>
      </c>
      <c r="E216" s="288" t="s">
        <v>68</v>
      </c>
      <c r="F216" s="312">
        <v>278</v>
      </c>
      <c r="G216" s="312">
        <v>11</v>
      </c>
      <c r="H216" s="382">
        <v>3397.5</v>
      </c>
      <c r="I216" s="383">
        <v>737</v>
      </c>
      <c r="J216" s="328">
        <f>2021467.25+4147826.75+1641146.5+1086471.5+837723.5+353523.5+115157+12431.5+1554+13261.5+3397.5</f>
        <v>10233960.5</v>
      </c>
      <c r="K216" s="344">
        <f>231121+459388+190384+130345+104513+46481+14878+1830+250+1860+737</f>
        <v>1181787</v>
      </c>
      <c r="L216" s="297">
        <v>40914</v>
      </c>
    </row>
    <row r="217" spans="1:12" ht="12" customHeight="1">
      <c r="A217" s="311">
        <v>214</v>
      </c>
      <c r="B217" s="364" t="s">
        <v>484</v>
      </c>
      <c r="C217" s="312" t="s">
        <v>305</v>
      </c>
      <c r="D217" s="297">
        <v>40935</v>
      </c>
      <c r="E217" s="288" t="s">
        <v>12</v>
      </c>
      <c r="F217" s="340">
        <v>352</v>
      </c>
      <c r="G217" s="313">
        <v>10</v>
      </c>
      <c r="H217" s="378">
        <v>3355</v>
      </c>
      <c r="I217" s="379">
        <v>686</v>
      </c>
      <c r="J217" s="334">
        <v>18157937</v>
      </c>
      <c r="K217" s="338">
        <v>1968817</v>
      </c>
      <c r="L217" s="297">
        <v>40998</v>
      </c>
    </row>
    <row r="218" spans="1:12" ht="12" customHeight="1">
      <c r="A218" s="311">
        <v>215</v>
      </c>
      <c r="B218" s="457" t="s">
        <v>132</v>
      </c>
      <c r="C218" s="312" t="s">
        <v>119</v>
      </c>
      <c r="D218" s="320">
        <v>40893</v>
      </c>
      <c r="E218" s="288" t="s">
        <v>68</v>
      </c>
      <c r="F218" s="312">
        <v>23</v>
      </c>
      <c r="G218" s="312">
        <v>8</v>
      </c>
      <c r="H218" s="382">
        <v>3291</v>
      </c>
      <c r="I218" s="383">
        <v>570</v>
      </c>
      <c r="J218" s="328">
        <f>53228.5+28585+20298.5+8299+5922+6463+2186.5+3291</f>
        <v>128273.5</v>
      </c>
      <c r="K218" s="344">
        <f>6440+3537+2691+1237+891+1419+633+570</f>
        <v>17418</v>
      </c>
      <c r="L218" s="297">
        <v>40942</v>
      </c>
    </row>
    <row r="219" spans="1:12" ht="12" customHeight="1">
      <c r="A219" s="311">
        <v>216</v>
      </c>
      <c r="B219" s="364" t="s">
        <v>294</v>
      </c>
      <c r="C219" s="340" t="s">
        <v>296</v>
      </c>
      <c r="D219" s="320">
        <v>40914</v>
      </c>
      <c r="E219" s="288" t="s">
        <v>53</v>
      </c>
      <c r="F219" s="346">
        <v>97</v>
      </c>
      <c r="G219" s="345">
        <v>13</v>
      </c>
      <c r="H219" s="378">
        <v>3268</v>
      </c>
      <c r="I219" s="379">
        <v>802</v>
      </c>
      <c r="J219" s="334">
        <f>216520+198358.5+149589.5+18051.79+5443+2220+114+4171+1835+2260+1129+246+3268</f>
        <v>603205.79</v>
      </c>
      <c r="K219" s="338">
        <f>26831+25025+19383+2440+733+337+19+682+538+754+351+76+802</f>
        <v>77971</v>
      </c>
      <c r="L219" s="297">
        <v>41005</v>
      </c>
    </row>
    <row r="220" spans="1:12" ht="12" customHeight="1">
      <c r="A220" s="311">
        <v>217</v>
      </c>
      <c r="B220" s="532" t="s">
        <v>104</v>
      </c>
      <c r="C220" s="312" t="s">
        <v>107</v>
      </c>
      <c r="D220" s="320">
        <v>40879</v>
      </c>
      <c r="E220" s="288" t="s">
        <v>53</v>
      </c>
      <c r="F220" s="312">
        <v>135</v>
      </c>
      <c r="G220" s="346">
        <v>10</v>
      </c>
      <c r="H220" s="378">
        <v>3058</v>
      </c>
      <c r="I220" s="379">
        <v>435</v>
      </c>
      <c r="J220" s="334">
        <f>1709882.25+1194489.75+708906.5+376327+70+197271.5+73341.5+70692.5+50480.5+9953.5+3058</f>
        <v>4394473</v>
      </c>
      <c r="K220" s="338">
        <f>195314+135261+80447+45395+10+25625+10302+10950+7727+1402+435</f>
        <v>512868</v>
      </c>
      <c r="L220" s="297">
        <v>40942</v>
      </c>
    </row>
    <row r="221" spans="1:12" ht="12" customHeight="1">
      <c r="A221" s="311">
        <v>218</v>
      </c>
      <c r="B221" s="458" t="s">
        <v>544</v>
      </c>
      <c r="C221" s="288" t="s">
        <v>548</v>
      </c>
      <c r="D221" s="320">
        <v>40606</v>
      </c>
      <c r="E221" s="288" t="s">
        <v>52</v>
      </c>
      <c r="F221" s="331">
        <v>152</v>
      </c>
      <c r="G221" s="312">
        <v>19</v>
      </c>
      <c r="H221" s="378">
        <v>2970</v>
      </c>
      <c r="I221" s="379">
        <v>594</v>
      </c>
      <c r="J221" s="334">
        <f>1064857.25+602581.25+269086.5+86552+70688+40243.5+15124.5+5534.5+5248.5+1364+305+140+147+994+250+240+70+55+2970</f>
        <v>2166451</v>
      </c>
      <c r="K221" s="338">
        <f>118954+67997+33243+12973+11521+6623+2561+922+800+239+45+20+21+199+36+34+14+11+594</f>
        <v>256807</v>
      </c>
      <c r="L221" s="297">
        <v>40956</v>
      </c>
    </row>
    <row r="222" spans="1:12" ht="12" customHeight="1">
      <c r="A222" s="311">
        <v>219</v>
      </c>
      <c r="B222" s="534" t="s">
        <v>113</v>
      </c>
      <c r="C222" s="312" t="s">
        <v>115</v>
      </c>
      <c r="D222" s="320">
        <v>40886</v>
      </c>
      <c r="E222" s="288" t="s">
        <v>114</v>
      </c>
      <c r="F222" s="312">
        <v>82</v>
      </c>
      <c r="G222" s="331">
        <v>7</v>
      </c>
      <c r="H222" s="472">
        <v>2957.9</v>
      </c>
      <c r="I222" s="473">
        <v>493</v>
      </c>
      <c r="J222" s="450">
        <v>645699.9</v>
      </c>
      <c r="K222" s="451">
        <v>74489</v>
      </c>
      <c r="L222" s="297">
        <v>40928</v>
      </c>
    </row>
    <row r="223" spans="1:12" ht="12" customHeight="1">
      <c r="A223" s="311">
        <v>220</v>
      </c>
      <c r="B223" s="360" t="s">
        <v>727</v>
      </c>
      <c r="C223" s="312"/>
      <c r="D223" s="320">
        <v>41019</v>
      </c>
      <c r="E223" s="288" t="s">
        <v>53</v>
      </c>
      <c r="F223" s="346">
        <v>10</v>
      </c>
      <c r="G223" s="346">
        <v>3</v>
      </c>
      <c r="H223" s="378">
        <v>2862.74</v>
      </c>
      <c r="I223" s="379">
        <v>402</v>
      </c>
      <c r="J223" s="334">
        <f>9511.47+5201.92+2862.74</f>
        <v>17576.129999999997</v>
      </c>
      <c r="K223" s="338">
        <f>1194+685+402</f>
        <v>2281</v>
      </c>
      <c r="L223" s="297">
        <v>41033</v>
      </c>
    </row>
    <row r="224" spans="1:12" ht="12" customHeight="1">
      <c r="A224" s="311">
        <v>221</v>
      </c>
      <c r="B224" s="457" t="s">
        <v>231</v>
      </c>
      <c r="C224" s="312" t="s">
        <v>244</v>
      </c>
      <c r="D224" s="320">
        <v>40809</v>
      </c>
      <c r="E224" s="288" t="s">
        <v>68</v>
      </c>
      <c r="F224" s="312">
        <v>66</v>
      </c>
      <c r="G224" s="312">
        <v>17</v>
      </c>
      <c r="H224" s="382">
        <v>2851.5</v>
      </c>
      <c r="I224" s="383">
        <v>571</v>
      </c>
      <c r="J224" s="328">
        <f>382290+386122+344313.5+244996+104138.75+43618.5+27632+12528+6812+832+1782+2257+1782+5477.5+2138.5+4669.5+970+2851.5</f>
        <v>1575210.75</v>
      </c>
      <c r="K224" s="344">
        <f>34863+36137+32260+23896+12188+5940+2894+1417+1234+90+446+565+446+1293+535+1220+404+571</f>
        <v>156399</v>
      </c>
      <c r="L224" s="297">
        <v>40949</v>
      </c>
    </row>
    <row r="225" spans="1:12" ht="12" customHeight="1">
      <c r="A225" s="311">
        <v>222</v>
      </c>
      <c r="B225" s="457" t="s">
        <v>67</v>
      </c>
      <c r="C225" s="339" t="s">
        <v>85</v>
      </c>
      <c r="D225" s="320">
        <v>40844</v>
      </c>
      <c r="E225" s="288" t="s">
        <v>68</v>
      </c>
      <c r="F225" s="312">
        <v>278</v>
      </c>
      <c r="G225" s="312">
        <v>15</v>
      </c>
      <c r="H225" s="382">
        <v>2851</v>
      </c>
      <c r="I225" s="383">
        <v>570</v>
      </c>
      <c r="J225" s="328">
        <f>2021467.25+4147826.75+1641146.5+1086471.5+837723.5+353523.5+115157+12431.5+1554+13261.5+3397.5+17222.5+17226.5+5821+1188+2851</f>
        <v>10278269.5</v>
      </c>
      <c r="K225" s="344">
        <f>231121+459388+190384+130345+104513+46481+14878+1830+250+1860+737+1888+2090+661+238+570</f>
        <v>1187234</v>
      </c>
      <c r="L225" s="297">
        <v>40949</v>
      </c>
    </row>
    <row r="226" spans="1:12" ht="12" customHeight="1">
      <c r="A226" s="311">
        <v>223</v>
      </c>
      <c r="B226" s="457" t="s">
        <v>132</v>
      </c>
      <c r="C226" s="312" t="s">
        <v>119</v>
      </c>
      <c r="D226" s="320">
        <v>40893</v>
      </c>
      <c r="E226" s="288" t="s">
        <v>68</v>
      </c>
      <c r="F226" s="312">
        <v>23</v>
      </c>
      <c r="G226" s="312">
        <v>9</v>
      </c>
      <c r="H226" s="382">
        <v>2777</v>
      </c>
      <c r="I226" s="383">
        <v>423</v>
      </c>
      <c r="J226" s="328">
        <f>53228.5+28585+20298.5+8299+5922+6463+2186.5+3291+2777</f>
        <v>131050.5</v>
      </c>
      <c r="K226" s="344">
        <f>6440+3537+2691+1237+891+1419+633+570+423</f>
        <v>17841</v>
      </c>
      <c r="L226" s="297">
        <v>40949</v>
      </c>
    </row>
    <row r="227" spans="1:12" ht="12" customHeight="1">
      <c r="A227" s="311">
        <v>224</v>
      </c>
      <c r="B227" s="457" t="s">
        <v>231</v>
      </c>
      <c r="C227" s="312" t="s">
        <v>244</v>
      </c>
      <c r="D227" s="320">
        <v>40809</v>
      </c>
      <c r="E227" s="288" t="s">
        <v>68</v>
      </c>
      <c r="F227" s="312">
        <v>66</v>
      </c>
      <c r="G227" s="312">
        <v>20</v>
      </c>
      <c r="H227" s="382">
        <v>2732.5</v>
      </c>
      <c r="I227" s="383">
        <v>546</v>
      </c>
      <c r="J227" s="328">
        <f>382290+386122+344313.5+244996+104138.75+43618.5+27632+12528+6812+832+1782+2257+1782+5477.5+2138.5+4669.5+970+2851.5+950.5+2732.5</f>
        <v>1578893.75</v>
      </c>
      <c r="K227" s="344">
        <f>34863+36137+32260+23896+12188+5940+2894+1417+1234+90+446+565+446+1293+535+1220+404+571+190+546</f>
        <v>157135</v>
      </c>
      <c r="L227" s="297">
        <v>40977</v>
      </c>
    </row>
    <row r="228" spans="1:12" ht="12" customHeight="1">
      <c r="A228" s="311">
        <v>225</v>
      </c>
      <c r="B228" s="457" t="s">
        <v>101</v>
      </c>
      <c r="C228" s="339" t="s">
        <v>116</v>
      </c>
      <c r="D228" s="320">
        <v>40879</v>
      </c>
      <c r="E228" s="288" t="s">
        <v>68</v>
      </c>
      <c r="F228" s="312">
        <v>202</v>
      </c>
      <c r="G228" s="312">
        <v>11</v>
      </c>
      <c r="H228" s="382">
        <v>2732.5</v>
      </c>
      <c r="I228" s="383">
        <v>523</v>
      </c>
      <c r="J228" s="328">
        <f>1080241.5+1088121+871543+502064+300294.5+131358.5+96969.5+68985+9253.5+5204.5+1760.5+2732.5</f>
        <v>4158528</v>
      </c>
      <c r="K228" s="344">
        <f>121812+123965+100674+61096+39726+19116+14898+10338+1416+922+322+523</f>
        <v>494808</v>
      </c>
      <c r="L228" s="297">
        <v>40963</v>
      </c>
    </row>
    <row r="229" spans="1:12" ht="12" customHeight="1">
      <c r="A229" s="311">
        <v>226</v>
      </c>
      <c r="B229" s="361" t="s">
        <v>685</v>
      </c>
      <c r="C229" s="312"/>
      <c r="D229" s="370">
        <v>41005</v>
      </c>
      <c r="E229" s="288" t="s">
        <v>52</v>
      </c>
      <c r="F229" s="312">
        <v>21</v>
      </c>
      <c r="G229" s="312">
        <v>4</v>
      </c>
      <c r="H229" s="378">
        <v>2648.5</v>
      </c>
      <c r="I229" s="379">
        <v>444</v>
      </c>
      <c r="J229" s="334">
        <v>16640.76</v>
      </c>
      <c r="K229" s="338">
        <v>2157</v>
      </c>
      <c r="L229" s="297">
        <v>41026</v>
      </c>
    </row>
    <row r="230" spans="1:12" ht="12" customHeight="1">
      <c r="A230" s="311">
        <v>227</v>
      </c>
      <c r="B230" s="458" t="s">
        <v>137</v>
      </c>
      <c r="C230" s="288" t="s">
        <v>106</v>
      </c>
      <c r="D230" s="320">
        <v>40900</v>
      </c>
      <c r="E230" s="288" t="s">
        <v>52</v>
      </c>
      <c r="F230" s="331">
        <v>14</v>
      </c>
      <c r="G230" s="331">
        <v>6</v>
      </c>
      <c r="H230" s="378">
        <v>2629</v>
      </c>
      <c r="I230" s="379">
        <v>413</v>
      </c>
      <c r="J230" s="334">
        <v>77251</v>
      </c>
      <c r="K230" s="338">
        <v>7360</v>
      </c>
      <c r="L230" s="297">
        <v>40935</v>
      </c>
    </row>
    <row r="231" spans="1:12" ht="12" customHeight="1">
      <c r="A231" s="311">
        <v>228</v>
      </c>
      <c r="B231" s="360" t="s">
        <v>492</v>
      </c>
      <c r="C231" s="312" t="s">
        <v>499</v>
      </c>
      <c r="D231" s="320">
        <v>40942</v>
      </c>
      <c r="E231" s="288" t="s">
        <v>52</v>
      </c>
      <c r="F231" s="312">
        <v>42</v>
      </c>
      <c r="G231" s="313">
        <v>10</v>
      </c>
      <c r="H231" s="378">
        <v>2581</v>
      </c>
      <c r="I231" s="379">
        <v>469</v>
      </c>
      <c r="J231" s="334">
        <f>162020.35+70285.95+11139.41+12368+4963+5840+1580+3663+5726.3+2581</f>
        <v>280167.00999999995</v>
      </c>
      <c r="K231" s="338">
        <f>16152+7535+1434+1836+857+977+218+723+932+469</f>
        <v>31133</v>
      </c>
      <c r="L231" s="297">
        <v>41005</v>
      </c>
    </row>
    <row r="232" spans="1:12" ht="12" customHeight="1">
      <c r="A232" s="311">
        <v>229</v>
      </c>
      <c r="B232" s="457" t="s">
        <v>67</v>
      </c>
      <c r="C232" s="339" t="s">
        <v>85</v>
      </c>
      <c r="D232" s="320">
        <v>40844</v>
      </c>
      <c r="E232" s="288" t="s">
        <v>68</v>
      </c>
      <c r="F232" s="312">
        <v>278</v>
      </c>
      <c r="G232" s="312">
        <v>15</v>
      </c>
      <c r="H232" s="382">
        <v>2530</v>
      </c>
      <c r="I232" s="383">
        <v>543</v>
      </c>
      <c r="J232" s="328">
        <f>2021467.25+4147826.75+1641146.5+1086471.5+837723.5+353523.5+115157+12431.5+1554+13261.5+3397.5+17222.5+17226.5+5821+1188+2851+2851+2530</f>
        <v>10283650.5</v>
      </c>
      <c r="K232" s="344">
        <f>231121+459388+190384+130345+104513+46481+14878+1830+250+1860+737+1888+2090+661+238+570+284+543</f>
        <v>1188061</v>
      </c>
      <c r="L232" s="297">
        <v>40963</v>
      </c>
    </row>
    <row r="233" spans="1:12" ht="12" customHeight="1">
      <c r="A233" s="311">
        <v>230</v>
      </c>
      <c r="B233" s="362" t="s">
        <v>269</v>
      </c>
      <c r="D233" s="320">
        <v>41012</v>
      </c>
      <c r="E233" s="288" t="s">
        <v>52</v>
      </c>
      <c r="F233" s="312">
        <v>19</v>
      </c>
      <c r="G233" s="312">
        <v>2</v>
      </c>
      <c r="H233" s="378">
        <v>2473.95</v>
      </c>
      <c r="I233" s="379">
        <v>307</v>
      </c>
      <c r="J233" s="334">
        <v>13107.57</v>
      </c>
      <c r="K233" s="338">
        <v>1518</v>
      </c>
      <c r="L233" s="297">
        <v>41019</v>
      </c>
    </row>
    <row r="234" spans="1:12" ht="12" customHeight="1">
      <c r="A234" s="311">
        <v>231</v>
      </c>
      <c r="B234" s="363" t="s">
        <v>74</v>
      </c>
      <c r="C234" s="331" t="s">
        <v>80</v>
      </c>
      <c r="D234" s="320">
        <v>40851</v>
      </c>
      <c r="E234" s="288" t="s">
        <v>53</v>
      </c>
      <c r="F234" s="340">
        <v>247</v>
      </c>
      <c r="G234" s="345">
        <v>20</v>
      </c>
      <c r="H234" s="378">
        <v>2402</v>
      </c>
      <c r="I234" s="379">
        <v>481</v>
      </c>
      <c r="J234" s="334">
        <f>2260223+2366876.75+3859638+3137342+1906742.5+252.25+1189485.5+474275+250512+184428+13126+754+5006+188+4804+3604+350+2402+2402+2402</f>
        <v>15664813</v>
      </c>
      <c r="K234" s="338">
        <f>286038+329194+554088+452220+278080+42+178270+68355+40409+33224+1975+104+988+22+960+721+70+480+480+481</f>
        <v>2226201</v>
      </c>
      <c r="L234" s="297">
        <v>40998</v>
      </c>
    </row>
    <row r="235" spans="1:12" ht="12" customHeight="1">
      <c r="A235" s="311">
        <v>232</v>
      </c>
      <c r="B235" s="363" t="s">
        <v>660</v>
      </c>
      <c r="C235" s="331"/>
      <c r="D235" s="320">
        <v>40550</v>
      </c>
      <c r="E235" s="288" t="s">
        <v>53</v>
      </c>
      <c r="F235" s="346">
        <v>243</v>
      </c>
      <c r="G235" s="346">
        <v>22</v>
      </c>
      <c r="H235" s="378">
        <v>2402</v>
      </c>
      <c r="I235" s="379">
        <v>481</v>
      </c>
      <c r="J235" s="334">
        <f>3050831.5+2178855.5+1196710.5+496983-200+210922.5+72277.5+4+43197.5+17348.5+5963-21+911+2090+3211+288+13851+660+6810+66+156+103+3603+1201+2402</f>
        <v>7308224.5</v>
      </c>
      <c r="K235" s="338">
        <f>393137+282255+156413+64920+60+27548+10641+7089+3227+1196+161+455+643+72+2547+132+1127+11+26+25+720+240+481</f>
        <v>953126</v>
      </c>
      <c r="L235" s="297">
        <v>41033</v>
      </c>
    </row>
    <row r="236" spans="1:12" ht="12" customHeight="1">
      <c r="A236" s="311">
        <v>233</v>
      </c>
      <c r="B236" s="458" t="s">
        <v>74</v>
      </c>
      <c r="C236" s="331" t="s">
        <v>80</v>
      </c>
      <c r="D236" s="320">
        <v>40851</v>
      </c>
      <c r="E236" s="288" t="s">
        <v>53</v>
      </c>
      <c r="F236" s="340">
        <v>247</v>
      </c>
      <c r="G236" s="346">
        <v>18</v>
      </c>
      <c r="H236" s="378">
        <v>2402</v>
      </c>
      <c r="I236" s="379">
        <v>480</v>
      </c>
      <c r="J236" s="334">
        <f>2260223+2366876.75+3859638+3137342+1906742.5+252.25+1189485.5+474275+250512+184428+13126+754+5006+188+4804+3604+350+2402</f>
        <v>15660009</v>
      </c>
      <c r="K236" s="338">
        <f>286038+329194+554088+452220+278080+42+178270+68355+40409+33224+1975+104+988+22+960+721+70+480</f>
        <v>2225240</v>
      </c>
      <c r="L236" s="297">
        <v>40970</v>
      </c>
    </row>
    <row r="237" spans="1:12" ht="12" customHeight="1">
      <c r="A237" s="311">
        <v>234</v>
      </c>
      <c r="B237" s="458" t="s">
        <v>74</v>
      </c>
      <c r="C237" s="331" t="s">
        <v>80</v>
      </c>
      <c r="D237" s="320">
        <v>40851</v>
      </c>
      <c r="E237" s="288" t="s">
        <v>53</v>
      </c>
      <c r="F237" s="340">
        <v>247</v>
      </c>
      <c r="G237" s="346">
        <v>19</v>
      </c>
      <c r="H237" s="378">
        <v>2402</v>
      </c>
      <c r="I237" s="379">
        <v>480</v>
      </c>
      <c r="J237" s="334">
        <f>2260223+2366876.75+3859638+3137342+1906742.5+252.25+1189485.5+474275+250512+184428+13126+754+5006+188+4804+3604+350+2402+2402</f>
        <v>15662411</v>
      </c>
      <c r="K237" s="338">
        <f>286038+329194+554088+452220+278080+42+178270+68355+40409+33224+1975+104+988+22+960+721+70+480+480</f>
        <v>2225720</v>
      </c>
      <c r="L237" s="297">
        <v>40984</v>
      </c>
    </row>
    <row r="238" spans="1:12" ht="12" customHeight="1">
      <c r="A238" s="311">
        <v>235</v>
      </c>
      <c r="B238" s="365" t="s">
        <v>292</v>
      </c>
      <c r="C238" s="340" t="s">
        <v>295</v>
      </c>
      <c r="D238" s="320">
        <v>40830</v>
      </c>
      <c r="E238" s="288" t="s">
        <v>53</v>
      </c>
      <c r="F238" s="346">
        <v>142</v>
      </c>
      <c r="G238" s="346">
        <v>12</v>
      </c>
      <c r="H238" s="378">
        <v>2402</v>
      </c>
      <c r="I238" s="379">
        <v>480</v>
      </c>
      <c r="J238" s="334">
        <f>248732+139942.5+41015.5+4968+2270+1973+10279+6007+1097+295+261+2402</f>
        <v>459242</v>
      </c>
      <c r="K238" s="338">
        <f>33636+19210+5940+800+378+422+1552+983+159+45+36+480</f>
        <v>63641</v>
      </c>
      <c r="L238" s="297">
        <v>40914</v>
      </c>
    </row>
    <row r="239" spans="1:12" ht="12" customHeight="1">
      <c r="A239" s="311">
        <v>236</v>
      </c>
      <c r="B239" s="532" t="s">
        <v>104</v>
      </c>
      <c r="C239" s="312" t="s">
        <v>107</v>
      </c>
      <c r="D239" s="320">
        <v>40879</v>
      </c>
      <c r="E239" s="288" t="s">
        <v>53</v>
      </c>
      <c r="F239" s="312">
        <v>135</v>
      </c>
      <c r="G239" s="346">
        <v>15</v>
      </c>
      <c r="H239" s="378">
        <v>2402</v>
      </c>
      <c r="I239" s="379">
        <v>480</v>
      </c>
      <c r="J239" s="334">
        <f>1709882.25+1194489.75+708906.5+376327+70+197271.5+73341.5+70692.5+50480.5+9953.5+3058+838+28+63+74+2402</f>
        <v>4397878</v>
      </c>
      <c r="K239" s="338">
        <f>195314+135261+80447+45395+10+25625+10302+10950+7727+1402+435+131+4+9+10+480</f>
        <v>513502</v>
      </c>
      <c r="L239" s="297">
        <v>40977</v>
      </c>
    </row>
    <row r="240" spans="1:12" ht="12" customHeight="1">
      <c r="A240" s="311">
        <v>237</v>
      </c>
      <c r="B240" s="457" t="s">
        <v>109</v>
      </c>
      <c r="C240" s="312" t="s">
        <v>110</v>
      </c>
      <c r="D240" s="320">
        <v>40886</v>
      </c>
      <c r="E240" s="288" t="s">
        <v>12</v>
      </c>
      <c r="F240" s="312">
        <v>161</v>
      </c>
      <c r="G240" s="312">
        <v>15</v>
      </c>
      <c r="H240" s="378">
        <v>2394</v>
      </c>
      <c r="I240" s="379">
        <v>378</v>
      </c>
      <c r="J240" s="334">
        <v>884718</v>
      </c>
      <c r="K240" s="338">
        <v>108088</v>
      </c>
      <c r="L240" s="297">
        <v>40984</v>
      </c>
    </row>
    <row r="241" spans="1:12" ht="12" customHeight="1">
      <c r="A241" s="311">
        <v>238</v>
      </c>
      <c r="B241" s="364" t="s">
        <v>484</v>
      </c>
      <c r="C241" s="312"/>
      <c r="D241" s="369">
        <v>40935</v>
      </c>
      <c r="E241" s="288" t="s">
        <v>12</v>
      </c>
      <c r="F241" s="312">
        <v>352</v>
      </c>
      <c r="G241" s="312">
        <v>16</v>
      </c>
      <c r="H241" s="378">
        <v>2394</v>
      </c>
      <c r="I241" s="379">
        <v>378</v>
      </c>
      <c r="J241" s="334">
        <v>18170755</v>
      </c>
      <c r="K241" s="338">
        <v>1971433</v>
      </c>
      <c r="L241" s="297">
        <v>41040</v>
      </c>
    </row>
    <row r="242" spans="1:12" ht="12" customHeight="1">
      <c r="A242" s="311">
        <v>239</v>
      </c>
      <c r="B242" s="533" t="s">
        <v>98</v>
      </c>
      <c r="C242" s="312" t="s">
        <v>99</v>
      </c>
      <c r="D242" s="297">
        <v>40872</v>
      </c>
      <c r="E242" s="288" t="s">
        <v>10</v>
      </c>
      <c r="F242" s="312">
        <v>277</v>
      </c>
      <c r="G242" s="331">
        <v>15</v>
      </c>
      <c r="H242" s="382">
        <v>2380</v>
      </c>
      <c r="I242" s="383">
        <v>605</v>
      </c>
      <c r="J242" s="328">
        <v>10950659</v>
      </c>
      <c r="K242" s="344">
        <v>1173389</v>
      </c>
      <c r="L242" s="297">
        <v>40970</v>
      </c>
    </row>
    <row r="243" spans="1:12" ht="12" customHeight="1">
      <c r="A243" s="311">
        <v>240</v>
      </c>
      <c r="B243" s="533" t="s">
        <v>98</v>
      </c>
      <c r="C243" s="312" t="s">
        <v>99</v>
      </c>
      <c r="D243" s="297">
        <v>40872</v>
      </c>
      <c r="E243" s="288" t="s">
        <v>10</v>
      </c>
      <c r="F243" s="312">
        <v>277</v>
      </c>
      <c r="G243" s="331">
        <v>14</v>
      </c>
      <c r="H243" s="382">
        <v>2380</v>
      </c>
      <c r="I243" s="383">
        <v>595</v>
      </c>
      <c r="J243" s="328">
        <f>10945899+2380</f>
        <v>10948279</v>
      </c>
      <c r="K243" s="344">
        <f>1172189+595</f>
        <v>1172784</v>
      </c>
      <c r="L243" s="297">
        <v>40963</v>
      </c>
    </row>
    <row r="244" spans="1:12" ht="12" customHeight="1">
      <c r="A244" s="311">
        <v>241</v>
      </c>
      <c r="B244" s="533" t="s">
        <v>98</v>
      </c>
      <c r="C244" s="312" t="s">
        <v>99</v>
      </c>
      <c r="D244" s="297">
        <v>40872</v>
      </c>
      <c r="E244" s="288" t="s">
        <v>10</v>
      </c>
      <c r="F244" s="312">
        <v>277</v>
      </c>
      <c r="G244" s="331">
        <v>17</v>
      </c>
      <c r="H244" s="382">
        <v>2380</v>
      </c>
      <c r="I244" s="383">
        <v>595</v>
      </c>
      <c r="J244" s="328">
        <v>10955419</v>
      </c>
      <c r="K244" s="344">
        <v>1174460</v>
      </c>
      <c r="L244" s="297">
        <v>40984</v>
      </c>
    </row>
    <row r="245" spans="1:12" ht="12" customHeight="1">
      <c r="A245" s="311">
        <v>242</v>
      </c>
      <c r="B245" s="533" t="s">
        <v>98</v>
      </c>
      <c r="C245" s="312" t="s">
        <v>99</v>
      </c>
      <c r="D245" s="297">
        <v>40872</v>
      </c>
      <c r="E245" s="288" t="s">
        <v>10</v>
      </c>
      <c r="F245" s="312">
        <v>277</v>
      </c>
      <c r="G245" s="331">
        <v>16</v>
      </c>
      <c r="H245" s="382">
        <v>2380</v>
      </c>
      <c r="I245" s="383">
        <v>476</v>
      </c>
      <c r="J245" s="328">
        <v>10953039</v>
      </c>
      <c r="K245" s="344">
        <v>1173865</v>
      </c>
      <c r="L245" s="297">
        <v>40977</v>
      </c>
    </row>
    <row r="246" spans="1:12" ht="12" customHeight="1">
      <c r="A246" s="311">
        <v>243</v>
      </c>
      <c r="B246" s="363" t="s">
        <v>137</v>
      </c>
      <c r="C246" s="288"/>
      <c r="D246" s="370">
        <v>40900</v>
      </c>
      <c r="E246" s="288" t="s">
        <v>52</v>
      </c>
      <c r="F246" s="331">
        <v>14</v>
      </c>
      <c r="G246" s="312">
        <v>8</v>
      </c>
      <c r="H246" s="378">
        <v>2376</v>
      </c>
      <c r="I246" s="379">
        <v>475</v>
      </c>
      <c r="J246" s="334">
        <v>80732</v>
      </c>
      <c r="K246" s="338">
        <v>7994</v>
      </c>
      <c r="L246" s="297">
        <v>41026</v>
      </c>
    </row>
    <row r="247" spans="1:12" ht="12" customHeight="1">
      <c r="A247" s="311">
        <v>244</v>
      </c>
      <c r="B247" s="366" t="s">
        <v>67</v>
      </c>
      <c r="C247" s="288"/>
      <c r="D247" s="370">
        <v>40844</v>
      </c>
      <c r="E247" s="288" t="s">
        <v>68</v>
      </c>
      <c r="F247" s="312">
        <v>278</v>
      </c>
      <c r="G247" s="312">
        <v>23</v>
      </c>
      <c r="H247" s="382">
        <v>2376</v>
      </c>
      <c r="I247" s="383">
        <v>475</v>
      </c>
      <c r="J247" s="328">
        <f>2021467.25+4147826.75+1641146.5+1086471.5+837723.5+353523.5+115157+12431.5+1554+13261.5+3397.5+17222.5+17226.5+5821+1188+2851+2851+2530+4832+1188+1425.5+1425.5+2376</f>
        <v>10294897.5</v>
      </c>
      <c r="K247" s="344">
        <f>231121+459388+190384+130345+104513+46481+14878+1830+250+1860+737+1888+2090+661+238+570+284+543+673+238+285+238+475</f>
        <v>1189970</v>
      </c>
      <c r="L247" s="297">
        <v>41040</v>
      </c>
    </row>
    <row r="248" spans="1:12" ht="12" customHeight="1">
      <c r="A248" s="311">
        <v>245</v>
      </c>
      <c r="B248" s="360" t="s">
        <v>599</v>
      </c>
      <c r="C248" s="288" t="s">
        <v>602</v>
      </c>
      <c r="D248" s="297">
        <v>40977</v>
      </c>
      <c r="E248" s="288" t="s">
        <v>53</v>
      </c>
      <c r="F248" s="312">
        <v>85</v>
      </c>
      <c r="G248" s="345">
        <v>4</v>
      </c>
      <c r="H248" s="378">
        <v>2364.5</v>
      </c>
      <c r="I248" s="379">
        <v>347</v>
      </c>
      <c r="J248" s="334">
        <f>70303.72+30009.91+8450.36+2364.5</f>
        <v>111128.49</v>
      </c>
      <c r="K248" s="338">
        <f>9206+3925+1180+347</f>
        <v>14658</v>
      </c>
      <c r="L248" s="297">
        <v>40998</v>
      </c>
    </row>
    <row r="249" spans="1:12" ht="12" customHeight="1">
      <c r="A249" s="311">
        <v>246</v>
      </c>
      <c r="B249" s="533" t="s">
        <v>98</v>
      </c>
      <c r="C249" s="312" t="s">
        <v>99</v>
      </c>
      <c r="D249" s="297">
        <v>40872</v>
      </c>
      <c r="E249" s="288" t="s">
        <v>10</v>
      </c>
      <c r="F249" s="312">
        <v>277</v>
      </c>
      <c r="G249" s="331">
        <v>10</v>
      </c>
      <c r="H249" s="382">
        <v>2354</v>
      </c>
      <c r="I249" s="383">
        <v>410</v>
      </c>
      <c r="J249" s="328">
        <v>10933585</v>
      </c>
      <c r="K249" s="344">
        <v>1169555</v>
      </c>
      <c r="L249" s="297">
        <v>40935</v>
      </c>
    </row>
    <row r="250" spans="1:12" ht="12" customHeight="1">
      <c r="A250" s="311">
        <v>247</v>
      </c>
      <c r="B250" s="364" t="s">
        <v>484</v>
      </c>
      <c r="C250" s="312" t="s">
        <v>305</v>
      </c>
      <c r="D250" s="297">
        <v>40935</v>
      </c>
      <c r="E250" s="288" t="s">
        <v>12</v>
      </c>
      <c r="F250" s="340">
        <v>352</v>
      </c>
      <c r="G250" s="313">
        <v>11</v>
      </c>
      <c r="H250" s="378">
        <v>2286</v>
      </c>
      <c r="I250" s="379">
        <v>674</v>
      </c>
      <c r="J250" s="334">
        <v>18160281</v>
      </c>
      <c r="K250" s="338">
        <v>1969499</v>
      </c>
      <c r="L250" s="297">
        <v>41005</v>
      </c>
    </row>
    <row r="251" spans="1:12" ht="12" customHeight="1">
      <c r="A251" s="311">
        <v>248</v>
      </c>
      <c r="B251" s="365" t="s">
        <v>294</v>
      </c>
      <c r="C251" s="340" t="s">
        <v>296</v>
      </c>
      <c r="D251" s="320">
        <v>40914</v>
      </c>
      <c r="E251" s="288" t="s">
        <v>53</v>
      </c>
      <c r="F251" s="346">
        <v>97</v>
      </c>
      <c r="G251" s="346">
        <v>10</v>
      </c>
      <c r="H251" s="378">
        <v>2260</v>
      </c>
      <c r="I251" s="379">
        <v>754</v>
      </c>
      <c r="J251" s="334">
        <f>216520+198358.5+149589.5+18051.79+5443+2220+114+4171+1835+2260</f>
        <v>598562.79</v>
      </c>
      <c r="K251" s="338">
        <f>26831+25025+19383+2440+733+337+19+682+538+754</f>
        <v>76742</v>
      </c>
      <c r="L251" s="297">
        <v>40984</v>
      </c>
    </row>
    <row r="252" spans="1:12" ht="12" customHeight="1">
      <c r="A252" s="311">
        <v>249</v>
      </c>
      <c r="B252" s="365" t="s">
        <v>294</v>
      </c>
      <c r="C252" s="340" t="s">
        <v>296</v>
      </c>
      <c r="D252" s="320">
        <v>40914</v>
      </c>
      <c r="E252" s="288" t="s">
        <v>53</v>
      </c>
      <c r="F252" s="346">
        <v>97</v>
      </c>
      <c r="G252" s="346">
        <v>6</v>
      </c>
      <c r="H252" s="378">
        <v>2220</v>
      </c>
      <c r="I252" s="379">
        <v>337</v>
      </c>
      <c r="J252" s="334">
        <f>216520+198358.5+149589.5+18051.79+5443+2220</f>
        <v>590182.79</v>
      </c>
      <c r="K252" s="338">
        <f>26831+25025+19383+2440+733+337</f>
        <v>74749</v>
      </c>
      <c r="L252" s="297">
        <v>40949</v>
      </c>
    </row>
    <row r="253" spans="1:12" ht="12" customHeight="1">
      <c r="A253" s="311">
        <v>250</v>
      </c>
      <c r="B253" s="361" t="s">
        <v>648</v>
      </c>
      <c r="C253" s="312"/>
      <c r="D253" s="320">
        <v>40991</v>
      </c>
      <c r="E253" s="288" t="s">
        <v>68</v>
      </c>
      <c r="F253" s="312">
        <v>20</v>
      </c>
      <c r="G253" s="312">
        <v>7</v>
      </c>
      <c r="H253" s="382">
        <v>2188</v>
      </c>
      <c r="I253" s="383">
        <v>309</v>
      </c>
      <c r="J253" s="328">
        <f>50858.29+38451.47+23135.83+10325.02+9081+9951+2188</f>
        <v>143990.61000000002</v>
      </c>
      <c r="K253" s="344">
        <f>5799+4385+2913+1485+1324+1503+309</f>
        <v>17718</v>
      </c>
      <c r="L253" s="297">
        <v>41033</v>
      </c>
    </row>
    <row r="254" spans="1:12" ht="12" customHeight="1">
      <c r="A254" s="311">
        <v>251</v>
      </c>
      <c r="B254" s="457" t="s">
        <v>132</v>
      </c>
      <c r="C254" s="312" t="s">
        <v>119</v>
      </c>
      <c r="D254" s="320">
        <v>40893</v>
      </c>
      <c r="E254" s="288" t="s">
        <v>68</v>
      </c>
      <c r="F254" s="312">
        <v>23</v>
      </c>
      <c r="G254" s="312">
        <v>7</v>
      </c>
      <c r="H254" s="382">
        <v>2186.5</v>
      </c>
      <c r="I254" s="383">
        <v>633</v>
      </c>
      <c r="J254" s="328">
        <f>53228.5+28585+20298.5+8299+5922+6463+2186.5</f>
        <v>124982.5</v>
      </c>
      <c r="K254" s="344">
        <f>6440+3537+2691+1237+891+1419+633</f>
        <v>16848</v>
      </c>
      <c r="L254" s="297">
        <v>40935</v>
      </c>
    </row>
    <row r="255" spans="1:12" ht="12" customHeight="1">
      <c r="A255" s="311">
        <v>252</v>
      </c>
      <c r="B255" s="457" t="s">
        <v>231</v>
      </c>
      <c r="C255" s="312" t="s">
        <v>244</v>
      </c>
      <c r="D255" s="320">
        <v>40809</v>
      </c>
      <c r="E255" s="288" t="s">
        <v>68</v>
      </c>
      <c r="F255" s="312">
        <v>66</v>
      </c>
      <c r="G255" s="312">
        <v>15</v>
      </c>
      <c r="H255" s="382">
        <v>2138.5</v>
      </c>
      <c r="I255" s="383">
        <v>535</v>
      </c>
      <c r="J255" s="328">
        <f>382290+386122+344313.5+244996+104138.75+43618.5+27632+12528+6812+832+1782+2257+1782+5477.5+2138.5</f>
        <v>1566719.75</v>
      </c>
      <c r="K255" s="344">
        <f>34863+36137+32260+23896+12188+5940+2894+1417+1234+90+446+565+446+1293+535</f>
        <v>154204</v>
      </c>
      <c r="L255" s="297">
        <v>40907</v>
      </c>
    </row>
    <row r="256" spans="1:12" ht="12" customHeight="1">
      <c r="A256" s="311">
        <v>253</v>
      </c>
      <c r="B256" s="457" t="s">
        <v>309</v>
      </c>
      <c r="C256" s="339" t="s">
        <v>320</v>
      </c>
      <c r="D256" s="320">
        <v>40676</v>
      </c>
      <c r="E256" s="288" t="s">
        <v>68</v>
      </c>
      <c r="F256" s="312">
        <v>10</v>
      </c>
      <c r="G256" s="312">
        <v>21</v>
      </c>
      <c r="H256" s="382">
        <v>2138.5</v>
      </c>
      <c r="I256" s="383">
        <v>535</v>
      </c>
      <c r="J256" s="328">
        <f>19776.5+5289.5+3941.5+4149+6030.5+491+2263+886+669+235+576+182+578+116+1188+1782+1782+1782+1782+3801.5+2138.5</f>
        <v>59439</v>
      </c>
      <c r="K256" s="344">
        <f>2214+710+772+646+1024+103+434+139+105+46+100+16+62+13+297+446+446+446+446+950+535</f>
        <v>9950</v>
      </c>
      <c r="L256" s="297">
        <v>40921</v>
      </c>
    </row>
    <row r="257" spans="1:12" ht="12" customHeight="1">
      <c r="A257" s="311">
        <v>254</v>
      </c>
      <c r="B257" s="360" t="s">
        <v>492</v>
      </c>
      <c r="C257" s="312" t="s">
        <v>824</v>
      </c>
      <c r="D257" s="370">
        <v>40942</v>
      </c>
      <c r="E257" s="288" t="s">
        <v>52</v>
      </c>
      <c r="F257" s="312">
        <v>42</v>
      </c>
      <c r="G257" s="312">
        <v>15</v>
      </c>
      <c r="H257" s="378">
        <v>2094</v>
      </c>
      <c r="I257" s="379">
        <v>404</v>
      </c>
      <c r="J257" s="334">
        <v>289120.01</v>
      </c>
      <c r="K257" s="338">
        <v>32731</v>
      </c>
      <c r="L257" s="297">
        <v>41040</v>
      </c>
    </row>
    <row r="258" spans="1:12" ht="12" customHeight="1">
      <c r="A258" s="311">
        <v>255</v>
      </c>
      <c r="B258" s="533" t="s">
        <v>304</v>
      </c>
      <c r="C258" s="312" t="s">
        <v>305</v>
      </c>
      <c r="D258" s="320">
        <v>40914</v>
      </c>
      <c r="E258" s="288" t="s">
        <v>12</v>
      </c>
      <c r="F258" s="312">
        <v>204</v>
      </c>
      <c r="G258" s="312">
        <v>10</v>
      </c>
      <c r="H258" s="378">
        <v>2048</v>
      </c>
      <c r="I258" s="379">
        <v>384</v>
      </c>
      <c r="J258" s="334">
        <v>5366813</v>
      </c>
      <c r="K258" s="338">
        <v>579842</v>
      </c>
      <c r="L258" s="297">
        <v>40977</v>
      </c>
    </row>
    <row r="259" spans="1:12" ht="12" customHeight="1">
      <c r="A259" s="311">
        <v>256</v>
      </c>
      <c r="B259" s="361" t="s">
        <v>685</v>
      </c>
      <c r="C259" s="312" t="s">
        <v>820</v>
      </c>
      <c r="D259" s="320">
        <v>41005</v>
      </c>
      <c r="E259" s="288" t="s">
        <v>52</v>
      </c>
      <c r="F259" s="312">
        <v>21</v>
      </c>
      <c r="G259" s="312">
        <v>5</v>
      </c>
      <c r="H259" s="378">
        <v>2002.49</v>
      </c>
      <c r="I259" s="379">
        <v>276</v>
      </c>
      <c r="J259" s="334">
        <v>18643.25</v>
      </c>
      <c r="K259" s="338">
        <v>2433</v>
      </c>
      <c r="L259" s="297">
        <v>41033</v>
      </c>
    </row>
    <row r="260" spans="1:12" ht="12" customHeight="1">
      <c r="A260" s="311">
        <v>257</v>
      </c>
      <c r="B260" s="458" t="s">
        <v>77</v>
      </c>
      <c r="C260" s="288" t="s">
        <v>168</v>
      </c>
      <c r="D260" s="320">
        <v>40865</v>
      </c>
      <c r="E260" s="288" t="s">
        <v>52</v>
      </c>
      <c r="F260" s="331">
        <v>64</v>
      </c>
      <c r="G260" s="331">
        <v>8</v>
      </c>
      <c r="H260" s="474">
        <v>1985</v>
      </c>
      <c r="I260" s="475">
        <v>352</v>
      </c>
      <c r="J260" s="330">
        <f>256046+137037.5+20115+5099+3542+3484.5+1302+1985</f>
        <v>428611</v>
      </c>
      <c r="K260" s="338">
        <f>25390+13650+2140+705+587+707+246+352</f>
        <v>43777</v>
      </c>
      <c r="L260" s="297">
        <v>40914</v>
      </c>
    </row>
    <row r="261" spans="1:12" ht="12" customHeight="1">
      <c r="A261" s="311">
        <v>258</v>
      </c>
      <c r="B261" s="365" t="s">
        <v>644</v>
      </c>
      <c r="C261" s="340" t="s">
        <v>646</v>
      </c>
      <c r="D261" s="320">
        <v>40480</v>
      </c>
      <c r="E261" s="288" t="s">
        <v>53</v>
      </c>
      <c r="F261" s="346">
        <v>135</v>
      </c>
      <c r="G261" s="346">
        <v>12</v>
      </c>
      <c r="H261" s="378">
        <v>1922</v>
      </c>
      <c r="I261" s="379">
        <v>384</v>
      </c>
      <c r="J261" s="334">
        <f>151771.5+44278.5+20156+4831.5+5960.5+2697+3743.5+81+2518+2320+604+265+1922</f>
        <v>241148.5</v>
      </c>
      <c r="K261" s="338">
        <f>19003+7410+3277+795+995+475+746+11+433+386+91+52+384</f>
        <v>34058</v>
      </c>
      <c r="L261" s="297">
        <v>40991</v>
      </c>
    </row>
    <row r="262" spans="1:12" ht="12" customHeight="1">
      <c r="A262" s="311">
        <v>259</v>
      </c>
      <c r="B262" s="532" t="s">
        <v>261</v>
      </c>
      <c r="C262" s="312" t="s">
        <v>106</v>
      </c>
      <c r="D262" s="320">
        <v>40886</v>
      </c>
      <c r="E262" s="288" t="s">
        <v>52</v>
      </c>
      <c r="F262" s="341">
        <v>8</v>
      </c>
      <c r="G262" s="331">
        <v>5</v>
      </c>
      <c r="H262" s="476">
        <v>1920</v>
      </c>
      <c r="I262" s="477">
        <v>379</v>
      </c>
      <c r="J262" s="453">
        <f>11392+5145+695+1862+1920</f>
        <v>21014</v>
      </c>
      <c r="K262" s="338">
        <f>1392+701+109+241+379</f>
        <v>2822</v>
      </c>
      <c r="L262" s="297">
        <v>40921</v>
      </c>
    </row>
    <row r="263" spans="1:12" ht="12" customHeight="1">
      <c r="A263" s="311">
        <v>260</v>
      </c>
      <c r="B263" s="361" t="s">
        <v>104</v>
      </c>
      <c r="C263" s="312"/>
      <c r="D263" s="370">
        <v>40879</v>
      </c>
      <c r="E263" s="288" t="s">
        <v>53</v>
      </c>
      <c r="F263" s="346">
        <v>135</v>
      </c>
      <c r="G263" s="346">
        <v>18</v>
      </c>
      <c r="H263" s="378">
        <v>1887</v>
      </c>
      <c r="I263" s="379">
        <v>377</v>
      </c>
      <c r="J263" s="334">
        <f>1709882.25+1194489.75+708906.5+376327+70+197271.5+73341.5+70692.5+50480.5+9953.5+3058+838+28+63+74+2402+315+200+1887</f>
        <v>4400280</v>
      </c>
      <c r="K263" s="338">
        <f>195314+135261+80447+45395+10+25625+10302+10950+7727+1402+435+131+4+9+10+480+63+40+377</f>
        <v>513982</v>
      </c>
      <c r="L263" s="297">
        <v>41040</v>
      </c>
    </row>
    <row r="264" spans="1:12" ht="12" customHeight="1">
      <c r="A264" s="311">
        <v>261</v>
      </c>
      <c r="B264" s="532" t="s">
        <v>261</v>
      </c>
      <c r="C264" s="312" t="s">
        <v>106</v>
      </c>
      <c r="D264" s="320">
        <v>40886</v>
      </c>
      <c r="E264" s="288" t="s">
        <v>52</v>
      </c>
      <c r="F264" s="341">
        <v>8</v>
      </c>
      <c r="G264" s="331">
        <v>4</v>
      </c>
      <c r="H264" s="474">
        <v>1862</v>
      </c>
      <c r="I264" s="475">
        <v>241</v>
      </c>
      <c r="J264" s="330">
        <f>11392+5145+695+1862</f>
        <v>19094</v>
      </c>
      <c r="K264" s="338">
        <f>1392+701+109+241</f>
        <v>2443</v>
      </c>
      <c r="L264" s="297">
        <v>40907</v>
      </c>
    </row>
    <row r="265" spans="1:12" ht="12" customHeight="1">
      <c r="A265" s="311">
        <v>262</v>
      </c>
      <c r="B265" s="365" t="s">
        <v>130</v>
      </c>
      <c r="C265" s="312" t="s">
        <v>131</v>
      </c>
      <c r="D265" s="297">
        <v>40893</v>
      </c>
      <c r="E265" s="288" t="s">
        <v>8</v>
      </c>
      <c r="F265" s="340">
        <v>131</v>
      </c>
      <c r="G265" s="340">
        <v>12</v>
      </c>
      <c r="H265" s="382">
        <v>1843</v>
      </c>
      <c r="I265" s="383">
        <v>250</v>
      </c>
      <c r="J265" s="328">
        <v>15466645</v>
      </c>
      <c r="K265" s="344">
        <v>1730202</v>
      </c>
      <c r="L265" s="297">
        <v>40970</v>
      </c>
    </row>
    <row r="266" spans="1:12" ht="12" customHeight="1">
      <c r="A266" s="311">
        <v>263</v>
      </c>
      <c r="B266" s="365" t="s">
        <v>294</v>
      </c>
      <c r="C266" s="340" t="s">
        <v>296</v>
      </c>
      <c r="D266" s="320">
        <v>40914</v>
      </c>
      <c r="E266" s="288" t="s">
        <v>53</v>
      </c>
      <c r="F266" s="346">
        <v>97</v>
      </c>
      <c r="G266" s="346">
        <v>9</v>
      </c>
      <c r="H266" s="378">
        <v>1835</v>
      </c>
      <c r="I266" s="379">
        <v>538</v>
      </c>
      <c r="J266" s="334">
        <f>216520+198358.5+149589.5+18051.79+5443+2220+114+4171+1835</f>
        <v>596302.79</v>
      </c>
      <c r="K266" s="338">
        <f>26831+25025+19383+2440+733+337+19+682+538</f>
        <v>75988</v>
      </c>
      <c r="L266" s="297">
        <v>40977</v>
      </c>
    </row>
    <row r="267" spans="1:12" ht="12" customHeight="1">
      <c r="A267" s="311">
        <v>264</v>
      </c>
      <c r="B267" s="361" t="s">
        <v>334</v>
      </c>
      <c r="C267" s="288" t="s">
        <v>335</v>
      </c>
      <c r="D267" s="320">
        <v>40921</v>
      </c>
      <c r="E267" s="288" t="s">
        <v>52</v>
      </c>
      <c r="F267" s="312">
        <v>49</v>
      </c>
      <c r="G267" s="313">
        <v>10</v>
      </c>
      <c r="H267" s="378">
        <v>1814</v>
      </c>
      <c r="I267" s="379">
        <v>385</v>
      </c>
      <c r="J267" s="334">
        <f>141020.93+89437.99+36948.92+9243.92+2376+563+3853+1409+1930+4565+1814</f>
        <v>293161.75999999995</v>
      </c>
      <c r="K267" s="338">
        <f>17593+11265+5202+1248+344+74+577+186+353+718+385</f>
        <v>37945</v>
      </c>
      <c r="L267" s="297">
        <v>41005</v>
      </c>
    </row>
    <row r="268" spans="1:12" ht="12" customHeight="1">
      <c r="A268" s="311">
        <v>265</v>
      </c>
      <c r="B268" s="457" t="s">
        <v>312</v>
      </c>
      <c r="C268" s="339" t="s">
        <v>321</v>
      </c>
      <c r="D268" s="320">
        <v>40795</v>
      </c>
      <c r="E268" s="288" t="s">
        <v>68</v>
      </c>
      <c r="F268" s="312">
        <v>3</v>
      </c>
      <c r="G268" s="312">
        <v>8</v>
      </c>
      <c r="H268" s="382">
        <v>1782</v>
      </c>
      <c r="I268" s="383">
        <v>446</v>
      </c>
      <c r="J268" s="328">
        <f>4125+2511+398+1048+854+482+594+1782</f>
        <v>11794</v>
      </c>
      <c r="K268" s="344">
        <f>422+287+52+100+134+61+149+446</f>
        <v>1651</v>
      </c>
      <c r="L268" s="297">
        <v>40914</v>
      </c>
    </row>
    <row r="269" spans="1:12" ht="12" customHeight="1">
      <c r="A269" s="311">
        <v>266</v>
      </c>
      <c r="B269" s="457" t="s">
        <v>507</v>
      </c>
      <c r="C269" s="339" t="s">
        <v>508</v>
      </c>
      <c r="D269" s="320">
        <v>40662</v>
      </c>
      <c r="E269" s="288" t="s">
        <v>68</v>
      </c>
      <c r="F269" s="312">
        <v>10</v>
      </c>
      <c r="G269" s="312">
        <v>20</v>
      </c>
      <c r="H269" s="382">
        <v>1782</v>
      </c>
      <c r="I269" s="383">
        <v>398</v>
      </c>
      <c r="J269" s="328">
        <f>12563.75+2983.5+2680+354+641+412+470+299+1405.5+1335+741+1188+1188+2138.5+2851+594+430+950.5+950.5+1782</f>
        <v>35957.25</v>
      </c>
      <c r="K269" s="344">
        <f>1693+350+279+68+81+51+66+35+228+169+92+297+297+535+715+149+188+190+190+398</f>
        <v>6071</v>
      </c>
      <c r="L269" s="297">
        <v>40977</v>
      </c>
    </row>
    <row r="270" spans="1:12" ht="12" customHeight="1">
      <c r="A270" s="311">
        <v>267</v>
      </c>
      <c r="B270" s="366" t="s">
        <v>140</v>
      </c>
      <c r="C270" s="312" t="s">
        <v>188</v>
      </c>
      <c r="D270" s="320">
        <v>40900</v>
      </c>
      <c r="E270" s="288" t="s">
        <v>68</v>
      </c>
      <c r="F270" s="313">
        <v>197</v>
      </c>
      <c r="G270" s="313">
        <v>10</v>
      </c>
      <c r="H270" s="382">
        <v>1782</v>
      </c>
      <c r="I270" s="383">
        <v>356</v>
      </c>
      <c r="J270" s="328">
        <f>985836.5+657011.5+454728.5+206461+72029+16105.51+5902+3599+438+1782</f>
        <v>2403893.01</v>
      </c>
      <c r="K270" s="344">
        <f>106718+73176+50608+29114+10776+3413+1375+639+190+356</f>
        <v>276365</v>
      </c>
      <c r="L270" s="297">
        <v>40998</v>
      </c>
    </row>
    <row r="271" spans="1:12" ht="12" customHeight="1">
      <c r="A271" s="311">
        <v>268</v>
      </c>
      <c r="B271" s="532" t="s">
        <v>261</v>
      </c>
      <c r="C271" s="312" t="s">
        <v>106</v>
      </c>
      <c r="D271" s="320">
        <v>40886</v>
      </c>
      <c r="E271" s="288" t="s">
        <v>52</v>
      </c>
      <c r="F271" s="341">
        <v>8</v>
      </c>
      <c r="G271" s="312">
        <v>6</v>
      </c>
      <c r="H271" s="378">
        <v>1782</v>
      </c>
      <c r="I271" s="379">
        <v>356</v>
      </c>
      <c r="J271" s="334">
        <f>11392+5145+695+1862+1920+1782</f>
        <v>22796</v>
      </c>
      <c r="K271" s="338">
        <f>1392+701+109+241+379+356</f>
        <v>3178</v>
      </c>
      <c r="L271" s="297">
        <v>40949</v>
      </c>
    </row>
    <row r="272" spans="1:12" ht="12" customHeight="1">
      <c r="A272" s="311">
        <v>269</v>
      </c>
      <c r="B272" s="366" t="s">
        <v>140</v>
      </c>
      <c r="D272" s="320">
        <v>40900</v>
      </c>
      <c r="E272" s="288" t="s">
        <v>68</v>
      </c>
      <c r="F272" s="313">
        <v>197</v>
      </c>
      <c r="G272" s="313">
        <v>12</v>
      </c>
      <c r="H272" s="468">
        <v>1782</v>
      </c>
      <c r="I272" s="469">
        <v>356</v>
      </c>
      <c r="J272" s="317">
        <f>985836.5+657011.5+454728.5+206461+72029+16105.51+5902+3599+438+1782+3564+1782</f>
        <v>2409239.01</v>
      </c>
      <c r="K272" s="368">
        <f>106718+73176+50608+29114+10776+3413+1375+639+190+356+712+356</f>
        <v>277433</v>
      </c>
      <c r="L272" s="297">
        <v>41012</v>
      </c>
    </row>
    <row r="273" spans="1:12" ht="12" customHeight="1">
      <c r="A273" s="311">
        <v>270</v>
      </c>
      <c r="B273" s="366" t="s">
        <v>231</v>
      </c>
      <c r="C273" s="312"/>
      <c r="D273" s="370">
        <v>40809</v>
      </c>
      <c r="E273" s="288" t="s">
        <v>68</v>
      </c>
      <c r="F273" s="312">
        <v>66</v>
      </c>
      <c r="G273" s="312">
        <v>26</v>
      </c>
      <c r="H273" s="382">
        <v>1782</v>
      </c>
      <c r="I273" s="383">
        <v>356</v>
      </c>
      <c r="J273" s="328">
        <f>382290+386122+344313.5+244996+104138.75+43618.5+27632+12528+6812+832+1782+2257+1782+5477.5+2138.5+4669.5+970+2851.5+950.5+2732.5+1188+1188+1425.5+1188+1188+1782</f>
        <v>1586853.25</v>
      </c>
      <c r="K273" s="344">
        <f>34863+36137+32260+23896+12188+5940+2894+1417+1234+90+446+565+446+1293+535+1220+404+571+190+546+238+238+285+238+238+356</f>
        <v>158728</v>
      </c>
      <c r="L273" s="297">
        <v>41040</v>
      </c>
    </row>
    <row r="274" spans="1:12" ht="12" customHeight="1">
      <c r="A274" s="311">
        <v>271</v>
      </c>
      <c r="B274" s="457" t="s">
        <v>73</v>
      </c>
      <c r="C274" s="339" t="s">
        <v>87</v>
      </c>
      <c r="D274" s="320">
        <v>40858</v>
      </c>
      <c r="E274" s="288" t="s">
        <v>68</v>
      </c>
      <c r="F274" s="312">
        <v>32</v>
      </c>
      <c r="G274" s="312">
        <v>10</v>
      </c>
      <c r="H274" s="382">
        <v>1782</v>
      </c>
      <c r="I274" s="383">
        <v>325</v>
      </c>
      <c r="J274" s="328">
        <f>119417+74006.5+30939.5+15734+17682+7740+3814.5+5519+937+732+479+1782</f>
        <v>278782.5</v>
      </c>
      <c r="K274" s="344">
        <f>12383+8559+4204+1986+2778+1301+707+782+165+115+82+325</f>
        <v>33387</v>
      </c>
      <c r="L274" s="297">
        <v>40935</v>
      </c>
    </row>
    <row r="275" spans="1:12" ht="12" customHeight="1">
      <c r="A275" s="311">
        <v>272</v>
      </c>
      <c r="B275" s="457" t="s">
        <v>590</v>
      </c>
      <c r="C275" s="312"/>
      <c r="D275" s="320">
        <v>39836</v>
      </c>
      <c r="E275" s="288" t="s">
        <v>68</v>
      </c>
      <c r="F275" s="312">
        <v>13</v>
      </c>
      <c r="G275" s="312">
        <v>30</v>
      </c>
      <c r="H275" s="382">
        <v>1780</v>
      </c>
      <c r="I275" s="383">
        <v>356</v>
      </c>
      <c r="J275" s="328">
        <f>57133.5+23554+18557+9186+29743.5+13631.5+13446+7072+7029+8018.5+7220.5+2856.5+1828+102+3517+635+324+30+2146+1842+376+154+799+463.52+415.64+339.28+4160+712+230+1780</f>
        <v>217301.44</v>
      </c>
      <c r="K275" s="344">
        <f>5405+2651+2356+1389+3583+1713+1661+1216+1174+1324+1425+542+453+16+757+96+108+10+508+436+35+14+67+102+95+80+1040+178+60+356</f>
        <v>28850</v>
      </c>
      <c r="L275" s="297">
        <v>40970</v>
      </c>
    </row>
    <row r="276" spans="1:12" ht="12" customHeight="1">
      <c r="A276" s="311">
        <v>273</v>
      </c>
      <c r="B276" s="457" t="s">
        <v>101</v>
      </c>
      <c r="C276" s="339" t="s">
        <v>116</v>
      </c>
      <c r="D276" s="320">
        <v>40879</v>
      </c>
      <c r="E276" s="288" t="s">
        <v>68</v>
      </c>
      <c r="F276" s="312">
        <v>202</v>
      </c>
      <c r="G276" s="312">
        <v>11</v>
      </c>
      <c r="H276" s="382">
        <v>1760.5</v>
      </c>
      <c r="I276" s="383">
        <v>322</v>
      </c>
      <c r="J276" s="328">
        <f>1080241.5+1088121+871543+502064+300294.5+131358.5+96969.5+68985+9253.5+5204.5+1760.5</f>
        <v>4155795.5</v>
      </c>
      <c r="K276" s="344">
        <f>121812+123965+100674+61096+39726+19116+14898+10338+1416+922+322</f>
        <v>494285</v>
      </c>
      <c r="L276" s="297">
        <v>40949</v>
      </c>
    </row>
    <row r="277" spans="1:12" ht="12" customHeight="1">
      <c r="A277" s="311">
        <v>274</v>
      </c>
      <c r="B277" s="533" t="s">
        <v>304</v>
      </c>
      <c r="C277" s="312" t="s">
        <v>305</v>
      </c>
      <c r="D277" s="320">
        <v>40914</v>
      </c>
      <c r="E277" s="288" t="s">
        <v>12</v>
      </c>
      <c r="F277" s="312">
        <v>204</v>
      </c>
      <c r="G277" s="312">
        <v>12</v>
      </c>
      <c r="H277" s="378">
        <v>1730</v>
      </c>
      <c r="I277" s="379">
        <v>564</v>
      </c>
      <c r="J277" s="334">
        <v>5368925</v>
      </c>
      <c r="K277" s="338">
        <v>580468</v>
      </c>
      <c r="L277" s="297">
        <v>40991</v>
      </c>
    </row>
    <row r="278" spans="1:12" ht="12" customHeight="1">
      <c r="A278" s="311">
        <v>275</v>
      </c>
      <c r="B278" s="365" t="s">
        <v>66</v>
      </c>
      <c r="C278" s="340" t="s">
        <v>81</v>
      </c>
      <c r="D278" s="320">
        <v>40844</v>
      </c>
      <c r="E278" s="288" t="s">
        <v>53</v>
      </c>
      <c r="F278" s="340">
        <v>245</v>
      </c>
      <c r="G278" s="346">
        <v>10</v>
      </c>
      <c r="H278" s="378">
        <v>1680</v>
      </c>
      <c r="I278" s="379">
        <v>262</v>
      </c>
      <c r="J278" s="334">
        <f>2095427.5+1865707+650031+295029.5+57559.5+69427+8354+22014.5+2923+1680</f>
        <v>5068153</v>
      </c>
      <c r="K278" s="338">
        <f>212522+189875+68849+32548+6112+10910+1695+4739+564+262</f>
        <v>528076</v>
      </c>
      <c r="L278" s="297">
        <v>40907</v>
      </c>
    </row>
    <row r="279" spans="1:12" ht="12" customHeight="1">
      <c r="A279" s="311">
        <v>276</v>
      </c>
      <c r="B279" s="457" t="s">
        <v>591</v>
      </c>
      <c r="C279" s="312"/>
      <c r="D279" s="320">
        <v>40613</v>
      </c>
      <c r="E279" s="288" t="s">
        <v>68</v>
      </c>
      <c r="F279" s="312">
        <v>25</v>
      </c>
      <c r="G279" s="312">
        <v>27</v>
      </c>
      <c r="H279" s="382">
        <v>1632</v>
      </c>
      <c r="I279" s="383">
        <v>204</v>
      </c>
      <c r="J279" s="328">
        <f>75934+53479.5+29060+17465+26762+20460.5+20847+12710+19039+8622+2147+3636+459+653+4560+770+4752+402+297+502+464+1127+1384+88+276+1188+1632</f>
        <v>308716</v>
      </c>
      <c r="K279" s="344">
        <f>9554+7103+4053+2490+4055+3124+3295+2389+2957+1767+459+626+92+107+609+124+1188+40+48+86+74+161+193+16+46+297+204</f>
        <v>45157</v>
      </c>
      <c r="L279" s="297">
        <v>40970</v>
      </c>
    </row>
    <row r="280" spans="1:12" ht="12" customHeight="1">
      <c r="A280" s="311">
        <v>277</v>
      </c>
      <c r="B280" s="361" t="s">
        <v>616</v>
      </c>
      <c r="D280" s="320">
        <v>40984</v>
      </c>
      <c r="E280" s="288" t="s">
        <v>52</v>
      </c>
      <c r="F280" s="312">
        <v>206</v>
      </c>
      <c r="G280" s="312">
        <v>6</v>
      </c>
      <c r="H280" s="378">
        <v>1629</v>
      </c>
      <c r="I280" s="379">
        <v>266</v>
      </c>
      <c r="J280" s="334">
        <v>606570.34</v>
      </c>
      <c r="K280" s="338">
        <v>76573</v>
      </c>
      <c r="L280" s="297">
        <v>41019</v>
      </c>
    </row>
    <row r="281" spans="1:12" ht="12" customHeight="1">
      <c r="A281" s="311">
        <v>278</v>
      </c>
      <c r="B281" s="534" t="s">
        <v>492</v>
      </c>
      <c r="C281" s="312" t="s">
        <v>499</v>
      </c>
      <c r="D281" s="320">
        <v>40942</v>
      </c>
      <c r="E281" s="288" t="s">
        <v>52</v>
      </c>
      <c r="F281" s="312">
        <v>42</v>
      </c>
      <c r="G281" s="312">
        <v>7</v>
      </c>
      <c r="H281" s="378">
        <v>1580</v>
      </c>
      <c r="I281" s="379">
        <v>218</v>
      </c>
      <c r="J281" s="334">
        <f>162020.35+70285.95+11139.41+12368+4963+5840+1580</f>
        <v>268196.70999999996</v>
      </c>
      <c r="K281" s="338">
        <f>16152+7535+1434+1836+857+977+218</f>
        <v>29009</v>
      </c>
      <c r="L281" s="297">
        <v>40984</v>
      </c>
    </row>
    <row r="282" spans="1:12" ht="12" customHeight="1">
      <c r="A282" s="311">
        <v>279</v>
      </c>
      <c r="B282" s="360" t="s">
        <v>618</v>
      </c>
      <c r="C282" s="312"/>
      <c r="D282" s="369">
        <v>40984</v>
      </c>
      <c r="E282" s="288" t="s">
        <v>53</v>
      </c>
      <c r="F282" s="312">
        <v>121</v>
      </c>
      <c r="G282" s="346">
        <v>7</v>
      </c>
      <c r="H282" s="378">
        <v>1450</v>
      </c>
      <c r="I282" s="379">
        <v>259</v>
      </c>
      <c r="J282" s="334">
        <f>473567.49+256734.07+139144.54+37019.89+12727+8216.5+1450</f>
        <v>928859.4900000001</v>
      </c>
      <c r="K282" s="493">
        <f>52358+28804+16705+5262+2060+1531+259</f>
        <v>106979</v>
      </c>
      <c r="L282" s="297">
        <v>41026</v>
      </c>
    </row>
    <row r="283" spans="1:12" ht="12" customHeight="1">
      <c r="A283" s="311">
        <v>280</v>
      </c>
      <c r="B283" s="360" t="s">
        <v>727</v>
      </c>
      <c r="C283" s="312"/>
      <c r="D283" s="370">
        <v>41019</v>
      </c>
      <c r="E283" s="288" t="s">
        <v>53</v>
      </c>
      <c r="F283" s="346">
        <v>10</v>
      </c>
      <c r="G283" s="346">
        <v>4</v>
      </c>
      <c r="H283" s="378">
        <v>1432</v>
      </c>
      <c r="I283" s="379">
        <v>218</v>
      </c>
      <c r="J283" s="334">
        <f>9511.47+5201.92+2862.74+1432</f>
        <v>19008.129999999997</v>
      </c>
      <c r="K283" s="338">
        <f>1194+685+402+218</f>
        <v>2499</v>
      </c>
      <c r="L283" s="297">
        <v>41040</v>
      </c>
    </row>
    <row r="284" spans="1:12" ht="12" customHeight="1">
      <c r="A284" s="311">
        <v>281</v>
      </c>
      <c r="B284" s="366" t="s">
        <v>67</v>
      </c>
      <c r="C284" s="339" t="s">
        <v>85</v>
      </c>
      <c r="D284" s="320">
        <v>40844</v>
      </c>
      <c r="E284" s="288" t="s">
        <v>68</v>
      </c>
      <c r="F284" s="313">
        <v>278</v>
      </c>
      <c r="G284" s="313">
        <v>21</v>
      </c>
      <c r="H284" s="382">
        <v>1425.5</v>
      </c>
      <c r="I284" s="383">
        <v>285</v>
      </c>
      <c r="J284" s="328">
        <f>2021467.25+4147826.75+1641146.5+1086471.5+837723.5+353523.5+115157+12431.5+1554+13261.5+3397.5+17222.5+17226.5+5821+1188+2851+2851+2530+4832+1188</f>
        <v>10289670.5</v>
      </c>
      <c r="K284" s="344">
        <f>231121+459388+190384+130345+104513+46481+14878+1830+250+1860+737+1888+2090+661+238+570+284+543+673+238</f>
        <v>1188972</v>
      </c>
      <c r="L284" s="297">
        <v>41005</v>
      </c>
    </row>
    <row r="285" spans="1:12" ht="12" customHeight="1">
      <c r="A285" s="311">
        <v>282</v>
      </c>
      <c r="B285" s="366" t="s">
        <v>231</v>
      </c>
      <c r="D285" s="320">
        <v>40809</v>
      </c>
      <c r="E285" s="288" t="s">
        <v>68</v>
      </c>
      <c r="F285" s="312">
        <v>66</v>
      </c>
      <c r="G285" s="312">
        <v>23</v>
      </c>
      <c r="H285" s="382">
        <v>1425.5</v>
      </c>
      <c r="I285" s="383">
        <v>285</v>
      </c>
      <c r="J285" s="328">
        <f>382290+386122+344313.5+244996+104138.75+43618.5+27632+12528+6812+832+1782+2257+1782+5477.5+2138.5+4669.5+970+2851.5+950.5+2732.5+1188+1188+1425.5</f>
        <v>1582695.25</v>
      </c>
      <c r="K285" s="344">
        <f>34863+36137+32260+23896+12188+5940+2894+1417+1234+90+446+565+446+1293+535+1220+404+571+190+546+238+238+285</f>
        <v>157896</v>
      </c>
      <c r="L285" s="297">
        <v>41019</v>
      </c>
    </row>
    <row r="286" spans="1:12" ht="12" customHeight="1">
      <c r="A286" s="311">
        <v>283</v>
      </c>
      <c r="B286" s="366" t="s">
        <v>101</v>
      </c>
      <c r="C286" s="339" t="s">
        <v>116</v>
      </c>
      <c r="D286" s="370">
        <v>40879</v>
      </c>
      <c r="E286" s="288" t="s">
        <v>68</v>
      </c>
      <c r="F286" s="312">
        <v>202</v>
      </c>
      <c r="G286" s="312">
        <v>19</v>
      </c>
      <c r="H286" s="382">
        <v>1425.5</v>
      </c>
      <c r="I286" s="383">
        <v>285</v>
      </c>
      <c r="J286" s="328">
        <f>1080241.5+1088121+871543+502064+300294.5+131358.5+96969.5+68985+9253.5+5204.5+1760.5+2732.5+950.5+21051.01+1308+788+950.5+1188+1425.5</f>
        <v>4186189.51</v>
      </c>
      <c r="K286" s="344">
        <f>121812+123965+100674+61096+39726+19116+14898+10338+1416+922+322+523+190+5321+312+187+190+238+285</f>
        <v>501531</v>
      </c>
      <c r="L286" s="297">
        <v>41040</v>
      </c>
    </row>
    <row r="287" spans="1:12" ht="12" customHeight="1">
      <c r="A287" s="311">
        <v>284</v>
      </c>
      <c r="B287" s="366" t="s">
        <v>67</v>
      </c>
      <c r="D287" s="320">
        <v>40844</v>
      </c>
      <c r="E287" s="288" t="s">
        <v>68</v>
      </c>
      <c r="F287" s="312">
        <v>278</v>
      </c>
      <c r="G287" s="312">
        <v>22</v>
      </c>
      <c r="H287" s="382">
        <v>1425.5</v>
      </c>
      <c r="I287" s="383">
        <v>238</v>
      </c>
      <c r="J287" s="328">
        <f>2021467.25+4147826.75+1641146.5+1086471.5+837723.5+353523.5+115157+12431.5+1554+13261.5+3397.5+17222.5+17226.5+5821+1188+2851+2851+2530+4832+1188+1425.5+1425.5</f>
        <v>10292521.5</v>
      </c>
      <c r="K287" s="344">
        <f>231121+459388+190384+130345+104513+46481+14878+1830+250+1860+737+1888+2090+661+238+570+284+543+673+238+285+238</f>
        <v>1189495</v>
      </c>
      <c r="L287" s="297">
        <v>41019</v>
      </c>
    </row>
    <row r="288" spans="1:12" ht="12" customHeight="1">
      <c r="A288" s="311">
        <v>285</v>
      </c>
      <c r="B288" s="458" t="s">
        <v>509</v>
      </c>
      <c r="C288" s="312" t="s">
        <v>500</v>
      </c>
      <c r="D288" s="320">
        <v>40942</v>
      </c>
      <c r="E288" s="288" t="s">
        <v>53</v>
      </c>
      <c r="F288" s="346">
        <v>95</v>
      </c>
      <c r="G288" s="346">
        <v>5</v>
      </c>
      <c r="H288" s="378">
        <v>1396</v>
      </c>
      <c r="I288" s="379">
        <v>139</v>
      </c>
      <c r="J288" s="334">
        <f>166893.1+124753.91+25288.04+4237+1396</f>
        <v>322568.05</v>
      </c>
      <c r="K288" s="338">
        <f>18839+14893+3105+518+139</f>
        <v>37494</v>
      </c>
      <c r="L288" s="297">
        <v>40970</v>
      </c>
    </row>
    <row r="289" spans="1:12" ht="12" customHeight="1">
      <c r="A289" s="311">
        <v>286</v>
      </c>
      <c r="B289" s="457" t="s">
        <v>109</v>
      </c>
      <c r="C289" s="312" t="s">
        <v>110</v>
      </c>
      <c r="D289" s="320">
        <v>40886</v>
      </c>
      <c r="E289" s="288" t="s">
        <v>12</v>
      </c>
      <c r="F289" s="312">
        <v>161</v>
      </c>
      <c r="G289" s="312">
        <v>13</v>
      </c>
      <c r="H289" s="378">
        <v>1310</v>
      </c>
      <c r="I289" s="379">
        <v>210</v>
      </c>
      <c r="J289" s="334">
        <v>882324</v>
      </c>
      <c r="K289" s="338">
        <v>107710</v>
      </c>
      <c r="L289" s="297">
        <v>40970</v>
      </c>
    </row>
    <row r="290" spans="1:12" ht="12" customHeight="1">
      <c r="A290" s="311">
        <v>287</v>
      </c>
      <c r="B290" s="362" t="s">
        <v>269</v>
      </c>
      <c r="C290" s="312" t="s">
        <v>822</v>
      </c>
      <c r="D290" s="370">
        <v>41012</v>
      </c>
      <c r="E290" s="288" t="s">
        <v>52</v>
      </c>
      <c r="F290" s="312">
        <v>19</v>
      </c>
      <c r="G290" s="312">
        <v>5</v>
      </c>
      <c r="H290" s="378">
        <v>1309</v>
      </c>
      <c r="I290" s="379">
        <v>203</v>
      </c>
      <c r="J290" s="334">
        <v>16302.57</v>
      </c>
      <c r="K290" s="338">
        <v>2003</v>
      </c>
      <c r="L290" s="297">
        <v>41040</v>
      </c>
    </row>
    <row r="291" spans="1:12" ht="12" customHeight="1">
      <c r="A291" s="311">
        <v>288</v>
      </c>
      <c r="B291" s="458" t="s">
        <v>77</v>
      </c>
      <c r="C291" s="288" t="s">
        <v>168</v>
      </c>
      <c r="D291" s="320">
        <v>40865</v>
      </c>
      <c r="E291" s="288" t="s">
        <v>52</v>
      </c>
      <c r="F291" s="331">
        <v>64</v>
      </c>
      <c r="G291" s="331">
        <v>7</v>
      </c>
      <c r="H291" s="474">
        <v>1302</v>
      </c>
      <c r="I291" s="475">
        <v>246</v>
      </c>
      <c r="J291" s="330">
        <f>256046+137037.5+20115+5099+3542+3484.5+1302</f>
        <v>426626</v>
      </c>
      <c r="K291" s="338">
        <f>25390+13650+2140+705+587+707+246</f>
        <v>43425</v>
      </c>
      <c r="L291" s="297">
        <v>40907</v>
      </c>
    </row>
    <row r="292" spans="1:12" ht="12" customHeight="1">
      <c r="A292" s="311">
        <v>289</v>
      </c>
      <c r="B292" s="365" t="s">
        <v>130</v>
      </c>
      <c r="C292" s="312" t="s">
        <v>131</v>
      </c>
      <c r="D292" s="297">
        <v>40893</v>
      </c>
      <c r="E292" s="288" t="s">
        <v>8</v>
      </c>
      <c r="F292" s="340">
        <v>131</v>
      </c>
      <c r="G292" s="340">
        <v>13</v>
      </c>
      <c r="H292" s="382">
        <v>1295</v>
      </c>
      <c r="I292" s="383">
        <v>205</v>
      </c>
      <c r="J292" s="328">
        <v>15467940</v>
      </c>
      <c r="K292" s="344">
        <v>1730407</v>
      </c>
      <c r="L292" s="297">
        <v>40977</v>
      </c>
    </row>
    <row r="293" spans="1:12" ht="12" customHeight="1">
      <c r="A293" s="311">
        <v>290</v>
      </c>
      <c r="B293" s="533" t="s">
        <v>98</v>
      </c>
      <c r="C293" s="312" t="s">
        <v>99</v>
      </c>
      <c r="D293" s="297">
        <v>40872</v>
      </c>
      <c r="E293" s="288" t="s">
        <v>10</v>
      </c>
      <c r="F293" s="312">
        <v>277</v>
      </c>
      <c r="G293" s="331">
        <v>11</v>
      </c>
      <c r="H293" s="382">
        <v>1206</v>
      </c>
      <c r="I293" s="383">
        <v>230</v>
      </c>
      <c r="J293" s="328">
        <v>10934791</v>
      </c>
      <c r="K293" s="344">
        <v>1169785</v>
      </c>
      <c r="L293" s="297">
        <v>40942</v>
      </c>
    </row>
    <row r="294" spans="1:12" ht="12" customHeight="1">
      <c r="A294" s="311">
        <v>291</v>
      </c>
      <c r="B294" s="365">
        <v>120</v>
      </c>
      <c r="C294" s="340" t="s">
        <v>578</v>
      </c>
      <c r="D294" s="297">
        <v>39488</v>
      </c>
      <c r="E294" s="288" t="s">
        <v>53</v>
      </c>
      <c r="F294" s="312">
        <v>179</v>
      </c>
      <c r="G294" s="346">
        <v>50</v>
      </c>
      <c r="H294" s="378">
        <v>1201</v>
      </c>
      <c r="I294" s="379">
        <v>240</v>
      </c>
      <c r="J294" s="334">
        <f>5039812.5+1919+2402+2402+1201</f>
        <v>5047736.5</v>
      </c>
      <c r="K294" s="338">
        <f>1038442+320+480+480+240</f>
        <v>1039962</v>
      </c>
      <c r="L294" s="297">
        <v>40970</v>
      </c>
    </row>
    <row r="295" spans="1:12" ht="12" customHeight="1">
      <c r="A295" s="311">
        <v>292</v>
      </c>
      <c r="B295" s="363" t="s">
        <v>660</v>
      </c>
      <c r="C295" s="331" t="s">
        <v>661</v>
      </c>
      <c r="D295" s="320">
        <v>40550</v>
      </c>
      <c r="E295" s="288" t="s">
        <v>53</v>
      </c>
      <c r="F295" s="340">
        <v>243</v>
      </c>
      <c r="G295" s="345">
        <v>21</v>
      </c>
      <c r="H295" s="378">
        <v>1201</v>
      </c>
      <c r="I295" s="379">
        <v>240</v>
      </c>
      <c r="J295" s="334">
        <f>3050831.5+2178855.5+1196710.5+496983-200+210922.5+72277.5+4+43197.5+17348.5+5963-21+911+2090+3211+288+13851+660+6810+66+156+103+3603+1201</f>
        <v>7305822.5</v>
      </c>
      <c r="K295" s="338">
        <f>393137+282255+156413+64920+60+27548+10641+7089+3227+1196+161+455+643+72+2547+132+1127+11+26+25+720+240</f>
        <v>952645</v>
      </c>
      <c r="L295" s="297">
        <v>40998</v>
      </c>
    </row>
    <row r="296" spans="1:12" ht="12" customHeight="1">
      <c r="A296" s="311">
        <v>293</v>
      </c>
      <c r="B296" s="534" t="s">
        <v>633</v>
      </c>
      <c r="C296" s="288" t="s">
        <v>188</v>
      </c>
      <c r="D296" s="297">
        <v>38429</v>
      </c>
      <c r="E296" s="288" t="s">
        <v>53</v>
      </c>
      <c r="F296" s="312">
        <v>95</v>
      </c>
      <c r="G296" s="346">
        <v>41</v>
      </c>
      <c r="H296" s="378">
        <v>1199</v>
      </c>
      <c r="I296" s="379">
        <v>200</v>
      </c>
      <c r="J296" s="334">
        <v>3584745.62</v>
      </c>
      <c r="K296" s="493">
        <v>677738</v>
      </c>
      <c r="L296" s="297">
        <v>40984</v>
      </c>
    </row>
    <row r="297" spans="1:12" ht="12" customHeight="1">
      <c r="A297" s="311">
        <v>294</v>
      </c>
      <c r="B297" s="361" t="s">
        <v>71</v>
      </c>
      <c r="C297" s="312" t="s">
        <v>82</v>
      </c>
      <c r="D297" s="297">
        <v>40858</v>
      </c>
      <c r="E297" s="288" t="s">
        <v>53</v>
      </c>
      <c r="F297" s="346">
        <v>130</v>
      </c>
      <c r="G297" s="346">
        <v>13</v>
      </c>
      <c r="H297" s="378">
        <v>1199</v>
      </c>
      <c r="I297" s="379">
        <v>200</v>
      </c>
      <c r="J297" s="334">
        <f>665902+436506+215139.5+18371+13790+6539+18719+8754+1085+753+5914+772+1199</f>
        <v>1393443.5</v>
      </c>
      <c r="K297" s="338">
        <f>66262+44749+24699+2311+1764+1135+3015+1547+179+111+595+67+200</f>
        <v>146634</v>
      </c>
      <c r="L297" s="297">
        <v>41033</v>
      </c>
    </row>
    <row r="298" spans="1:12" ht="12" customHeight="1">
      <c r="A298" s="311">
        <v>295</v>
      </c>
      <c r="B298" s="360" t="s">
        <v>492</v>
      </c>
      <c r="D298" s="320">
        <v>40942</v>
      </c>
      <c r="E298" s="288" t="s">
        <v>52</v>
      </c>
      <c r="F298" s="313">
        <v>42</v>
      </c>
      <c r="G298" s="313">
        <v>11</v>
      </c>
      <c r="H298" s="480">
        <v>1198</v>
      </c>
      <c r="I298" s="481">
        <v>167</v>
      </c>
      <c r="J298" s="335">
        <f>162020.35+70285.95+11139.41+12368+4963+5840+1580+3663+5726.3+2581+1198</f>
        <v>281365.00999999995</v>
      </c>
      <c r="K298" s="336">
        <f>16152+7535+1434+1836+857+977+218+723+932+469+167</f>
        <v>31300</v>
      </c>
      <c r="L298" s="297">
        <v>41012</v>
      </c>
    </row>
    <row r="299" spans="1:12" ht="12" customHeight="1">
      <c r="A299" s="311">
        <v>296</v>
      </c>
      <c r="B299" s="457" t="s">
        <v>109</v>
      </c>
      <c r="C299" s="312" t="s">
        <v>110</v>
      </c>
      <c r="D299" s="320">
        <v>40886</v>
      </c>
      <c r="E299" s="288" t="s">
        <v>12</v>
      </c>
      <c r="F299" s="312">
        <v>161</v>
      </c>
      <c r="G299" s="312">
        <v>8</v>
      </c>
      <c r="H299" s="378">
        <v>1197</v>
      </c>
      <c r="I299" s="379">
        <v>189</v>
      </c>
      <c r="J299" s="334">
        <v>881014</v>
      </c>
      <c r="K299" s="338">
        <v>107500</v>
      </c>
      <c r="L299" s="297">
        <v>40949</v>
      </c>
    </row>
    <row r="300" spans="1:12" ht="12" customHeight="1">
      <c r="A300" s="311">
        <v>297</v>
      </c>
      <c r="B300" s="362" t="s">
        <v>597</v>
      </c>
      <c r="C300" s="312" t="s">
        <v>596</v>
      </c>
      <c r="D300" s="297">
        <v>40682</v>
      </c>
      <c r="E300" s="288" t="s">
        <v>10</v>
      </c>
      <c r="F300" s="313">
        <v>164</v>
      </c>
      <c r="G300" s="358">
        <v>13</v>
      </c>
      <c r="H300" s="380">
        <v>1190</v>
      </c>
      <c r="I300" s="381">
        <v>238</v>
      </c>
      <c r="J300" s="342">
        <v>579858</v>
      </c>
      <c r="K300" s="343">
        <v>64001</v>
      </c>
      <c r="L300" s="297">
        <v>40998</v>
      </c>
    </row>
    <row r="301" spans="1:12" ht="12" customHeight="1">
      <c r="A301" s="311">
        <v>298</v>
      </c>
      <c r="B301" s="533" t="s">
        <v>597</v>
      </c>
      <c r="C301" s="312" t="s">
        <v>596</v>
      </c>
      <c r="D301" s="297">
        <v>40682</v>
      </c>
      <c r="E301" s="288" t="s">
        <v>10</v>
      </c>
      <c r="F301" s="312">
        <v>164</v>
      </c>
      <c r="G301" s="331">
        <v>12</v>
      </c>
      <c r="H301" s="382">
        <v>1188</v>
      </c>
      <c r="I301" s="383">
        <v>297</v>
      </c>
      <c r="J301" s="328">
        <v>578668</v>
      </c>
      <c r="K301" s="344">
        <v>63763</v>
      </c>
      <c r="L301" s="297">
        <v>40970</v>
      </c>
    </row>
    <row r="302" spans="1:12" ht="12" customHeight="1">
      <c r="A302" s="311">
        <v>299</v>
      </c>
      <c r="B302" s="457" t="s">
        <v>67</v>
      </c>
      <c r="C302" s="339" t="s">
        <v>85</v>
      </c>
      <c r="D302" s="320">
        <v>40844</v>
      </c>
      <c r="E302" s="288" t="s">
        <v>68</v>
      </c>
      <c r="F302" s="312">
        <v>278</v>
      </c>
      <c r="G302" s="312">
        <v>15</v>
      </c>
      <c r="H302" s="382">
        <v>1188</v>
      </c>
      <c r="I302" s="383">
        <v>238</v>
      </c>
      <c r="J302" s="328">
        <f>2021467.25+4147826.75+1641146.5+1086471.5+837723.5+353523.5+115157+12431.5+1554+13261.5+3397.5+17222.5+17226.5+5821+1188</f>
        <v>10275418.5</v>
      </c>
      <c r="K302" s="344">
        <f>231121+459388+190384+130345+104513+46481+14878+1830+250+1860+737+1888+2090+661+238</f>
        <v>1186664</v>
      </c>
      <c r="L302" s="297">
        <v>40942</v>
      </c>
    </row>
    <row r="303" spans="1:12" ht="12" customHeight="1">
      <c r="A303" s="311">
        <v>300</v>
      </c>
      <c r="B303" s="366" t="s">
        <v>67</v>
      </c>
      <c r="C303" s="339" t="s">
        <v>85</v>
      </c>
      <c r="D303" s="320">
        <v>40844</v>
      </c>
      <c r="E303" s="288" t="s">
        <v>68</v>
      </c>
      <c r="F303" s="313">
        <v>278</v>
      </c>
      <c r="G303" s="313">
        <v>20</v>
      </c>
      <c r="H303" s="382">
        <v>1188</v>
      </c>
      <c r="I303" s="383">
        <v>238</v>
      </c>
      <c r="J303" s="328">
        <f>2021467.25+4147826.75+1641146.5+1086471.5+837723.5+353523.5+115157+12431.5+1554+13261.5+3397.5+17222.5+17226.5+5821+1188+2851+2851+2530+4832+1188</f>
        <v>10289670.5</v>
      </c>
      <c r="K303" s="344">
        <f>231121+459388+190384+130345+104513+46481+14878+1830+250+1860+737+1888+2090+661+238+570+284+543+673+238</f>
        <v>1188972</v>
      </c>
      <c r="L303" s="297">
        <v>40998</v>
      </c>
    </row>
    <row r="304" spans="1:12" ht="12" customHeight="1">
      <c r="A304" s="311">
        <v>301</v>
      </c>
      <c r="B304" s="458" t="s">
        <v>546</v>
      </c>
      <c r="C304" s="288" t="s">
        <v>547</v>
      </c>
      <c r="D304" s="320">
        <v>40165</v>
      </c>
      <c r="E304" s="288" t="s">
        <v>52</v>
      </c>
      <c r="F304" s="331">
        <v>38</v>
      </c>
      <c r="G304" s="312">
        <v>37</v>
      </c>
      <c r="H304" s="378">
        <v>1188</v>
      </c>
      <c r="I304" s="379">
        <v>238</v>
      </c>
      <c r="J304" s="334">
        <f>1139387+1188</f>
        <v>1140575</v>
      </c>
      <c r="K304" s="338">
        <f>139628+238</f>
        <v>139866</v>
      </c>
      <c r="L304" s="297">
        <v>40956</v>
      </c>
    </row>
    <row r="305" spans="1:12" ht="12" customHeight="1">
      <c r="A305" s="311">
        <v>302</v>
      </c>
      <c r="B305" s="457" t="s">
        <v>231</v>
      </c>
      <c r="C305" s="312" t="s">
        <v>244</v>
      </c>
      <c r="D305" s="320">
        <v>40809</v>
      </c>
      <c r="E305" s="288" t="s">
        <v>68</v>
      </c>
      <c r="F305" s="312">
        <v>66</v>
      </c>
      <c r="G305" s="312">
        <v>21</v>
      </c>
      <c r="H305" s="382">
        <v>1188</v>
      </c>
      <c r="I305" s="383">
        <v>238</v>
      </c>
      <c r="J305" s="328">
        <f>382290+386122+344313.5+244996+104138.75+43618.5+27632+12528+6812+832+1782+2257+1782+5477.5+2138.5+4669.5+970+2851.5+950.5+2732.5+1188</f>
        <v>1580081.75</v>
      </c>
      <c r="K305" s="344">
        <f>34863+36137+32260+23896+12188+5940+2894+1417+1234+90+446+565+446+1293+535+1220+404+571+190+546+238</f>
        <v>157373</v>
      </c>
      <c r="L305" s="297">
        <v>40991</v>
      </c>
    </row>
    <row r="306" spans="1:12" ht="12" customHeight="1">
      <c r="A306" s="311">
        <v>303</v>
      </c>
      <c r="B306" s="457" t="s">
        <v>73</v>
      </c>
      <c r="C306" s="339" t="s">
        <v>87</v>
      </c>
      <c r="D306" s="320">
        <v>40858</v>
      </c>
      <c r="E306" s="288" t="s">
        <v>68</v>
      </c>
      <c r="F306" s="312">
        <v>32</v>
      </c>
      <c r="G306" s="312">
        <v>13</v>
      </c>
      <c r="H306" s="382">
        <v>1188</v>
      </c>
      <c r="I306" s="383">
        <v>238</v>
      </c>
      <c r="J306" s="328">
        <f>119417+74006.5+30939.5+15734+17682+7740+3814.5+5519+937+732+479+1782+1188</f>
        <v>279970.5</v>
      </c>
      <c r="K306" s="344">
        <f>12383+8559+4204+1986+2778+1301+707+782+165+115+82+325+238</f>
        <v>33625</v>
      </c>
      <c r="L306" s="297">
        <v>40942</v>
      </c>
    </row>
    <row r="307" spans="1:12" ht="12" customHeight="1">
      <c r="A307" s="311">
        <v>304</v>
      </c>
      <c r="B307" s="457" t="s">
        <v>312</v>
      </c>
      <c r="C307" s="339" t="s">
        <v>321</v>
      </c>
      <c r="D307" s="320">
        <v>40795</v>
      </c>
      <c r="E307" s="288" t="s">
        <v>68</v>
      </c>
      <c r="F307" s="312">
        <v>3</v>
      </c>
      <c r="G307" s="312">
        <v>11</v>
      </c>
      <c r="H307" s="382">
        <v>1188</v>
      </c>
      <c r="I307" s="383">
        <v>238</v>
      </c>
      <c r="J307" s="328">
        <f>4125+2511+398+1048+854+482+594+1782+713+950.5+1188</f>
        <v>14645.5</v>
      </c>
      <c r="K307" s="344">
        <f>422+287+52+100+134+61+149+446+143+190+238</f>
        <v>2222</v>
      </c>
      <c r="L307" s="297">
        <v>40991</v>
      </c>
    </row>
    <row r="308" spans="1:12" ht="12" customHeight="1">
      <c r="A308" s="311">
        <v>305</v>
      </c>
      <c r="B308" s="457" t="s">
        <v>507</v>
      </c>
      <c r="C308" s="339" t="s">
        <v>508</v>
      </c>
      <c r="D308" s="320">
        <v>40662</v>
      </c>
      <c r="E308" s="288" t="s">
        <v>68</v>
      </c>
      <c r="F308" s="312">
        <v>10</v>
      </c>
      <c r="G308" s="312">
        <v>21</v>
      </c>
      <c r="H308" s="382">
        <v>1188</v>
      </c>
      <c r="I308" s="383">
        <v>238</v>
      </c>
      <c r="J308" s="328">
        <f>12563.75+2983.5+2680+354+641+412+470+299+1405.5+1335+741+1188+1188+2138.5+2851+594+430+950.5+950.5+1782+1188</f>
        <v>37145.25</v>
      </c>
      <c r="K308" s="344">
        <f>1693+350+279+68+81+51+66+35+228+169+92+297+297+535+715+149+188+190+190+398+238</f>
        <v>6309</v>
      </c>
      <c r="L308" s="297">
        <v>40991</v>
      </c>
    </row>
    <row r="309" spans="1:12" ht="12" customHeight="1">
      <c r="A309" s="311">
        <v>306</v>
      </c>
      <c r="B309" s="366" t="s">
        <v>231</v>
      </c>
      <c r="C309" s="312" t="s">
        <v>244</v>
      </c>
      <c r="D309" s="320">
        <v>40809</v>
      </c>
      <c r="E309" s="288" t="s">
        <v>68</v>
      </c>
      <c r="F309" s="312">
        <v>66</v>
      </c>
      <c r="G309" s="313">
        <v>22</v>
      </c>
      <c r="H309" s="382">
        <v>1188</v>
      </c>
      <c r="I309" s="383">
        <v>238</v>
      </c>
      <c r="J309" s="328">
        <f>382290+386122+344313.5+244996+104138.75+43618.5+27632+12528+6812+832+1782+2257+1782+5477.5+2138.5+4669.5+970+2851.5+950.5+2732.5+1188+1188</f>
        <v>1581269.75</v>
      </c>
      <c r="K309" s="344">
        <f>34863+36137+32260+23896+12188+5940+2894+1417+1234+90+446+565+446+1293+535+1220+404+571+190+546+238+238</f>
        <v>157611</v>
      </c>
      <c r="L309" s="297">
        <v>41005</v>
      </c>
    </row>
    <row r="310" spans="1:12" ht="12" customHeight="1">
      <c r="A310" s="311">
        <v>307</v>
      </c>
      <c r="B310" s="366" t="s">
        <v>507</v>
      </c>
      <c r="C310" s="339" t="s">
        <v>508</v>
      </c>
      <c r="D310" s="320">
        <v>40662</v>
      </c>
      <c r="E310" s="288" t="s">
        <v>68</v>
      </c>
      <c r="F310" s="312">
        <v>10</v>
      </c>
      <c r="G310" s="313">
        <v>22</v>
      </c>
      <c r="H310" s="382">
        <v>1188</v>
      </c>
      <c r="I310" s="383">
        <v>238</v>
      </c>
      <c r="J310" s="328">
        <f>12563.75+2983.5+2680+354+641+412+470+299+1405.5+1335+741+1188+1188+2138.5+2851+594+430+950.5+950.5+1782+1188+1188</f>
        <v>38333.25</v>
      </c>
      <c r="K310" s="344">
        <f>1693+350+279+68+81+51+66+35+228+169+92+297+297+535+715+149+188+190+190+398+238+238</f>
        <v>6547</v>
      </c>
      <c r="L310" s="297">
        <v>41005</v>
      </c>
    </row>
    <row r="311" spans="1:12" ht="12" customHeight="1">
      <c r="A311" s="311">
        <v>308</v>
      </c>
      <c r="B311" s="366" t="s">
        <v>312</v>
      </c>
      <c r="C311" s="339" t="s">
        <v>321</v>
      </c>
      <c r="D311" s="320">
        <v>40795</v>
      </c>
      <c r="E311" s="288" t="s">
        <v>68</v>
      </c>
      <c r="F311" s="312">
        <v>3</v>
      </c>
      <c r="G311" s="313">
        <v>12</v>
      </c>
      <c r="H311" s="382">
        <v>1188</v>
      </c>
      <c r="I311" s="383">
        <v>238</v>
      </c>
      <c r="J311" s="328">
        <f>4125+2511+398+1048+854+482+594+1782+713+950.5+1188+1188</f>
        <v>15833.5</v>
      </c>
      <c r="K311" s="344">
        <f>422+287+52+100+134+61+149+446+143+190+238+238</f>
        <v>2460</v>
      </c>
      <c r="L311" s="297">
        <v>41005</v>
      </c>
    </row>
    <row r="312" spans="1:12" ht="12" customHeight="1">
      <c r="A312" s="311">
        <v>309</v>
      </c>
      <c r="B312" s="366" t="s">
        <v>231</v>
      </c>
      <c r="C312" s="312" t="s">
        <v>813</v>
      </c>
      <c r="D312" s="370">
        <v>40809</v>
      </c>
      <c r="E312" s="288" t="s">
        <v>68</v>
      </c>
      <c r="F312" s="312">
        <v>66</v>
      </c>
      <c r="G312" s="312">
        <v>24</v>
      </c>
      <c r="H312" s="468">
        <v>1188</v>
      </c>
      <c r="I312" s="469">
        <v>238</v>
      </c>
      <c r="J312" s="317">
        <f>382290+386122+344313.5+244996+104138.75+43618.5+27632+12528+6812+832+1782+2257+1782+5477.5+2138.5+4669.5+970+2851.5+950.5+2732.5+1188+1188+1425.5+1188</f>
        <v>1583883.25</v>
      </c>
      <c r="K312" s="368">
        <f>34863+36137+32260+23896+12188+5940+2894+1417+1234+90+446+565+446+1293+535+1220+404+571+190+546+238+238+285+238</f>
        <v>158134</v>
      </c>
      <c r="L312" s="297">
        <v>41026</v>
      </c>
    </row>
    <row r="313" spans="1:12" ht="12" customHeight="1">
      <c r="A313" s="311">
        <v>310</v>
      </c>
      <c r="B313" s="366" t="s">
        <v>507</v>
      </c>
      <c r="C313" s="312" t="s">
        <v>520</v>
      </c>
      <c r="D313" s="370">
        <v>40662</v>
      </c>
      <c r="E313" s="288" t="s">
        <v>68</v>
      </c>
      <c r="F313" s="312">
        <v>10</v>
      </c>
      <c r="G313" s="312">
        <v>23</v>
      </c>
      <c r="H313" s="468">
        <v>1188</v>
      </c>
      <c r="I313" s="469">
        <v>238</v>
      </c>
      <c r="J313" s="317">
        <f>12563.75+2983.5+2680+354+641+412+470+299+1405.5+1335+741+1188+1188+2138.5+2851+594+430+950.5+950.5+1782+1188+1188+1188</f>
        <v>39521.25</v>
      </c>
      <c r="K313" s="368">
        <f>1693+350+279+68+81+51+66+35+228+169+92+297+297+535+715+149+188+190+190+398+238+238+238</f>
        <v>6785</v>
      </c>
      <c r="L313" s="297">
        <v>41026</v>
      </c>
    </row>
    <row r="314" spans="1:12" ht="12" customHeight="1">
      <c r="A314" s="311">
        <v>311</v>
      </c>
      <c r="B314" s="366" t="s">
        <v>312</v>
      </c>
      <c r="C314" s="312" t="s">
        <v>90</v>
      </c>
      <c r="D314" s="370">
        <v>40795</v>
      </c>
      <c r="E314" s="288" t="s">
        <v>68</v>
      </c>
      <c r="F314" s="312">
        <v>3</v>
      </c>
      <c r="G314" s="312">
        <v>13</v>
      </c>
      <c r="H314" s="468">
        <v>1188</v>
      </c>
      <c r="I314" s="469">
        <v>238</v>
      </c>
      <c r="J314" s="317">
        <f>4125+2511+398+1048+854+482+594+1782+713+950.5+1188+1188+1188</f>
        <v>17021.5</v>
      </c>
      <c r="K314" s="368">
        <f>422+287+52+100+134+61+149+446+143+190+238+238+238</f>
        <v>2698</v>
      </c>
      <c r="L314" s="297">
        <v>41026</v>
      </c>
    </row>
    <row r="315" spans="1:12" ht="12" customHeight="1">
      <c r="A315" s="311">
        <v>312</v>
      </c>
      <c r="B315" s="366" t="s">
        <v>231</v>
      </c>
      <c r="C315" s="312"/>
      <c r="D315" s="320">
        <v>40809</v>
      </c>
      <c r="E315" s="288" t="s">
        <v>68</v>
      </c>
      <c r="F315" s="312">
        <v>66</v>
      </c>
      <c r="G315" s="312">
        <v>25</v>
      </c>
      <c r="H315" s="382">
        <v>1188</v>
      </c>
      <c r="I315" s="383">
        <v>238</v>
      </c>
      <c r="J315" s="328">
        <f>382290+386122+344313.5+244996+104138.75+43618.5+27632+12528+6812+832+1782+2257+1782+5477.5+2138.5+4669.5+970+2851.5+950.5+2732.5+1188+1188+1425.5+1188+1188</f>
        <v>1585071.25</v>
      </c>
      <c r="K315" s="344">
        <f>34863+36137+32260+23896+12188+5940+2894+1417+1234+90+446+565+446+1293+535+1220+404+571+190+546+238+238+285+238+238</f>
        <v>158372</v>
      </c>
      <c r="L315" s="297">
        <v>41033</v>
      </c>
    </row>
    <row r="316" spans="1:12" ht="12" customHeight="1">
      <c r="A316" s="311">
        <v>313</v>
      </c>
      <c r="B316" s="366" t="s">
        <v>507</v>
      </c>
      <c r="C316" s="312" t="s">
        <v>520</v>
      </c>
      <c r="D316" s="320">
        <v>40662</v>
      </c>
      <c r="E316" s="288" t="s">
        <v>68</v>
      </c>
      <c r="F316" s="312">
        <v>10</v>
      </c>
      <c r="G316" s="312">
        <v>24</v>
      </c>
      <c r="H316" s="382">
        <v>1188</v>
      </c>
      <c r="I316" s="383">
        <v>238</v>
      </c>
      <c r="J316" s="328">
        <f>12563.75+2983.5+2680+354+641+412+470+299+1405.5+1335+741+1188+1188+2138.5+2851+594+430+950.5+950.5+1782+1188+1188+1188+1188</f>
        <v>40709.25</v>
      </c>
      <c r="K316" s="344">
        <f>1693+350+279+68+81+51+66+35+228+169+92+297+297+535+715+149+188+190+190+398+238+238+238+238</f>
        <v>7023</v>
      </c>
      <c r="L316" s="297">
        <v>41033</v>
      </c>
    </row>
    <row r="317" spans="1:12" ht="12" customHeight="1">
      <c r="A317" s="311">
        <v>314</v>
      </c>
      <c r="B317" s="366" t="s">
        <v>312</v>
      </c>
      <c r="C317" s="312" t="s">
        <v>90</v>
      </c>
      <c r="D317" s="320">
        <v>40795</v>
      </c>
      <c r="E317" s="288" t="s">
        <v>68</v>
      </c>
      <c r="F317" s="312">
        <v>3</v>
      </c>
      <c r="G317" s="312">
        <v>24</v>
      </c>
      <c r="H317" s="382">
        <v>1188</v>
      </c>
      <c r="I317" s="383">
        <v>238</v>
      </c>
      <c r="J317" s="328">
        <f>4125+2511+398+1048+854+482+594+1782+713+950.5+1188+1188+1188+1188</f>
        <v>18209.5</v>
      </c>
      <c r="K317" s="344">
        <f>422+287+52+100+134+61+149+446+143+190+238+238+238+238</f>
        <v>2936</v>
      </c>
      <c r="L317" s="297">
        <v>41033</v>
      </c>
    </row>
    <row r="318" spans="1:12" ht="12" customHeight="1">
      <c r="A318" s="311">
        <v>315</v>
      </c>
      <c r="B318" s="366" t="s">
        <v>73</v>
      </c>
      <c r="C318" s="339" t="s">
        <v>87</v>
      </c>
      <c r="D318" s="320">
        <v>40858</v>
      </c>
      <c r="E318" s="288" t="s">
        <v>68</v>
      </c>
      <c r="F318" s="312">
        <v>32</v>
      </c>
      <c r="G318" s="312">
        <v>18</v>
      </c>
      <c r="H318" s="382">
        <v>1188</v>
      </c>
      <c r="I318" s="383">
        <v>238</v>
      </c>
      <c r="J318" s="328">
        <f>119417+74006.5+30939.5+15734+17682+7740+3814.5+5519+937+732+479+1782+1188+713+96+745+3801.5+1188</f>
        <v>286514</v>
      </c>
      <c r="K318" s="344">
        <f>12383+8559+4204+1986+2778+1301+707+782+165+115+82+325+238+143+32+132+760+238</f>
        <v>34930</v>
      </c>
      <c r="L318" s="297">
        <v>41033</v>
      </c>
    </row>
    <row r="319" spans="1:12" ht="12" customHeight="1">
      <c r="A319" s="311">
        <v>316</v>
      </c>
      <c r="B319" s="366" t="s">
        <v>309</v>
      </c>
      <c r="C319" s="339" t="s">
        <v>320</v>
      </c>
      <c r="D319" s="320">
        <v>40676</v>
      </c>
      <c r="E319" s="288" t="s">
        <v>68</v>
      </c>
      <c r="F319" s="312">
        <v>11</v>
      </c>
      <c r="G319" s="312">
        <v>23</v>
      </c>
      <c r="H319" s="382">
        <v>1188</v>
      </c>
      <c r="I319" s="383">
        <v>238</v>
      </c>
      <c r="J319" s="328">
        <f>19776.5+5289.5+3941.5+4149+6030.5+491+2263+886+669+235+576+182+578+116+1188+1782+1782+1782+1782+3801.5+2138.5+357+1188</f>
        <v>60984</v>
      </c>
      <c r="K319" s="344">
        <f>2214+710+772+646+1024+103+434+139+105+46+100+16+62+13+297+446+446+446+446+950+535+158+238</f>
        <v>10346</v>
      </c>
      <c r="L319" s="297">
        <v>41033</v>
      </c>
    </row>
    <row r="320" spans="1:12" ht="12" customHeight="1">
      <c r="A320" s="311">
        <v>317</v>
      </c>
      <c r="B320" s="365" t="s">
        <v>294</v>
      </c>
      <c r="C320" s="340" t="s">
        <v>296</v>
      </c>
      <c r="D320" s="320">
        <v>40914</v>
      </c>
      <c r="E320" s="288" t="s">
        <v>53</v>
      </c>
      <c r="F320" s="346">
        <v>97</v>
      </c>
      <c r="G320" s="346">
        <v>11</v>
      </c>
      <c r="H320" s="378">
        <v>1129</v>
      </c>
      <c r="I320" s="379">
        <v>351</v>
      </c>
      <c r="J320" s="334">
        <f>216520+198358.5+149589.5+18051.79+5443+2220+114+4171+1835+2260+1129</f>
        <v>599691.79</v>
      </c>
      <c r="K320" s="338">
        <f>26831+25025+19383+2440+733+337+19+682+538+754+351</f>
        <v>77093</v>
      </c>
      <c r="L320" s="297">
        <v>40991</v>
      </c>
    </row>
    <row r="321" spans="1:12" ht="12" customHeight="1">
      <c r="A321" s="311">
        <v>318</v>
      </c>
      <c r="B321" s="361" t="s">
        <v>685</v>
      </c>
      <c r="C321" s="288" t="s">
        <v>686</v>
      </c>
      <c r="D321" s="320">
        <v>41005</v>
      </c>
      <c r="E321" s="288" t="s">
        <v>52</v>
      </c>
      <c r="F321" s="312">
        <v>21</v>
      </c>
      <c r="G321" s="313">
        <v>1</v>
      </c>
      <c r="H321" s="378">
        <v>1126</v>
      </c>
      <c r="I321" s="379">
        <v>170</v>
      </c>
      <c r="J321" s="334">
        <f>357713+343246.5+115529.5+51137+24830.5+11883+8256+3443+678+1126</f>
        <v>917842.5</v>
      </c>
      <c r="K321" s="338">
        <f>33400+31498+10192+4818+3004+1638+1139+561+129+170</f>
        <v>86549</v>
      </c>
      <c r="L321" s="297">
        <v>41005</v>
      </c>
    </row>
    <row r="322" spans="1:12" ht="12" customHeight="1">
      <c r="A322" s="311">
        <v>319</v>
      </c>
      <c r="B322" s="458" t="s">
        <v>137</v>
      </c>
      <c r="C322" s="288" t="s">
        <v>106</v>
      </c>
      <c r="D322" s="320">
        <v>40900</v>
      </c>
      <c r="E322" s="288" t="s">
        <v>52</v>
      </c>
      <c r="F322" s="331">
        <v>14</v>
      </c>
      <c r="G322" s="312">
        <v>7</v>
      </c>
      <c r="H322" s="378">
        <v>1105</v>
      </c>
      <c r="I322" s="379">
        <v>159</v>
      </c>
      <c r="J322" s="334">
        <f>43848.5+19458.5+4777+1091+5447+2629+1105</f>
        <v>78356</v>
      </c>
      <c r="K322" s="338">
        <f>3764+1850+439+142+752+413+159</f>
        <v>7519</v>
      </c>
      <c r="L322" s="297">
        <v>40949</v>
      </c>
    </row>
    <row r="323" spans="1:12" ht="12" customHeight="1">
      <c r="A323" s="311">
        <v>320</v>
      </c>
      <c r="B323" s="361" t="s">
        <v>100</v>
      </c>
      <c r="C323" s="312" t="s">
        <v>108</v>
      </c>
      <c r="D323" s="320">
        <v>40879</v>
      </c>
      <c r="E323" s="288" t="s">
        <v>8</v>
      </c>
      <c r="F323" s="313">
        <v>39</v>
      </c>
      <c r="G323" s="352">
        <v>12</v>
      </c>
      <c r="H323" s="380">
        <v>1095</v>
      </c>
      <c r="I323" s="381">
        <v>185</v>
      </c>
      <c r="J323" s="342">
        <v>225808</v>
      </c>
      <c r="K323" s="343">
        <v>25678</v>
      </c>
      <c r="L323" s="297">
        <v>40998</v>
      </c>
    </row>
    <row r="324" spans="1:12" ht="12" customHeight="1">
      <c r="A324" s="311">
        <v>321</v>
      </c>
      <c r="B324" s="458" t="s">
        <v>137</v>
      </c>
      <c r="C324" s="288" t="s">
        <v>106</v>
      </c>
      <c r="D324" s="320">
        <v>40900</v>
      </c>
      <c r="E324" s="288" t="s">
        <v>52</v>
      </c>
      <c r="F324" s="331">
        <v>14</v>
      </c>
      <c r="G324" s="331">
        <v>4</v>
      </c>
      <c r="H324" s="476">
        <v>1091</v>
      </c>
      <c r="I324" s="477">
        <v>142</v>
      </c>
      <c r="J324" s="453">
        <f>43848.5+19458.5+4777+1091</f>
        <v>69175</v>
      </c>
      <c r="K324" s="338">
        <f>3764+1850+439+142</f>
        <v>6195</v>
      </c>
      <c r="L324" s="297">
        <v>40921</v>
      </c>
    </row>
    <row r="325" spans="1:12" ht="12" customHeight="1">
      <c r="A325" s="311">
        <v>322</v>
      </c>
      <c r="B325" s="532" t="s">
        <v>71</v>
      </c>
      <c r="C325" s="312" t="s">
        <v>82</v>
      </c>
      <c r="D325" s="297">
        <v>40858</v>
      </c>
      <c r="E325" s="288" t="s">
        <v>53</v>
      </c>
      <c r="F325" s="312">
        <v>130</v>
      </c>
      <c r="G325" s="346">
        <v>2</v>
      </c>
      <c r="H325" s="378">
        <v>1085</v>
      </c>
      <c r="I325" s="379">
        <v>179</v>
      </c>
      <c r="J325" s="334">
        <f>665902+436506+215139.5+18371+13790+6539+18719+8754+1085</f>
        <v>1384805.5</v>
      </c>
      <c r="K325" s="338">
        <f>66262+44749+24699+2311+1764+1135+3015+1547+179</f>
        <v>145661</v>
      </c>
      <c r="L325" s="297">
        <v>40914</v>
      </c>
    </row>
    <row r="326" spans="1:12" ht="12" customHeight="1">
      <c r="A326" s="311">
        <v>323</v>
      </c>
      <c r="B326" s="365" t="s">
        <v>130</v>
      </c>
      <c r="C326" s="312" t="s">
        <v>131</v>
      </c>
      <c r="D326" s="297">
        <v>40893</v>
      </c>
      <c r="E326" s="288" t="s">
        <v>8</v>
      </c>
      <c r="F326" s="340">
        <v>131</v>
      </c>
      <c r="G326" s="340">
        <v>14</v>
      </c>
      <c r="H326" s="382">
        <v>1066</v>
      </c>
      <c r="I326" s="383">
        <v>289</v>
      </c>
      <c r="J326" s="328">
        <v>15469006</v>
      </c>
      <c r="K326" s="344">
        <v>1730696</v>
      </c>
      <c r="L326" s="297">
        <v>40984</v>
      </c>
    </row>
    <row r="327" spans="1:12" ht="12" customHeight="1">
      <c r="A327" s="311">
        <v>324</v>
      </c>
      <c r="B327" s="362" t="s">
        <v>269</v>
      </c>
      <c r="C327" s="312"/>
      <c r="D327" s="370">
        <v>41012</v>
      </c>
      <c r="E327" s="288" t="s">
        <v>52</v>
      </c>
      <c r="F327" s="312">
        <v>19</v>
      </c>
      <c r="G327" s="312">
        <v>3</v>
      </c>
      <c r="H327" s="378">
        <v>1021</v>
      </c>
      <c r="I327" s="379">
        <v>126</v>
      </c>
      <c r="J327" s="334">
        <v>14128.57</v>
      </c>
      <c r="K327" s="338">
        <v>1644</v>
      </c>
      <c r="L327" s="297">
        <v>41026</v>
      </c>
    </row>
    <row r="328" spans="1:12" ht="12" customHeight="1">
      <c r="A328" s="311">
        <v>325</v>
      </c>
      <c r="B328" s="366" t="s">
        <v>696</v>
      </c>
      <c r="C328" s="339" t="s">
        <v>699</v>
      </c>
      <c r="D328" s="320">
        <v>40830</v>
      </c>
      <c r="E328" s="288" t="s">
        <v>68</v>
      </c>
      <c r="F328" s="313">
        <v>20</v>
      </c>
      <c r="G328" s="313">
        <v>9</v>
      </c>
      <c r="H328" s="382">
        <v>976</v>
      </c>
      <c r="I328" s="383">
        <v>144</v>
      </c>
      <c r="J328" s="328">
        <f>26768+13515+1530.5+2017+657+1806.5+358+1117+976</f>
        <v>48745</v>
      </c>
      <c r="K328" s="344">
        <f>3002+1672+228+433+100+551+82+193+144</f>
        <v>6405</v>
      </c>
      <c r="L328" s="297">
        <v>41005</v>
      </c>
    </row>
    <row r="329" spans="1:12" ht="12" customHeight="1">
      <c r="A329" s="311">
        <v>326</v>
      </c>
      <c r="B329" s="457" t="s">
        <v>231</v>
      </c>
      <c r="C329" s="312" t="s">
        <v>244</v>
      </c>
      <c r="D329" s="320">
        <v>40809</v>
      </c>
      <c r="E329" s="288" t="s">
        <v>68</v>
      </c>
      <c r="F329" s="312">
        <v>66</v>
      </c>
      <c r="G329" s="312">
        <v>17</v>
      </c>
      <c r="H329" s="382">
        <v>970</v>
      </c>
      <c r="I329" s="383">
        <v>404</v>
      </c>
      <c r="J329" s="328">
        <f>382290+386122+344313.5+244996+104138.75+43618.5+27632+12528+6812+832+1782+2257+1782+5477.5+2138.5+4669.5+970</f>
        <v>1572359.25</v>
      </c>
      <c r="K329" s="344">
        <f>34863+36137+32260+23896+12188+5940+2894+1417+1234+90+446+565+446+1293+535+1220+404</f>
        <v>155828</v>
      </c>
      <c r="L329" s="297">
        <v>40921</v>
      </c>
    </row>
    <row r="330" spans="1:12" ht="12" customHeight="1">
      <c r="A330" s="311">
        <v>327</v>
      </c>
      <c r="B330" s="457" t="s">
        <v>232</v>
      </c>
      <c r="C330" s="312" t="s">
        <v>243</v>
      </c>
      <c r="D330" s="297">
        <v>40095</v>
      </c>
      <c r="E330" s="288" t="s">
        <v>68</v>
      </c>
      <c r="F330" s="312">
        <v>52</v>
      </c>
      <c r="G330" s="312">
        <v>16</v>
      </c>
      <c r="H330" s="382">
        <v>952</v>
      </c>
      <c r="I330" s="383">
        <v>238</v>
      </c>
      <c r="J330" s="328">
        <f>108013.25+68864+27976+10214+2402+2209+1188+2968+1780+1780+2427.4+364.82+248.58+1780+1188+952</f>
        <v>234355.05</v>
      </c>
      <c r="K330" s="344">
        <f>12202+8144+4339+1841+481+460+297+742+445+445+599+87+57+445+297+238</f>
        <v>31119</v>
      </c>
      <c r="L330" s="297">
        <v>40907</v>
      </c>
    </row>
    <row r="331" spans="1:12" ht="12" customHeight="1">
      <c r="A331" s="311">
        <v>328</v>
      </c>
      <c r="B331" s="457" t="s">
        <v>231</v>
      </c>
      <c r="C331" s="312" t="s">
        <v>244</v>
      </c>
      <c r="D331" s="320">
        <v>40809</v>
      </c>
      <c r="E331" s="288" t="s">
        <v>68</v>
      </c>
      <c r="F331" s="312">
        <v>66</v>
      </c>
      <c r="G331" s="312">
        <v>17</v>
      </c>
      <c r="H331" s="382">
        <v>950.5</v>
      </c>
      <c r="I331" s="383">
        <v>190</v>
      </c>
      <c r="J331" s="328">
        <f>382290+386122+344313.5+244996+104138.75+43618.5+27632+12528+6812+832+1782+2257+1782+5477.5+2138.5+4669.5+970+2851.5+950.5</f>
        <v>1576161.25</v>
      </c>
      <c r="K331" s="344">
        <f>34863+36137+32260+23896+12188+5940+2894+1417+1234+90+446+565+446+1293+535+1220+404+571+190</f>
        <v>156589</v>
      </c>
      <c r="L331" s="297">
        <v>40963</v>
      </c>
    </row>
    <row r="332" spans="1:12" ht="12" customHeight="1">
      <c r="A332" s="311">
        <v>329</v>
      </c>
      <c r="B332" s="457" t="s">
        <v>570</v>
      </c>
      <c r="C332" s="339" t="s">
        <v>574</v>
      </c>
      <c r="D332" s="320">
        <v>40669</v>
      </c>
      <c r="E332" s="288" t="s">
        <v>68</v>
      </c>
      <c r="F332" s="312">
        <v>31</v>
      </c>
      <c r="G332" s="312">
        <v>18</v>
      </c>
      <c r="H332" s="382">
        <v>950.5</v>
      </c>
      <c r="I332" s="383">
        <v>190</v>
      </c>
      <c r="J332" s="328">
        <f>175019+105176.5+33821+39610.5+24959.5+21794.5+6227+4449+362+706+2230+1369.5+1342.5+950.5+240+2366+3801.5+950.5</f>
        <v>425375.5</v>
      </c>
      <c r="K332" s="344">
        <f>19673+11998+4200+5352+3807+3790+1054+773+55+128+469+229+219+157+30+429+950+190</f>
        <v>53503</v>
      </c>
      <c r="L332" s="297">
        <v>40963</v>
      </c>
    </row>
    <row r="333" spans="1:12" ht="12" customHeight="1">
      <c r="A333" s="311">
        <v>330</v>
      </c>
      <c r="B333" s="457" t="s">
        <v>101</v>
      </c>
      <c r="C333" s="339" t="s">
        <v>116</v>
      </c>
      <c r="D333" s="320">
        <v>40879</v>
      </c>
      <c r="E333" s="288" t="s">
        <v>68</v>
      </c>
      <c r="F333" s="312">
        <v>202</v>
      </c>
      <c r="G333" s="312">
        <v>13</v>
      </c>
      <c r="H333" s="382">
        <v>950.5</v>
      </c>
      <c r="I333" s="383">
        <v>190</v>
      </c>
      <c r="J333" s="328">
        <f>1080241.5+1088121+871543+502064+300294.5+131358.5+96969.5+68985+9253.5+5204.5+1760.5+2732.5+950.5</f>
        <v>4159478.5</v>
      </c>
      <c r="K333" s="344">
        <f>121812+123965+100674+61096+39726+19116+14898+10338+1416+922+322+523+190</f>
        <v>494998</v>
      </c>
      <c r="L333" s="297">
        <v>40970</v>
      </c>
    </row>
    <row r="334" spans="1:12" ht="12" customHeight="1">
      <c r="A334" s="311">
        <v>331</v>
      </c>
      <c r="B334" s="457" t="s">
        <v>487</v>
      </c>
      <c r="C334" s="312" t="s">
        <v>488</v>
      </c>
      <c r="D334" s="320">
        <v>40585</v>
      </c>
      <c r="E334" s="288" t="s">
        <v>68</v>
      </c>
      <c r="F334" s="340">
        <v>58</v>
      </c>
      <c r="G334" s="312">
        <v>36</v>
      </c>
      <c r="H334" s="382">
        <v>950.5</v>
      </c>
      <c r="I334" s="383">
        <v>190</v>
      </c>
      <c r="J334" s="328">
        <f>236018+209847.25+105622+138051.5+64189.5+34454+20202.5+27754+16946+8179.5+9672.5+8494+21812+25095+12109+8066+3824+4092+15394+226700+172575.5+127465+93972+96529+77366.5+63475.5+48505.5+31769.5+29482+10986+6164+59+1093.5+1386+279+950.5</f>
        <v>1958581.25</v>
      </c>
      <c r="K334" s="344">
        <f>25731+24506+13184+19079+9581+4996+3067+4392+3122+1175+1530+1410+3175+3587+1436+923+420+447+1629+25969+20073+15455+11876+13635+10490+9269+7265+5116+4049+1598+1517+8+257+323+37+190</f>
        <v>250517</v>
      </c>
      <c r="L334" s="297">
        <v>40935</v>
      </c>
    </row>
    <row r="335" spans="1:12" ht="12" customHeight="1">
      <c r="A335" s="311">
        <v>332</v>
      </c>
      <c r="B335" s="457" t="s">
        <v>487</v>
      </c>
      <c r="C335" s="312" t="s">
        <v>488</v>
      </c>
      <c r="D335" s="320">
        <v>40585</v>
      </c>
      <c r="E335" s="288" t="s">
        <v>68</v>
      </c>
      <c r="F335" s="340">
        <v>58</v>
      </c>
      <c r="G335" s="312">
        <v>37</v>
      </c>
      <c r="H335" s="382">
        <v>950.5</v>
      </c>
      <c r="I335" s="383">
        <v>190</v>
      </c>
      <c r="J335" s="328">
        <f>236018+209847.25+105622+138051.5+64189.5+34454+20202.5+27754+16946+8179.5+9672.5+8494+21812+25095+12109+8066+3824+4092+15394+226700+172575.5+127465+93972+96529+77366.5+63475.5+48505.5+31769.5+29482+10986+6164+59+1093.5+1386+279+950.5+950.5</f>
        <v>1959531.75</v>
      </c>
      <c r="K335" s="344">
        <f>25731+24506+13184+19079+9581+4996+3067+4392+3122+1175+1530+1410+3175+3587+1436+923+420+447+1629+25969+20073+15455+11876+13635+10490+9269+7265+5116+4049+1598+1517+8+257+323+37+190+190</f>
        <v>250707</v>
      </c>
      <c r="L335" s="297">
        <v>40942</v>
      </c>
    </row>
    <row r="336" spans="1:12" ht="12" customHeight="1">
      <c r="A336" s="311">
        <v>333</v>
      </c>
      <c r="B336" s="457" t="s">
        <v>312</v>
      </c>
      <c r="C336" s="339" t="s">
        <v>321</v>
      </c>
      <c r="D336" s="320">
        <v>40795</v>
      </c>
      <c r="E336" s="288" t="s">
        <v>68</v>
      </c>
      <c r="F336" s="312">
        <v>3</v>
      </c>
      <c r="G336" s="312">
        <v>10</v>
      </c>
      <c r="H336" s="382">
        <v>950.5</v>
      </c>
      <c r="I336" s="383">
        <v>190</v>
      </c>
      <c r="J336" s="328">
        <f>4125+2511+398+1048+854+482+594+1782+713+950.5</f>
        <v>13457.5</v>
      </c>
      <c r="K336" s="344">
        <f>422+287+52+100+134+61+149+446+143+190</f>
        <v>1984</v>
      </c>
      <c r="L336" s="297">
        <v>40977</v>
      </c>
    </row>
    <row r="337" spans="1:12" ht="12" customHeight="1">
      <c r="A337" s="311">
        <v>334</v>
      </c>
      <c r="B337" s="457" t="s">
        <v>507</v>
      </c>
      <c r="C337" s="339" t="s">
        <v>508</v>
      </c>
      <c r="D337" s="320">
        <v>40662</v>
      </c>
      <c r="E337" s="288" t="s">
        <v>68</v>
      </c>
      <c r="F337" s="312">
        <v>10</v>
      </c>
      <c r="G337" s="312">
        <v>17</v>
      </c>
      <c r="H337" s="382">
        <v>950.5</v>
      </c>
      <c r="I337" s="383">
        <v>190</v>
      </c>
      <c r="J337" s="328">
        <f>12563.75+2983.5+2680+354+641+412+470+299+1405.5+1335+741+1188+1188+2138.5+2851+594+430+950.5</f>
        <v>33224.75</v>
      </c>
      <c r="K337" s="344">
        <f>1693+350+279+68+81+51+66+35+228+169+92+297+297+535+715+149+188+190</f>
        <v>5483</v>
      </c>
      <c r="L337" s="297">
        <v>40949</v>
      </c>
    </row>
    <row r="338" spans="1:12" ht="12" customHeight="1">
      <c r="A338" s="311">
        <v>335</v>
      </c>
      <c r="B338" s="457" t="s">
        <v>507</v>
      </c>
      <c r="C338" s="339" t="s">
        <v>508</v>
      </c>
      <c r="D338" s="320">
        <v>40662</v>
      </c>
      <c r="E338" s="288" t="s">
        <v>68</v>
      </c>
      <c r="F338" s="312">
        <v>10</v>
      </c>
      <c r="G338" s="312">
        <v>17</v>
      </c>
      <c r="H338" s="382">
        <v>950.5</v>
      </c>
      <c r="I338" s="383">
        <v>190</v>
      </c>
      <c r="J338" s="328">
        <f>12563.75+2983.5+2680+354+641+412+470+299+1405.5+1335+741+1188+1188+2138.5+2851+594+430+950.5+950.5</f>
        <v>34175.25</v>
      </c>
      <c r="K338" s="344">
        <f>1693+350+279+68+81+51+66+35+228+169+92+297+297+535+715+149+188+190+190</f>
        <v>5673</v>
      </c>
      <c r="L338" s="297">
        <v>40963</v>
      </c>
    </row>
    <row r="339" spans="1:12" ht="12" customHeight="1">
      <c r="A339" s="311">
        <v>336</v>
      </c>
      <c r="B339" s="366" t="s">
        <v>101</v>
      </c>
      <c r="C339" s="339" t="s">
        <v>116</v>
      </c>
      <c r="D339" s="370">
        <v>40879</v>
      </c>
      <c r="E339" s="288" t="s">
        <v>68</v>
      </c>
      <c r="F339" s="312">
        <v>202</v>
      </c>
      <c r="G339" s="312">
        <v>17</v>
      </c>
      <c r="H339" s="468">
        <v>950.5</v>
      </c>
      <c r="I339" s="469">
        <v>190</v>
      </c>
      <c r="J339" s="317">
        <f>1080241.5+1088121+871543+502064+300294.5+131358.5+96969.5+68985+9253.5+5204.5+1760.5+2732.5+950.5+21051.01+1308+788+950.5</f>
        <v>4183576.01</v>
      </c>
      <c r="K339" s="368">
        <f>121812+123965+100674+61096+39726+19116+14898+10338+1416+922+322+523+190+5321+312+187+190</f>
        <v>501008</v>
      </c>
      <c r="L339" s="297">
        <v>41026</v>
      </c>
    </row>
    <row r="340" spans="1:12" ht="12" customHeight="1">
      <c r="A340" s="311">
        <v>337</v>
      </c>
      <c r="B340" s="457" t="s">
        <v>349</v>
      </c>
      <c r="C340" s="339" t="s">
        <v>188</v>
      </c>
      <c r="D340" s="320">
        <v>40627</v>
      </c>
      <c r="E340" s="288" t="s">
        <v>68</v>
      </c>
      <c r="F340" s="312">
        <v>137</v>
      </c>
      <c r="G340" s="312">
        <v>25</v>
      </c>
      <c r="H340" s="382">
        <v>950</v>
      </c>
      <c r="I340" s="383">
        <v>190</v>
      </c>
      <c r="J340" s="328">
        <f>1066061.5+1061275+813239.75+606216+468367.5+266511+137274.5+89937.5+9478+4671.5+2215.5+593.5+2273.5+2234+1858+10514.5+2603+2122+2001+349+713+2613.5+475.5+3801.5+950</f>
        <v>4558349.75</v>
      </c>
      <c r="K340" s="344">
        <f>110278+106719+82858+62672+50883+32012+17904+13463+1427+637+352+91+261+268+240+2410+402+325+272+26+178+653+109+950+190</f>
        <v>485580</v>
      </c>
      <c r="L340" s="297">
        <v>40949</v>
      </c>
    </row>
    <row r="341" spans="1:12" ht="12" customHeight="1">
      <c r="A341" s="311">
        <v>338</v>
      </c>
      <c r="B341" s="534" t="s">
        <v>113</v>
      </c>
      <c r="C341" s="312" t="s">
        <v>115</v>
      </c>
      <c r="D341" s="320">
        <v>40886</v>
      </c>
      <c r="E341" s="288" t="s">
        <v>114</v>
      </c>
      <c r="F341" s="312">
        <v>82</v>
      </c>
      <c r="G341" s="331">
        <v>9</v>
      </c>
      <c r="H341" s="472">
        <v>942</v>
      </c>
      <c r="I341" s="473">
        <v>146</v>
      </c>
      <c r="J341" s="332">
        <v>647111.9</v>
      </c>
      <c r="K341" s="333">
        <v>74704</v>
      </c>
      <c r="L341" s="297">
        <v>40942</v>
      </c>
    </row>
    <row r="342" spans="1:12" ht="12" customHeight="1">
      <c r="A342" s="311">
        <v>339</v>
      </c>
      <c r="B342" s="457" t="s">
        <v>73</v>
      </c>
      <c r="C342" s="339" t="s">
        <v>87</v>
      </c>
      <c r="D342" s="320">
        <v>40858</v>
      </c>
      <c r="E342" s="288" t="s">
        <v>68</v>
      </c>
      <c r="F342" s="312">
        <v>32</v>
      </c>
      <c r="G342" s="312">
        <v>9</v>
      </c>
      <c r="H342" s="382">
        <v>937</v>
      </c>
      <c r="I342" s="383">
        <v>165</v>
      </c>
      <c r="J342" s="328">
        <f>119417+74006.5+30939.5+15734+17682+7740+3814.5+5519+937</f>
        <v>275789.5</v>
      </c>
      <c r="K342" s="344">
        <f>12383+8559+4204+1986+2778+1301+707+782+165</f>
        <v>32865</v>
      </c>
      <c r="L342" s="297">
        <v>40914</v>
      </c>
    </row>
    <row r="343" spans="1:12" ht="12" customHeight="1">
      <c r="A343" s="311">
        <v>340</v>
      </c>
      <c r="B343" s="360" t="s">
        <v>599</v>
      </c>
      <c r="C343" s="312" t="s">
        <v>602</v>
      </c>
      <c r="D343" s="369">
        <v>40977</v>
      </c>
      <c r="E343" s="288" t="s">
        <v>53</v>
      </c>
      <c r="F343" s="312">
        <v>85</v>
      </c>
      <c r="G343" s="346">
        <v>8</v>
      </c>
      <c r="H343" s="378">
        <v>909</v>
      </c>
      <c r="I343" s="379">
        <v>166</v>
      </c>
      <c r="J343" s="334">
        <f>70303.72+30009.91+8450.36+2364.5+610-24+424+213+909</f>
        <v>113260.49</v>
      </c>
      <c r="K343" s="338">
        <f>9206+3925+1180+347+89-2+64+35+166</f>
        <v>15010</v>
      </c>
      <c r="L343" s="297">
        <v>41026</v>
      </c>
    </row>
    <row r="344" spans="1:12" ht="12" customHeight="1">
      <c r="A344" s="311">
        <v>341</v>
      </c>
      <c r="B344" s="362" t="s">
        <v>269</v>
      </c>
      <c r="C344" s="312" t="s">
        <v>822</v>
      </c>
      <c r="D344" s="320">
        <v>41012</v>
      </c>
      <c r="E344" s="288" t="s">
        <v>52</v>
      </c>
      <c r="F344" s="312">
        <v>19</v>
      </c>
      <c r="G344" s="312">
        <v>4</v>
      </c>
      <c r="H344" s="378">
        <v>865</v>
      </c>
      <c r="I344" s="379">
        <v>156</v>
      </c>
      <c r="J344" s="334">
        <v>14993.57</v>
      </c>
      <c r="K344" s="338">
        <v>1800</v>
      </c>
      <c r="L344" s="297">
        <v>41033</v>
      </c>
    </row>
    <row r="345" spans="1:12" ht="12" customHeight="1">
      <c r="A345" s="311">
        <v>342</v>
      </c>
      <c r="B345" s="457" t="s">
        <v>109</v>
      </c>
      <c r="C345" s="312" t="s">
        <v>110</v>
      </c>
      <c r="D345" s="320">
        <v>40886</v>
      </c>
      <c r="E345" s="288" t="s">
        <v>12</v>
      </c>
      <c r="F345" s="312">
        <v>161</v>
      </c>
      <c r="G345" s="312">
        <v>16</v>
      </c>
      <c r="H345" s="378">
        <v>855</v>
      </c>
      <c r="I345" s="379">
        <v>157</v>
      </c>
      <c r="J345" s="334">
        <v>885573</v>
      </c>
      <c r="K345" s="338">
        <v>108245</v>
      </c>
      <c r="L345" s="297">
        <v>40991</v>
      </c>
    </row>
    <row r="346" spans="1:12" ht="12" customHeight="1">
      <c r="A346" s="311">
        <v>343</v>
      </c>
      <c r="B346" s="532" t="s">
        <v>104</v>
      </c>
      <c r="C346" s="312" t="s">
        <v>107</v>
      </c>
      <c r="D346" s="320">
        <v>40879</v>
      </c>
      <c r="E346" s="288" t="s">
        <v>53</v>
      </c>
      <c r="F346" s="312">
        <v>135</v>
      </c>
      <c r="G346" s="346">
        <v>11</v>
      </c>
      <c r="H346" s="378">
        <v>838</v>
      </c>
      <c r="I346" s="379">
        <v>131</v>
      </c>
      <c r="J346" s="334">
        <f>1709882.25+1194489.75+708906.5+376327+70+197271.5+73341.5+70692.5+50480.5+9953.5+3058+838</f>
        <v>4395311</v>
      </c>
      <c r="K346" s="338">
        <f>195314+135261+80447+45395+10+25625+10302+10950+7727+1402+435+131</f>
        <v>512999</v>
      </c>
      <c r="L346" s="297">
        <v>40949</v>
      </c>
    </row>
    <row r="347" spans="1:12" ht="12" customHeight="1">
      <c r="A347" s="311">
        <v>344</v>
      </c>
      <c r="B347" s="457" t="s">
        <v>101</v>
      </c>
      <c r="C347" s="339" t="s">
        <v>116</v>
      </c>
      <c r="D347" s="320">
        <v>40879</v>
      </c>
      <c r="E347" s="288" t="s">
        <v>68</v>
      </c>
      <c r="F347" s="312">
        <v>202</v>
      </c>
      <c r="G347" s="312">
        <v>16</v>
      </c>
      <c r="H347" s="382">
        <v>788</v>
      </c>
      <c r="I347" s="383">
        <v>187</v>
      </c>
      <c r="J347" s="328">
        <f>1080241.5+1088121+871543+502064+300294.5+131358.5+96969.5+68985+9253.5+5204.5+1760.5+2732.5+950.5+21051.01+1308+788</f>
        <v>4182625.51</v>
      </c>
      <c r="K347" s="344">
        <f>121812+123965+100674+61096+39726+19116+14898+10338+1416+922+322+523+190+5321+312+187</f>
        <v>500818</v>
      </c>
      <c r="L347" s="297">
        <v>40991</v>
      </c>
    </row>
    <row r="348" spans="1:12" ht="12" customHeight="1">
      <c r="A348" s="311">
        <v>345</v>
      </c>
      <c r="B348" s="366" t="s">
        <v>101</v>
      </c>
      <c r="C348" s="339" t="s">
        <v>116</v>
      </c>
      <c r="D348" s="320">
        <v>40879</v>
      </c>
      <c r="E348" s="288" t="s">
        <v>68</v>
      </c>
      <c r="F348" s="312">
        <v>202</v>
      </c>
      <c r="G348" s="312">
        <v>18</v>
      </c>
      <c r="H348" s="382">
        <v>788</v>
      </c>
      <c r="I348" s="383">
        <v>187</v>
      </c>
      <c r="J348" s="328">
        <f>1080241.5+1088121+871543+502064+300294.5+131358.5+96969.5+68985+9253.5+5204.5+1760.5+2732.5+950.5+21051.01+1308+788+950.5+1188</f>
        <v>4184764.01</v>
      </c>
      <c r="K348" s="344">
        <f>121812+123965+100674+61096+39726+19116+14898+10338+1416+922+322+523+190+5321+312+187+190+238</f>
        <v>501246</v>
      </c>
      <c r="L348" s="297">
        <v>41033</v>
      </c>
    </row>
    <row r="349" spans="1:12" ht="12" customHeight="1">
      <c r="A349" s="311">
        <v>346</v>
      </c>
      <c r="B349" s="532" t="s">
        <v>71</v>
      </c>
      <c r="C349" s="312" t="s">
        <v>82</v>
      </c>
      <c r="D349" s="297">
        <v>40858</v>
      </c>
      <c r="E349" s="288" t="s">
        <v>53</v>
      </c>
      <c r="F349" s="312">
        <v>130</v>
      </c>
      <c r="G349" s="346">
        <v>12</v>
      </c>
      <c r="H349" s="378">
        <v>772</v>
      </c>
      <c r="I349" s="379">
        <v>67</v>
      </c>
      <c r="J349" s="334">
        <f>665902+436506+215139.5+18371+13790+6539+18719+8754+1085+753+5914+772</f>
        <v>1392244.5</v>
      </c>
      <c r="K349" s="338">
        <f>66262+44749+24699+2311+1764+1135+3015+1547+179+111+595+67</f>
        <v>146434</v>
      </c>
      <c r="L349" s="297">
        <v>40935</v>
      </c>
    </row>
    <row r="350" spans="1:12" ht="12" customHeight="1">
      <c r="A350" s="311">
        <v>347</v>
      </c>
      <c r="B350" s="458" t="s">
        <v>74</v>
      </c>
      <c r="C350" s="331" t="s">
        <v>80</v>
      </c>
      <c r="D350" s="320">
        <v>40851</v>
      </c>
      <c r="E350" s="288" t="s">
        <v>53</v>
      </c>
      <c r="F350" s="340">
        <v>247</v>
      </c>
      <c r="G350" s="346">
        <v>11</v>
      </c>
      <c r="H350" s="378">
        <v>754</v>
      </c>
      <c r="I350" s="379">
        <v>104</v>
      </c>
      <c r="J350" s="334">
        <f>2260223+2366876.75+3859638+3137342+1906742.5+252.25+1189485.5+474275+250512+184428+13126+754</f>
        <v>15643655</v>
      </c>
      <c r="K350" s="338">
        <f>286038+329194+554088+452220+278080+42+178270+68355+40409+33224+1975+104</f>
        <v>2221999</v>
      </c>
      <c r="L350" s="297">
        <v>40921</v>
      </c>
    </row>
    <row r="351" spans="1:12" ht="12" customHeight="1">
      <c r="A351" s="311">
        <v>348</v>
      </c>
      <c r="B351" s="532" t="s">
        <v>71</v>
      </c>
      <c r="C351" s="312" t="s">
        <v>82</v>
      </c>
      <c r="D351" s="297">
        <v>40858</v>
      </c>
      <c r="E351" s="288" t="s">
        <v>53</v>
      </c>
      <c r="F351" s="312">
        <v>130</v>
      </c>
      <c r="G351" s="346">
        <v>1</v>
      </c>
      <c r="H351" s="378">
        <v>753</v>
      </c>
      <c r="I351" s="379">
        <v>111</v>
      </c>
      <c r="J351" s="334">
        <f>665902+436506+215139.5+18371+13790+6539+18719+8754+1085+753</f>
        <v>1385558.5</v>
      </c>
      <c r="K351" s="338">
        <f>66262+44749+24699+2311+1764+1135+3015+1547+179+111</f>
        <v>145772</v>
      </c>
      <c r="L351" s="297">
        <v>40921</v>
      </c>
    </row>
    <row r="352" spans="1:12" ht="12" customHeight="1">
      <c r="A352" s="311">
        <v>349</v>
      </c>
      <c r="B352" s="457" t="s">
        <v>73</v>
      </c>
      <c r="C352" s="339" t="s">
        <v>87</v>
      </c>
      <c r="D352" s="320">
        <v>40858</v>
      </c>
      <c r="E352" s="288" t="s">
        <v>68</v>
      </c>
      <c r="F352" s="312">
        <v>32</v>
      </c>
      <c r="G352" s="312">
        <v>15</v>
      </c>
      <c r="H352" s="382">
        <v>745</v>
      </c>
      <c r="I352" s="383">
        <v>132</v>
      </c>
      <c r="J352" s="328">
        <f>119417+74006.5+30939.5+15734+17682+7740+3814.5+5519+937+732+479+1782+1188+713+96+745</f>
        <v>281524.5</v>
      </c>
      <c r="K352" s="344">
        <f>12383+8559+4204+1986+2778+1301+707+782+165+115+82+325+238+143+32+132</f>
        <v>33932</v>
      </c>
      <c r="L352" s="297">
        <v>40963</v>
      </c>
    </row>
    <row r="353" spans="1:12" ht="12" customHeight="1">
      <c r="A353" s="311">
        <v>350</v>
      </c>
      <c r="B353" s="361" t="s">
        <v>685</v>
      </c>
      <c r="D353" s="320">
        <v>41005</v>
      </c>
      <c r="E353" s="288" t="s">
        <v>52</v>
      </c>
      <c r="F353" s="312">
        <v>21</v>
      </c>
      <c r="G353" s="312">
        <v>3</v>
      </c>
      <c r="H353" s="378">
        <v>743</v>
      </c>
      <c r="I353" s="379">
        <v>112</v>
      </c>
      <c r="J353" s="334">
        <v>13992.26</v>
      </c>
      <c r="K353" s="338">
        <v>1713</v>
      </c>
      <c r="L353" s="297">
        <v>41019</v>
      </c>
    </row>
    <row r="354" spans="1:12" ht="12" customHeight="1">
      <c r="A354" s="311">
        <v>351</v>
      </c>
      <c r="B354" s="360" t="s">
        <v>618</v>
      </c>
      <c r="C354" s="312"/>
      <c r="D354" s="297">
        <v>40984</v>
      </c>
      <c r="E354" s="288" t="s">
        <v>53</v>
      </c>
      <c r="F354" s="346">
        <v>121</v>
      </c>
      <c r="G354" s="346">
        <v>8</v>
      </c>
      <c r="H354" s="378">
        <v>733</v>
      </c>
      <c r="I354" s="379">
        <v>129</v>
      </c>
      <c r="J354" s="492">
        <f>473567.49+256734.07+139144.54+37019.89+12727+8216.5+1450+733</f>
        <v>929592.4900000001</v>
      </c>
      <c r="K354" s="493">
        <f>52358+28804+16705+5262+2060+1531+259+129</f>
        <v>107108</v>
      </c>
      <c r="L354" s="297">
        <v>41033</v>
      </c>
    </row>
    <row r="355" spans="1:12" ht="12" customHeight="1">
      <c r="A355" s="311">
        <v>352</v>
      </c>
      <c r="B355" s="457" t="s">
        <v>73</v>
      </c>
      <c r="C355" s="339" t="s">
        <v>87</v>
      </c>
      <c r="D355" s="320">
        <v>40858</v>
      </c>
      <c r="E355" s="288" t="s">
        <v>68</v>
      </c>
      <c r="F355" s="312">
        <v>32</v>
      </c>
      <c r="G355" s="312">
        <v>10</v>
      </c>
      <c r="H355" s="382">
        <v>732</v>
      </c>
      <c r="I355" s="383">
        <v>115</v>
      </c>
      <c r="J355" s="328">
        <f>119417+74006.5+30939.5+15734+17682+7740+3814.5+5519+937+732</f>
        <v>276521.5</v>
      </c>
      <c r="K355" s="344">
        <f>12383+8559+4204+1986+2778+1301+707+782+165+115</f>
        <v>32980</v>
      </c>
      <c r="L355" s="297">
        <v>40921</v>
      </c>
    </row>
    <row r="356" spans="1:12" ht="12" customHeight="1">
      <c r="A356" s="311">
        <v>353</v>
      </c>
      <c r="B356" s="457" t="s">
        <v>73</v>
      </c>
      <c r="C356" s="339" t="s">
        <v>87</v>
      </c>
      <c r="D356" s="320">
        <v>40858</v>
      </c>
      <c r="E356" s="288" t="s">
        <v>68</v>
      </c>
      <c r="F356" s="312">
        <v>32</v>
      </c>
      <c r="G356" s="312">
        <v>13</v>
      </c>
      <c r="H356" s="382">
        <v>713</v>
      </c>
      <c r="I356" s="383">
        <v>143</v>
      </c>
      <c r="J356" s="328">
        <f>119417+74006.5+30939.5+15734+17682+7740+3814.5+5519+937+732+479+1782+1188+713</f>
        <v>280683.5</v>
      </c>
      <c r="K356" s="344">
        <f>12383+8559+4204+1986+2778+1301+707+782+165+115+82+325+238+143</f>
        <v>33768</v>
      </c>
      <c r="L356" s="297">
        <v>40949</v>
      </c>
    </row>
    <row r="357" spans="1:12" ht="12" customHeight="1">
      <c r="A357" s="311">
        <v>354</v>
      </c>
      <c r="B357" s="457" t="s">
        <v>532</v>
      </c>
      <c r="C357" s="339" t="s">
        <v>536</v>
      </c>
      <c r="D357" s="320">
        <v>40620</v>
      </c>
      <c r="E357" s="288" t="s">
        <v>68</v>
      </c>
      <c r="F357" s="312">
        <v>18</v>
      </c>
      <c r="G357" s="312">
        <v>13</v>
      </c>
      <c r="H357" s="382">
        <v>713</v>
      </c>
      <c r="I357" s="383">
        <v>143</v>
      </c>
      <c r="J357" s="328">
        <f>39453.5+44225+30459.5+23462+13989+8982.5+6844+2370+4120+2588+1886+275+713</f>
        <v>179367.5</v>
      </c>
      <c r="K357" s="344">
        <f>5345+6302+4080+3427+1964+1106+1298+366+730+571+456+44+143</f>
        <v>25832</v>
      </c>
      <c r="L357" s="297">
        <v>40949</v>
      </c>
    </row>
    <row r="358" spans="1:12" ht="12" customHeight="1">
      <c r="A358" s="311">
        <v>355</v>
      </c>
      <c r="B358" s="457" t="s">
        <v>312</v>
      </c>
      <c r="C358" s="339" t="s">
        <v>321</v>
      </c>
      <c r="D358" s="320">
        <v>40795</v>
      </c>
      <c r="E358" s="288" t="s">
        <v>68</v>
      </c>
      <c r="F358" s="312">
        <v>3</v>
      </c>
      <c r="G358" s="312">
        <v>8</v>
      </c>
      <c r="H358" s="382">
        <v>713</v>
      </c>
      <c r="I358" s="383">
        <v>143</v>
      </c>
      <c r="J358" s="328">
        <f>4125+2511+398+1048+854+482+594+1782+713</f>
        <v>12507</v>
      </c>
      <c r="K358" s="344">
        <f>422+287+52+100+134+61+149+446+143</f>
        <v>1794</v>
      </c>
      <c r="L358" s="297">
        <v>40949</v>
      </c>
    </row>
    <row r="359" spans="1:12" ht="12" customHeight="1">
      <c r="A359" s="311">
        <v>356</v>
      </c>
      <c r="B359" s="361" t="s">
        <v>261</v>
      </c>
      <c r="C359" s="312" t="s">
        <v>106</v>
      </c>
      <c r="D359" s="370">
        <v>40886</v>
      </c>
      <c r="E359" s="288" t="s">
        <v>52</v>
      </c>
      <c r="F359" s="341">
        <v>8</v>
      </c>
      <c r="G359" s="312">
        <v>7</v>
      </c>
      <c r="H359" s="378">
        <v>684</v>
      </c>
      <c r="I359" s="379">
        <v>108</v>
      </c>
      <c r="J359" s="334">
        <v>23480</v>
      </c>
      <c r="K359" s="338">
        <v>3286</v>
      </c>
      <c r="L359" s="297">
        <v>41026</v>
      </c>
    </row>
    <row r="360" spans="1:12" ht="12" customHeight="1">
      <c r="A360" s="311">
        <v>357</v>
      </c>
      <c r="B360" s="361" t="s">
        <v>334</v>
      </c>
      <c r="C360" s="288" t="s">
        <v>335</v>
      </c>
      <c r="D360" s="320">
        <v>40921</v>
      </c>
      <c r="E360" s="288" t="s">
        <v>52</v>
      </c>
      <c r="F360" s="313">
        <v>49</v>
      </c>
      <c r="G360" s="525">
        <v>9</v>
      </c>
      <c r="H360" s="378">
        <v>678</v>
      </c>
      <c r="I360" s="379">
        <v>129</v>
      </c>
      <c r="J360" s="334">
        <f>357713+343246.5+115529.5+51137+24830.5+11883+8256+3443+678</f>
        <v>916716.5</v>
      </c>
      <c r="K360" s="338">
        <f>33400+31498+10192+4818+3004+1638+1139+561+129</f>
        <v>86379</v>
      </c>
      <c r="L360" s="297">
        <v>40998</v>
      </c>
    </row>
    <row r="361" spans="1:12" ht="12" customHeight="1">
      <c r="A361" s="311">
        <v>358</v>
      </c>
      <c r="B361" s="458" t="s">
        <v>77</v>
      </c>
      <c r="C361" s="288" t="s">
        <v>168</v>
      </c>
      <c r="D361" s="320">
        <v>40865</v>
      </c>
      <c r="E361" s="288" t="s">
        <v>52</v>
      </c>
      <c r="F361" s="331">
        <v>64</v>
      </c>
      <c r="G361" s="331">
        <v>10</v>
      </c>
      <c r="H361" s="530">
        <v>659</v>
      </c>
      <c r="I361" s="531">
        <v>92</v>
      </c>
      <c r="J361" s="373">
        <f>256046+137037.5+20115+5099+3542+3484.5+1302+1985+195+659</f>
        <v>429465</v>
      </c>
      <c r="K361" s="338">
        <f>25390+13650+2140+705+587+707+246+352+31+92</f>
        <v>43900</v>
      </c>
      <c r="L361" s="297">
        <v>40928</v>
      </c>
    </row>
    <row r="362" spans="1:12" ht="12" customHeight="1">
      <c r="A362" s="311">
        <v>359</v>
      </c>
      <c r="B362" s="534" t="s">
        <v>503</v>
      </c>
      <c r="C362" s="288" t="s">
        <v>504</v>
      </c>
      <c r="D362" s="297">
        <v>40900</v>
      </c>
      <c r="E362" s="288" t="s">
        <v>471</v>
      </c>
      <c r="F362" s="312">
        <v>1</v>
      </c>
      <c r="G362" s="312">
        <v>3</v>
      </c>
      <c r="H362" s="378">
        <v>633</v>
      </c>
      <c r="I362" s="379">
        <v>211</v>
      </c>
      <c r="J362" s="334">
        <v>4823</v>
      </c>
      <c r="K362" s="338">
        <v>630</v>
      </c>
      <c r="L362" s="297">
        <v>40942</v>
      </c>
    </row>
    <row r="363" spans="1:12" ht="12" customHeight="1">
      <c r="A363" s="311">
        <v>360</v>
      </c>
      <c r="B363" s="360" t="s">
        <v>599</v>
      </c>
      <c r="C363" s="288" t="s">
        <v>602</v>
      </c>
      <c r="D363" s="297">
        <v>40977</v>
      </c>
      <c r="E363" s="288" t="s">
        <v>53</v>
      </c>
      <c r="F363" s="312">
        <v>85</v>
      </c>
      <c r="G363" s="345">
        <v>5</v>
      </c>
      <c r="H363" s="378">
        <v>610</v>
      </c>
      <c r="I363" s="379">
        <v>89</v>
      </c>
      <c r="J363" s="334">
        <f>70303.72+30009.91+8450.36+2364.5+610-24</f>
        <v>111714.49</v>
      </c>
      <c r="K363" s="338">
        <f>9206+3925+1180+347+89-2</f>
        <v>14745</v>
      </c>
      <c r="L363" s="297">
        <v>41005</v>
      </c>
    </row>
    <row r="364" spans="1:12" ht="12" customHeight="1">
      <c r="A364" s="311">
        <v>361</v>
      </c>
      <c r="B364" s="532" t="s">
        <v>207</v>
      </c>
      <c r="C364" s="288" t="s">
        <v>208</v>
      </c>
      <c r="D364" s="320">
        <v>40613</v>
      </c>
      <c r="E364" s="288" t="s">
        <v>13</v>
      </c>
      <c r="F364" s="312">
        <v>25</v>
      </c>
      <c r="G364" s="312">
        <v>19</v>
      </c>
      <c r="H364" s="378">
        <v>605</v>
      </c>
      <c r="I364" s="379">
        <v>121</v>
      </c>
      <c r="J364" s="334">
        <v>212148.5</v>
      </c>
      <c r="K364" s="338">
        <v>28587</v>
      </c>
      <c r="L364" s="297">
        <v>40935</v>
      </c>
    </row>
    <row r="365" spans="1:12" ht="12" customHeight="1">
      <c r="A365" s="311">
        <v>362</v>
      </c>
      <c r="B365" s="366" t="s">
        <v>109</v>
      </c>
      <c r="C365" s="312" t="s">
        <v>110</v>
      </c>
      <c r="D365" s="320">
        <v>40886</v>
      </c>
      <c r="E365" s="288" t="s">
        <v>12</v>
      </c>
      <c r="F365" s="312">
        <v>161</v>
      </c>
      <c r="G365" s="313">
        <v>17</v>
      </c>
      <c r="H365" s="378">
        <v>595</v>
      </c>
      <c r="I365" s="379">
        <v>105</v>
      </c>
      <c r="J365" s="334">
        <v>886168</v>
      </c>
      <c r="K365" s="338">
        <v>108350</v>
      </c>
      <c r="L365" s="297">
        <v>40998</v>
      </c>
    </row>
    <row r="366" spans="1:12" ht="12" customHeight="1">
      <c r="A366" s="311">
        <v>363</v>
      </c>
      <c r="B366" s="366" t="s">
        <v>109</v>
      </c>
      <c r="C366" s="312" t="s">
        <v>110</v>
      </c>
      <c r="D366" s="320">
        <v>40886</v>
      </c>
      <c r="E366" s="288" t="s">
        <v>12</v>
      </c>
      <c r="F366" s="312">
        <v>161</v>
      </c>
      <c r="G366" s="313">
        <v>18</v>
      </c>
      <c r="H366" s="378">
        <v>595</v>
      </c>
      <c r="I366" s="379">
        <v>105</v>
      </c>
      <c r="J366" s="334">
        <v>886763</v>
      </c>
      <c r="K366" s="338">
        <v>108455</v>
      </c>
      <c r="L366" s="297">
        <v>41005</v>
      </c>
    </row>
    <row r="367" spans="1:12" ht="12" customHeight="1">
      <c r="A367" s="311">
        <v>364</v>
      </c>
      <c r="B367" s="532" t="s">
        <v>207</v>
      </c>
      <c r="C367" s="288" t="s">
        <v>208</v>
      </c>
      <c r="D367" s="320">
        <v>40613</v>
      </c>
      <c r="E367" s="288" t="s">
        <v>13</v>
      </c>
      <c r="F367" s="312">
        <v>25</v>
      </c>
      <c r="G367" s="312">
        <v>19</v>
      </c>
      <c r="H367" s="378">
        <v>594</v>
      </c>
      <c r="I367" s="379">
        <v>118</v>
      </c>
      <c r="J367" s="334">
        <v>211543.5</v>
      </c>
      <c r="K367" s="338">
        <v>28466</v>
      </c>
      <c r="L367" s="297">
        <v>40907</v>
      </c>
    </row>
    <row r="368" spans="1:12" ht="12" customHeight="1">
      <c r="A368" s="311">
        <v>365</v>
      </c>
      <c r="B368" s="361" t="s">
        <v>616</v>
      </c>
      <c r="C368" s="340" t="s">
        <v>617</v>
      </c>
      <c r="D368" s="370">
        <v>40984</v>
      </c>
      <c r="E368" s="288" t="s">
        <v>52</v>
      </c>
      <c r="F368" s="312">
        <v>206</v>
      </c>
      <c r="G368" s="312">
        <v>9</v>
      </c>
      <c r="H368" s="378">
        <v>577</v>
      </c>
      <c r="I368" s="379">
        <v>88</v>
      </c>
      <c r="J368" s="334">
        <v>617289.34</v>
      </c>
      <c r="K368" s="338">
        <v>78708</v>
      </c>
      <c r="L368" s="297">
        <v>41040</v>
      </c>
    </row>
    <row r="369" spans="1:12" ht="12" customHeight="1">
      <c r="A369" s="311">
        <v>366</v>
      </c>
      <c r="B369" s="365" t="s">
        <v>66</v>
      </c>
      <c r="C369" s="340" t="s">
        <v>81</v>
      </c>
      <c r="D369" s="320">
        <v>40844</v>
      </c>
      <c r="E369" s="288" t="s">
        <v>53</v>
      </c>
      <c r="F369" s="340">
        <v>245</v>
      </c>
      <c r="G369" s="346">
        <v>11</v>
      </c>
      <c r="H369" s="378">
        <v>573</v>
      </c>
      <c r="I369" s="379">
        <v>94</v>
      </c>
      <c r="J369" s="334">
        <f>2095427.5+1865707+650031+295029.5+57559.5+69427+8354+22014.5+2923+1680+573</f>
        <v>5068726</v>
      </c>
      <c r="K369" s="338">
        <f>212522+189875+68849+32548+6112+10910+1695+4739+564+262+94</f>
        <v>528170</v>
      </c>
      <c r="L369" s="297">
        <v>40914</v>
      </c>
    </row>
    <row r="370" spans="1:12" ht="12" customHeight="1">
      <c r="A370" s="311">
        <v>367</v>
      </c>
      <c r="B370" s="360" t="s">
        <v>618</v>
      </c>
      <c r="C370" s="312"/>
      <c r="D370" s="369">
        <v>40984</v>
      </c>
      <c r="E370" s="288" t="s">
        <v>53</v>
      </c>
      <c r="F370" s="346">
        <v>121</v>
      </c>
      <c r="G370" s="346">
        <v>9</v>
      </c>
      <c r="H370" s="378">
        <v>555</v>
      </c>
      <c r="I370" s="379">
        <v>204</v>
      </c>
      <c r="J370" s="334">
        <f>473567.49+256734.07+139144.54+37019.89+12727+8216.5+1450+733+555</f>
        <v>930147.4900000001</v>
      </c>
      <c r="K370" s="338">
        <f>52358+28804+16705+5262+2060+1531+259+129+204</f>
        <v>107312</v>
      </c>
      <c r="L370" s="297">
        <v>41040</v>
      </c>
    </row>
    <row r="371" spans="1:12" ht="12" customHeight="1">
      <c r="A371" s="311">
        <v>368</v>
      </c>
      <c r="B371" s="532" t="s">
        <v>100</v>
      </c>
      <c r="C371" s="312" t="s">
        <v>108</v>
      </c>
      <c r="D371" s="320">
        <v>40879</v>
      </c>
      <c r="E371" s="288" t="s">
        <v>8</v>
      </c>
      <c r="F371" s="312">
        <v>39</v>
      </c>
      <c r="G371" s="340">
        <v>9</v>
      </c>
      <c r="H371" s="384">
        <v>520</v>
      </c>
      <c r="I371" s="385">
        <v>88</v>
      </c>
      <c r="J371" s="332">
        <v>224035</v>
      </c>
      <c r="K371" s="333">
        <v>25373</v>
      </c>
      <c r="L371" s="297">
        <v>40935</v>
      </c>
    </row>
    <row r="372" spans="1:12" ht="12" customHeight="1">
      <c r="A372" s="311">
        <v>369</v>
      </c>
      <c r="B372" s="361" t="s">
        <v>334</v>
      </c>
      <c r="D372" s="320">
        <v>40921</v>
      </c>
      <c r="E372" s="288" t="s">
        <v>52</v>
      </c>
      <c r="F372" s="313">
        <v>49</v>
      </c>
      <c r="G372" s="313">
        <v>11</v>
      </c>
      <c r="H372" s="480">
        <v>498</v>
      </c>
      <c r="I372" s="481">
        <v>75</v>
      </c>
      <c r="J372" s="335">
        <f>357713+343246.5+115529.5+51137+24830.5+11883+8256+3443+678+1126+498</f>
        <v>918340.5</v>
      </c>
      <c r="K372" s="336">
        <f>33400+31498+10192+4818+3004+1638+1139+561+129+170+75</f>
        <v>86624</v>
      </c>
      <c r="L372" s="297">
        <v>41012</v>
      </c>
    </row>
    <row r="373" spans="1:12" ht="12" customHeight="1">
      <c r="A373" s="311">
        <v>370</v>
      </c>
      <c r="B373" s="533" t="s">
        <v>304</v>
      </c>
      <c r="C373" s="312" t="s">
        <v>305</v>
      </c>
      <c r="D373" s="320">
        <v>40914</v>
      </c>
      <c r="E373" s="288" t="s">
        <v>12</v>
      </c>
      <c r="F373" s="312">
        <v>204</v>
      </c>
      <c r="G373" s="312">
        <v>9</v>
      </c>
      <c r="H373" s="378">
        <v>494</v>
      </c>
      <c r="I373" s="379">
        <v>74</v>
      </c>
      <c r="J373" s="334">
        <v>5364793</v>
      </c>
      <c r="K373" s="338">
        <v>579462</v>
      </c>
      <c r="L373" s="297">
        <v>40970</v>
      </c>
    </row>
    <row r="374" spans="1:12" ht="12" customHeight="1">
      <c r="A374" s="311">
        <v>371</v>
      </c>
      <c r="B374" s="364" t="s">
        <v>484</v>
      </c>
      <c r="C374" s="312"/>
      <c r="D374" s="369">
        <v>40935</v>
      </c>
      <c r="E374" s="288" t="s">
        <v>12</v>
      </c>
      <c r="F374" s="340">
        <v>352</v>
      </c>
      <c r="G374" s="312">
        <v>14</v>
      </c>
      <c r="H374" s="378">
        <v>484</v>
      </c>
      <c r="I374" s="379">
        <v>207</v>
      </c>
      <c r="J374" s="334">
        <v>18168091</v>
      </c>
      <c r="K374" s="338">
        <v>1970935</v>
      </c>
      <c r="L374" s="297">
        <v>41026</v>
      </c>
    </row>
    <row r="375" spans="1:12" ht="12" customHeight="1">
      <c r="A375" s="311">
        <v>372</v>
      </c>
      <c r="B375" s="457" t="s">
        <v>73</v>
      </c>
      <c r="C375" s="339" t="s">
        <v>87</v>
      </c>
      <c r="D375" s="320">
        <v>40858</v>
      </c>
      <c r="E375" s="288" t="s">
        <v>68</v>
      </c>
      <c r="F375" s="312">
        <v>32</v>
      </c>
      <c r="G375" s="312">
        <v>10</v>
      </c>
      <c r="H375" s="382">
        <v>479</v>
      </c>
      <c r="I375" s="383">
        <v>82</v>
      </c>
      <c r="J375" s="328">
        <f>119417+74006.5+30939.5+15734+17682+7740+3814.5+5519+937+732+479</f>
        <v>277000.5</v>
      </c>
      <c r="K375" s="344">
        <f>12383+8559+4204+1986+2778+1301+707+782+165+115+82</f>
        <v>33062</v>
      </c>
      <c r="L375" s="297">
        <v>40928</v>
      </c>
    </row>
    <row r="376" spans="1:12" ht="12" customHeight="1">
      <c r="A376" s="311">
        <v>373</v>
      </c>
      <c r="B376" s="533" t="s">
        <v>304</v>
      </c>
      <c r="C376" s="312" t="s">
        <v>305</v>
      </c>
      <c r="D376" s="320">
        <v>40914</v>
      </c>
      <c r="E376" s="288" t="s">
        <v>12</v>
      </c>
      <c r="F376" s="312">
        <v>204</v>
      </c>
      <c r="G376" s="312">
        <v>11</v>
      </c>
      <c r="H376" s="378">
        <v>479</v>
      </c>
      <c r="I376" s="379">
        <v>73</v>
      </c>
      <c r="J376" s="334">
        <v>5367292</v>
      </c>
      <c r="K376" s="338">
        <v>579915</v>
      </c>
      <c r="L376" s="297">
        <v>40984</v>
      </c>
    </row>
    <row r="377" spans="1:12" ht="12" customHeight="1">
      <c r="A377" s="311">
        <v>374</v>
      </c>
      <c r="B377" s="534" t="s">
        <v>113</v>
      </c>
      <c r="C377" s="312" t="s">
        <v>115</v>
      </c>
      <c r="D377" s="320">
        <v>40886</v>
      </c>
      <c r="E377" s="288" t="s">
        <v>114</v>
      </c>
      <c r="F377" s="312">
        <v>82</v>
      </c>
      <c r="G377" s="331">
        <v>8</v>
      </c>
      <c r="H377" s="472">
        <v>470</v>
      </c>
      <c r="I377" s="473">
        <v>69</v>
      </c>
      <c r="J377" s="450">
        <v>646169.9</v>
      </c>
      <c r="K377" s="451">
        <v>74558</v>
      </c>
      <c r="L377" s="297">
        <v>40935</v>
      </c>
    </row>
    <row r="378" spans="1:12" ht="12" customHeight="1">
      <c r="A378" s="311">
        <v>375</v>
      </c>
      <c r="B378" s="364" t="s">
        <v>294</v>
      </c>
      <c r="D378" s="320">
        <v>40914</v>
      </c>
      <c r="E378" s="288" t="s">
        <v>53</v>
      </c>
      <c r="F378" s="345">
        <v>97</v>
      </c>
      <c r="G378" s="313">
        <v>13</v>
      </c>
      <c r="H378" s="480">
        <v>461</v>
      </c>
      <c r="I378" s="481">
        <v>82</v>
      </c>
      <c r="J378" s="335">
        <f>216520+198358.5+149589.5+18051.79+5443+2220+114+4171+1835+2260+1129+246+3268+461</f>
        <v>603666.79</v>
      </c>
      <c r="K378" s="336">
        <f>26831+25025+19383+2440+733+337+19+682+538+754+351+76+802+82</f>
        <v>78053</v>
      </c>
      <c r="L378" s="297">
        <v>41012</v>
      </c>
    </row>
    <row r="379" spans="1:12" ht="12" customHeight="1">
      <c r="A379" s="311">
        <v>376</v>
      </c>
      <c r="B379" s="361" t="s">
        <v>685</v>
      </c>
      <c r="C379" s="312" t="s">
        <v>820</v>
      </c>
      <c r="D379" s="370">
        <v>41005</v>
      </c>
      <c r="E379" s="288" t="s">
        <v>52</v>
      </c>
      <c r="F379" s="312">
        <v>21</v>
      </c>
      <c r="G379" s="312">
        <v>6</v>
      </c>
      <c r="H379" s="378">
        <v>445</v>
      </c>
      <c r="I379" s="379">
        <v>74</v>
      </c>
      <c r="J379" s="334">
        <v>19088.25</v>
      </c>
      <c r="K379" s="338">
        <v>2507</v>
      </c>
      <c r="L379" s="297">
        <v>41040</v>
      </c>
    </row>
    <row r="380" spans="1:12" ht="12" customHeight="1">
      <c r="A380" s="311">
        <v>377</v>
      </c>
      <c r="B380" s="457" t="s">
        <v>140</v>
      </c>
      <c r="C380" s="312" t="s">
        <v>188</v>
      </c>
      <c r="D380" s="320">
        <v>40900</v>
      </c>
      <c r="E380" s="288" t="s">
        <v>68</v>
      </c>
      <c r="F380" s="312">
        <v>197</v>
      </c>
      <c r="G380" s="312">
        <v>9</v>
      </c>
      <c r="H380" s="382">
        <v>438</v>
      </c>
      <c r="I380" s="383">
        <v>190</v>
      </c>
      <c r="J380" s="328">
        <f>985836.5+657011.5+454728.5+206461+72029+16105.51+5902+3599+438</f>
        <v>2402111.01</v>
      </c>
      <c r="K380" s="344">
        <f>106718+73176+50608+29114+10776+3413+1375+639+190</f>
        <v>276009</v>
      </c>
      <c r="L380" s="297">
        <v>40970</v>
      </c>
    </row>
    <row r="381" spans="1:12" ht="12" customHeight="1">
      <c r="A381" s="311">
        <v>378</v>
      </c>
      <c r="B381" s="360" t="s">
        <v>492</v>
      </c>
      <c r="D381" s="320">
        <v>40942</v>
      </c>
      <c r="E381" s="288" t="s">
        <v>52</v>
      </c>
      <c r="F381" s="312">
        <v>42</v>
      </c>
      <c r="G381" s="312">
        <v>12</v>
      </c>
      <c r="H381" s="378">
        <v>431</v>
      </c>
      <c r="I381" s="379">
        <v>61</v>
      </c>
      <c r="J381" s="334">
        <v>281796.01</v>
      </c>
      <c r="K381" s="338">
        <v>31361</v>
      </c>
      <c r="L381" s="297">
        <v>41019</v>
      </c>
    </row>
    <row r="382" spans="1:12" ht="12" customHeight="1">
      <c r="A382" s="311">
        <v>379</v>
      </c>
      <c r="B382" s="457" t="s">
        <v>507</v>
      </c>
      <c r="C382" s="339" t="s">
        <v>508</v>
      </c>
      <c r="D382" s="320">
        <v>40662</v>
      </c>
      <c r="E382" s="288" t="s">
        <v>68</v>
      </c>
      <c r="F382" s="312">
        <v>10</v>
      </c>
      <c r="G382" s="312">
        <v>17</v>
      </c>
      <c r="H382" s="382">
        <v>430</v>
      </c>
      <c r="I382" s="383">
        <v>188</v>
      </c>
      <c r="J382" s="328">
        <f>12563.75+2983.5+2680+354+641+412+470+299+1405.5+1335+741+1188+1188+2138.5+2851+594+430</f>
        <v>32274.25</v>
      </c>
      <c r="K382" s="344">
        <f>1693+350+279+68+81+51+66+35+228+169+92+297+297+535+715+149+188</f>
        <v>5293</v>
      </c>
      <c r="L382" s="297">
        <v>40942</v>
      </c>
    </row>
    <row r="383" spans="1:12" ht="12" customHeight="1">
      <c r="A383" s="311">
        <v>380</v>
      </c>
      <c r="B383" s="360" t="s">
        <v>599</v>
      </c>
      <c r="D383" s="297">
        <v>40977</v>
      </c>
      <c r="E383" s="288" t="s">
        <v>53</v>
      </c>
      <c r="F383" s="313">
        <v>85</v>
      </c>
      <c r="G383" s="313">
        <v>6</v>
      </c>
      <c r="H383" s="480">
        <v>424</v>
      </c>
      <c r="I383" s="481">
        <v>64</v>
      </c>
      <c r="J383" s="335">
        <f>70303.72+30009.91+8450.36+2364.5+610-24+424</f>
        <v>112138.49</v>
      </c>
      <c r="K383" s="336">
        <f>9206+3925+1180+347+89-2+64</f>
        <v>14809</v>
      </c>
      <c r="L383" s="297">
        <v>41012</v>
      </c>
    </row>
    <row r="384" spans="1:12" ht="12" customHeight="1">
      <c r="A384" s="311">
        <v>381</v>
      </c>
      <c r="B384" s="532" t="s">
        <v>100</v>
      </c>
      <c r="C384" s="312" t="s">
        <v>108</v>
      </c>
      <c r="D384" s="320">
        <v>40879</v>
      </c>
      <c r="E384" s="288" t="s">
        <v>8</v>
      </c>
      <c r="F384" s="312">
        <v>39</v>
      </c>
      <c r="G384" s="340">
        <v>10</v>
      </c>
      <c r="H384" s="382">
        <v>378</v>
      </c>
      <c r="I384" s="383">
        <v>67</v>
      </c>
      <c r="J384" s="328">
        <v>224413</v>
      </c>
      <c r="K384" s="344">
        <v>25440</v>
      </c>
      <c r="L384" s="297">
        <v>40942</v>
      </c>
    </row>
    <row r="385" spans="1:12" ht="12" customHeight="1">
      <c r="A385" s="311">
        <v>382</v>
      </c>
      <c r="B385" s="457" t="s">
        <v>309</v>
      </c>
      <c r="C385" s="339" t="s">
        <v>320</v>
      </c>
      <c r="D385" s="320">
        <v>40676</v>
      </c>
      <c r="E385" s="288" t="s">
        <v>68</v>
      </c>
      <c r="F385" s="312">
        <v>11</v>
      </c>
      <c r="G385" s="312">
        <v>20</v>
      </c>
      <c r="H385" s="382">
        <v>357</v>
      </c>
      <c r="I385" s="383">
        <v>158</v>
      </c>
      <c r="J385" s="328">
        <f>19776.5+5289.5+3941.5+4149+6030.5+491+2263+886+669+235+576+182+578+116+1188+1782+1782+1782+1782+3801.5+2138.5+357</f>
        <v>59796</v>
      </c>
      <c r="K385" s="344">
        <f>2214+710+772+646+1024+103+434+139+105+46+100+16+62+13+297+446+446+446+446+950+535+158</f>
        <v>10108</v>
      </c>
      <c r="L385" s="297">
        <v>40963</v>
      </c>
    </row>
    <row r="386" spans="1:12" ht="12" customHeight="1">
      <c r="A386" s="311">
        <v>383</v>
      </c>
      <c r="B386" s="361" t="s">
        <v>104</v>
      </c>
      <c r="C386" s="312"/>
      <c r="D386" s="370">
        <v>40879</v>
      </c>
      <c r="E386" s="288" t="s">
        <v>53</v>
      </c>
      <c r="F386" s="312">
        <v>135</v>
      </c>
      <c r="G386" s="346">
        <v>16</v>
      </c>
      <c r="H386" s="378">
        <v>315</v>
      </c>
      <c r="I386" s="379">
        <v>63</v>
      </c>
      <c r="J386" s="334">
        <f>1709882.25+1194489.75+708906.5+376327+70+197271.5+73341.5+70692.5+50480.5+9953.5+3058+838+28+63+74+2402+315</f>
        <v>4398193</v>
      </c>
      <c r="K386" s="338">
        <f>195314+135261+80447+45395+10+25625+10302+10950+7727+1402+435+131+4+9+10+480+63</f>
        <v>513565</v>
      </c>
      <c r="L386" s="297">
        <v>41026</v>
      </c>
    </row>
    <row r="387" spans="1:12" ht="12" customHeight="1">
      <c r="A387" s="311">
        <v>384</v>
      </c>
      <c r="B387" s="532" t="s">
        <v>100</v>
      </c>
      <c r="C387" s="312" t="s">
        <v>108</v>
      </c>
      <c r="D387" s="320">
        <v>40879</v>
      </c>
      <c r="E387" s="288" t="s">
        <v>8</v>
      </c>
      <c r="F387" s="312">
        <v>39</v>
      </c>
      <c r="G387" s="340">
        <v>11</v>
      </c>
      <c r="H387" s="382">
        <v>300</v>
      </c>
      <c r="I387" s="383">
        <v>53</v>
      </c>
      <c r="J387" s="328">
        <v>224713</v>
      </c>
      <c r="K387" s="344">
        <v>25493</v>
      </c>
      <c r="L387" s="297">
        <v>40949</v>
      </c>
    </row>
    <row r="388" spans="1:12" ht="12" customHeight="1">
      <c r="A388" s="311">
        <v>385</v>
      </c>
      <c r="B388" s="364" t="s">
        <v>484</v>
      </c>
      <c r="C388" s="312"/>
      <c r="D388" s="297">
        <v>40935</v>
      </c>
      <c r="E388" s="288" t="s">
        <v>12</v>
      </c>
      <c r="F388" s="312">
        <v>352</v>
      </c>
      <c r="G388" s="312">
        <v>15</v>
      </c>
      <c r="H388" s="378">
        <v>270</v>
      </c>
      <c r="I388" s="379">
        <v>120</v>
      </c>
      <c r="J388" s="334">
        <v>18168361</v>
      </c>
      <c r="K388" s="338">
        <v>1971055</v>
      </c>
      <c r="L388" s="297">
        <v>41033</v>
      </c>
    </row>
    <row r="389" spans="1:12" ht="12" customHeight="1">
      <c r="A389" s="311">
        <v>386</v>
      </c>
      <c r="B389" s="366" t="s">
        <v>109</v>
      </c>
      <c r="D389" s="320">
        <v>40886</v>
      </c>
      <c r="E389" s="288" t="s">
        <v>12</v>
      </c>
      <c r="F389" s="313">
        <v>161</v>
      </c>
      <c r="G389" s="313">
        <v>18</v>
      </c>
      <c r="H389" s="480">
        <v>255</v>
      </c>
      <c r="I389" s="481">
        <v>45</v>
      </c>
      <c r="J389" s="335">
        <v>886423</v>
      </c>
      <c r="K389" s="336">
        <v>108395</v>
      </c>
      <c r="L389" s="297">
        <v>41012</v>
      </c>
    </row>
    <row r="390" spans="1:12" ht="12" customHeight="1">
      <c r="A390" s="311">
        <v>387</v>
      </c>
      <c r="B390" s="364" t="s">
        <v>294</v>
      </c>
      <c r="C390" s="340" t="s">
        <v>296</v>
      </c>
      <c r="D390" s="320">
        <v>40914</v>
      </c>
      <c r="E390" s="288" t="s">
        <v>53</v>
      </c>
      <c r="F390" s="346">
        <v>97</v>
      </c>
      <c r="G390" s="345">
        <v>12</v>
      </c>
      <c r="H390" s="378">
        <v>246</v>
      </c>
      <c r="I390" s="379">
        <v>76</v>
      </c>
      <c r="J390" s="334">
        <f>216520+198358.5+149589.5+18051.79+5443+2220+114+4171+1835+2260+1129+246</f>
        <v>599937.79</v>
      </c>
      <c r="K390" s="338">
        <f>26831+25025+19383+2440+733+337+19+682+538+754+351+76</f>
        <v>77169</v>
      </c>
      <c r="L390" s="297">
        <v>40998</v>
      </c>
    </row>
    <row r="391" spans="1:12" ht="12" customHeight="1">
      <c r="A391" s="311">
        <v>388</v>
      </c>
      <c r="B391" s="360" t="s">
        <v>599</v>
      </c>
      <c r="D391" s="297">
        <v>40977</v>
      </c>
      <c r="E391" s="288" t="s">
        <v>53</v>
      </c>
      <c r="F391" s="312">
        <v>85</v>
      </c>
      <c r="G391" s="346">
        <v>7</v>
      </c>
      <c r="H391" s="378">
        <v>213</v>
      </c>
      <c r="I391" s="379">
        <v>35</v>
      </c>
      <c r="J391" s="334">
        <f>70303.72+30009.91+8450.36+2364.5+610-24+424+213</f>
        <v>112351.49</v>
      </c>
      <c r="K391" s="338">
        <f>9206+3925+1180+347+89-2+64+35</f>
        <v>14844</v>
      </c>
      <c r="L391" s="297">
        <v>41019</v>
      </c>
    </row>
    <row r="392" spans="1:12" ht="12" customHeight="1">
      <c r="A392" s="311">
        <v>389</v>
      </c>
      <c r="B392" s="361" t="s">
        <v>104</v>
      </c>
      <c r="C392" s="312"/>
      <c r="D392" s="320">
        <v>40879</v>
      </c>
      <c r="E392" s="288" t="s">
        <v>53</v>
      </c>
      <c r="F392" s="346">
        <v>135</v>
      </c>
      <c r="G392" s="346">
        <v>17</v>
      </c>
      <c r="H392" s="378">
        <v>200</v>
      </c>
      <c r="I392" s="379">
        <v>40</v>
      </c>
      <c r="J392" s="334">
        <f>1709882.25+1194489.75+708906.5+376327+70+197271.5+73341.5+70692.5+50480.5+9953.5+3058+838+28+63+74+2402+315+200</f>
        <v>4398393</v>
      </c>
      <c r="K392" s="338">
        <f>195314+135261+80447+45395+10+25625+10302+10950+7727+1402+435+131+4+9+10+480+63+40</f>
        <v>513605</v>
      </c>
      <c r="L392" s="297">
        <v>41033</v>
      </c>
    </row>
    <row r="393" spans="1:12" ht="12" customHeight="1">
      <c r="A393" s="311">
        <v>390</v>
      </c>
      <c r="B393" s="366" t="s">
        <v>132</v>
      </c>
      <c r="D393" s="320">
        <v>40893</v>
      </c>
      <c r="E393" s="288" t="s">
        <v>68</v>
      </c>
      <c r="F393" s="312">
        <v>23</v>
      </c>
      <c r="G393" s="312">
        <v>11</v>
      </c>
      <c r="H393" s="382">
        <v>200</v>
      </c>
      <c r="I393" s="383">
        <v>24</v>
      </c>
      <c r="J393" s="328">
        <f>53228.5+28585+20298.5+8299+5922+6463+2186.5+3291+2777+3801.5+200</f>
        <v>135052</v>
      </c>
      <c r="K393" s="344">
        <f>6440+3537+2691+1237+891+1419+633+570+423+760+24</f>
        <v>18625</v>
      </c>
      <c r="L393" s="297">
        <v>41019</v>
      </c>
    </row>
    <row r="394" spans="1:12" ht="12" customHeight="1">
      <c r="A394" s="311">
        <v>391</v>
      </c>
      <c r="B394" s="457" t="s">
        <v>109</v>
      </c>
      <c r="C394" s="312" t="s">
        <v>110</v>
      </c>
      <c r="D394" s="320">
        <v>40886</v>
      </c>
      <c r="E394" s="288" t="s">
        <v>12</v>
      </c>
      <c r="F394" s="312">
        <v>161</v>
      </c>
      <c r="G394" s="312">
        <v>8</v>
      </c>
      <c r="H394" s="378">
        <v>198</v>
      </c>
      <c r="I394" s="379">
        <v>27</v>
      </c>
      <c r="J394" s="334">
        <v>879817</v>
      </c>
      <c r="K394" s="338">
        <v>107311</v>
      </c>
      <c r="L394" s="297">
        <v>40935</v>
      </c>
    </row>
    <row r="395" spans="1:12" ht="12" customHeight="1">
      <c r="A395" s="311">
        <v>392</v>
      </c>
      <c r="B395" s="458" t="s">
        <v>77</v>
      </c>
      <c r="C395" s="288" t="s">
        <v>168</v>
      </c>
      <c r="D395" s="320">
        <v>40865</v>
      </c>
      <c r="E395" s="288" t="s">
        <v>52</v>
      </c>
      <c r="F395" s="331">
        <v>64</v>
      </c>
      <c r="G395" s="331">
        <v>9</v>
      </c>
      <c r="H395" s="476">
        <v>195</v>
      </c>
      <c r="I395" s="477">
        <v>31</v>
      </c>
      <c r="J395" s="453">
        <f>256046+137037.5+20115+5099+3542+3484.5+1302+1985+195</f>
        <v>428806</v>
      </c>
      <c r="K395" s="338">
        <f>25390+13650+2140+705+587+707+246+352+31</f>
        <v>43808</v>
      </c>
      <c r="L395" s="297">
        <v>40921</v>
      </c>
    </row>
    <row r="396" spans="1:12" ht="12" customHeight="1">
      <c r="A396" s="311">
        <v>393</v>
      </c>
      <c r="B396" s="458" t="s">
        <v>74</v>
      </c>
      <c r="C396" s="331" t="s">
        <v>80</v>
      </c>
      <c r="D396" s="320">
        <v>40851</v>
      </c>
      <c r="E396" s="288" t="s">
        <v>53</v>
      </c>
      <c r="F396" s="340">
        <v>247</v>
      </c>
      <c r="G396" s="346">
        <v>13</v>
      </c>
      <c r="H396" s="378">
        <v>188</v>
      </c>
      <c r="I396" s="379">
        <v>22</v>
      </c>
      <c r="J396" s="334">
        <f>2260223+2366876.75+3859638+3137342+1906742.5+252.25+1189485.5+474275+250512+184428+13126+754+5006+188</f>
        <v>15648849</v>
      </c>
      <c r="K396" s="338">
        <f>286038+329194+554088+452220+278080+42+178270+68355+40409+33224+1975+104+988+22</f>
        <v>2223009</v>
      </c>
      <c r="L396" s="297">
        <v>40935</v>
      </c>
    </row>
    <row r="397" spans="1:12" ht="12" customHeight="1">
      <c r="A397" s="311">
        <v>394</v>
      </c>
      <c r="B397" s="458" t="s">
        <v>509</v>
      </c>
      <c r="C397" s="312" t="s">
        <v>500</v>
      </c>
      <c r="D397" s="320">
        <v>40942</v>
      </c>
      <c r="E397" s="288" t="s">
        <v>53</v>
      </c>
      <c r="F397" s="346">
        <v>95</v>
      </c>
      <c r="G397" s="346">
        <v>6</v>
      </c>
      <c r="H397" s="378">
        <v>180</v>
      </c>
      <c r="I397" s="379">
        <v>22</v>
      </c>
      <c r="J397" s="334">
        <f>166893.1+124753.91+25288.04+4237+1396+180</f>
        <v>322748.05</v>
      </c>
      <c r="K397" s="338">
        <f>18839+14893+3105+518+139+22</f>
        <v>37516</v>
      </c>
      <c r="L397" s="297">
        <v>40977</v>
      </c>
    </row>
    <row r="398" spans="1:12" ht="12" customHeight="1">
      <c r="A398" s="311">
        <v>395</v>
      </c>
      <c r="B398" s="360" t="s">
        <v>492</v>
      </c>
      <c r="C398" s="312" t="s">
        <v>824</v>
      </c>
      <c r="D398" s="320">
        <v>40942</v>
      </c>
      <c r="E398" s="288" t="s">
        <v>52</v>
      </c>
      <c r="F398" s="312">
        <v>42</v>
      </c>
      <c r="G398" s="312">
        <v>14</v>
      </c>
      <c r="H398" s="378">
        <v>171</v>
      </c>
      <c r="I398" s="379">
        <v>25</v>
      </c>
      <c r="J398" s="334">
        <v>287026.01</v>
      </c>
      <c r="K398" s="338">
        <v>32327</v>
      </c>
      <c r="L398" s="297">
        <v>41033</v>
      </c>
    </row>
    <row r="399" spans="1:12" ht="12" customHeight="1">
      <c r="A399" s="311">
        <v>396</v>
      </c>
      <c r="B399" s="364" t="s">
        <v>484</v>
      </c>
      <c r="D399" s="297">
        <v>40935</v>
      </c>
      <c r="E399" s="288" t="s">
        <v>12</v>
      </c>
      <c r="F399" s="352">
        <v>352</v>
      </c>
      <c r="G399" s="313">
        <v>12</v>
      </c>
      <c r="H399" s="480">
        <v>144</v>
      </c>
      <c r="I399" s="481">
        <v>25</v>
      </c>
      <c r="J399" s="335">
        <v>18160425</v>
      </c>
      <c r="K399" s="336">
        <v>1969524</v>
      </c>
      <c r="L399" s="297">
        <v>41012</v>
      </c>
    </row>
    <row r="400" spans="1:12" ht="12" customHeight="1">
      <c r="A400" s="311">
        <v>397</v>
      </c>
      <c r="B400" s="366" t="s">
        <v>696</v>
      </c>
      <c r="D400" s="320">
        <v>40830</v>
      </c>
      <c r="E400" s="288" t="s">
        <v>68</v>
      </c>
      <c r="F400" s="313">
        <v>20</v>
      </c>
      <c r="G400" s="313">
        <v>10</v>
      </c>
      <c r="H400" s="468">
        <v>118</v>
      </c>
      <c r="I400" s="469">
        <v>12</v>
      </c>
      <c r="J400" s="317">
        <f>26768+13515+1530.5+2017+657+1806.5+358+1117+976+118</f>
        <v>48863</v>
      </c>
      <c r="K400" s="368">
        <f>3002+1672+228+433+100+551+82+193+144+12</f>
        <v>6417</v>
      </c>
      <c r="L400" s="297">
        <v>41012</v>
      </c>
    </row>
    <row r="401" spans="1:12" ht="12" customHeight="1">
      <c r="A401" s="311">
        <v>398</v>
      </c>
      <c r="B401" s="365" t="s">
        <v>294</v>
      </c>
      <c r="C401" s="340" t="s">
        <v>296</v>
      </c>
      <c r="D401" s="320">
        <v>40914</v>
      </c>
      <c r="E401" s="288" t="s">
        <v>53</v>
      </c>
      <c r="F401" s="346">
        <v>97</v>
      </c>
      <c r="G401" s="346">
        <v>7</v>
      </c>
      <c r="H401" s="378">
        <v>114</v>
      </c>
      <c r="I401" s="379">
        <v>19</v>
      </c>
      <c r="J401" s="334">
        <f>216520+198358.5+149589.5+18051.79+5443+2220+114</f>
        <v>590296.79</v>
      </c>
      <c r="K401" s="338">
        <f>26831+25025+19383+2440+733+337+19</f>
        <v>74768</v>
      </c>
      <c r="L401" s="297">
        <v>40956</v>
      </c>
    </row>
    <row r="402" spans="1:12" ht="12" customHeight="1">
      <c r="A402" s="311">
        <v>399</v>
      </c>
      <c r="B402" s="457" t="s">
        <v>73</v>
      </c>
      <c r="C402" s="339" t="s">
        <v>87</v>
      </c>
      <c r="D402" s="320">
        <v>40858</v>
      </c>
      <c r="E402" s="288" t="s">
        <v>68</v>
      </c>
      <c r="F402" s="312">
        <v>32</v>
      </c>
      <c r="G402" s="312">
        <v>15</v>
      </c>
      <c r="H402" s="382">
        <v>96</v>
      </c>
      <c r="I402" s="383">
        <v>32</v>
      </c>
      <c r="J402" s="328">
        <f>119417+74006.5+30939.5+15734+17682+7740+3814.5+5519+937+732+479+1782+1188+713+96</f>
        <v>280779.5</v>
      </c>
      <c r="K402" s="344">
        <f>12383+8559+4204+1986+2778+1301+707+782+165+115+82+325+238+143+32</f>
        <v>33800</v>
      </c>
      <c r="L402" s="297">
        <v>40956</v>
      </c>
    </row>
    <row r="403" spans="1:12" ht="12" customHeight="1">
      <c r="A403" s="311">
        <v>400</v>
      </c>
      <c r="B403" s="532" t="s">
        <v>104</v>
      </c>
      <c r="C403" s="312" t="s">
        <v>107</v>
      </c>
      <c r="D403" s="320">
        <v>40879</v>
      </c>
      <c r="E403" s="288" t="s">
        <v>53</v>
      </c>
      <c r="F403" s="312">
        <v>135</v>
      </c>
      <c r="G403" s="346">
        <v>14</v>
      </c>
      <c r="H403" s="378">
        <v>74</v>
      </c>
      <c r="I403" s="379">
        <v>10</v>
      </c>
      <c r="J403" s="334">
        <f>1709882.25+1194489.75+708906.5+376327+70+197271.5+73341.5+70692.5+50480.5+9953.5+3058+838+28+63+74</f>
        <v>4395476</v>
      </c>
      <c r="K403" s="338">
        <f>195314+135261+80447+45395+10+25625+10302+10950+7727+1402+435+131+4+9+10</f>
        <v>513022</v>
      </c>
      <c r="L403" s="297">
        <v>40970</v>
      </c>
    </row>
    <row r="404" spans="1:12" ht="12" customHeight="1">
      <c r="A404" s="311">
        <v>401</v>
      </c>
      <c r="B404" s="362" t="s">
        <v>304</v>
      </c>
      <c r="C404" s="312" t="s">
        <v>305</v>
      </c>
      <c r="D404" s="320">
        <v>40914</v>
      </c>
      <c r="E404" s="288" t="s">
        <v>12</v>
      </c>
      <c r="F404" s="312">
        <v>204</v>
      </c>
      <c r="G404" s="313">
        <v>14</v>
      </c>
      <c r="H404" s="378">
        <v>70</v>
      </c>
      <c r="I404" s="379">
        <v>13</v>
      </c>
      <c r="J404" s="334">
        <v>5368995</v>
      </c>
      <c r="K404" s="338">
        <v>580481</v>
      </c>
      <c r="L404" s="297">
        <v>41005</v>
      </c>
    </row>
    <row r="405" spans="1:12" ht="12" customHeight="1">
      <c r="A405" s="311">
        <v>402</v>
      </c>
      <c r="B405" s="532" t="s">
        <v>104</v>
      </c>
      <c r="C405" s="312" t="s">
        <v>107</v>
      </c>
      <c r="D405" s="320">
        <v>40879</v>
      </c>
      <c r="E405" s="288" t="s">
        <v>53</v>
      </c>
      <c r="F405" s="312">
        <v>135</v>
      </c>
      <c r="G405" s="346">
        <v>13</v>
      </c>
      <c r="H405" s="382">
        <v>63</v>
      </c>
      <c r="I405" s="383">
        <v>9</v>
      </c>
      <c r="J405" s="328">
        <f>1709882.25+1194489.75+708906.5+376327+70+197271.5+73341.5+70692.5+50480.5+9953.5+3058+838+28+63</f>
        <v>4395402</v>
      </c>
      <c r="K405" s="344">
        <f>195314+135261+80447+45395+10+25625+10302+10950+7727+1402+435+131+4+9</f>
        <v>513012</v>
      </c>
      <c r="L405" s="297">
        <v>40963</v>
      </c>
    </row>
    <row r="406" spans="1:12" ht="12" customHeight="1">
      <c r="A406" s="311">
        <v>403</v>
      </c>
      <c r="B406" s="362" t="s">
        <v>304</v>
      </c>
      <c r="D406" s="320">
        <v>40914</v>
      </c>
      <c r="E406" s="288" t="s">
        <v>12</v>
      </c>
      <c r="F406" s="313">
        <v>204</v>
      </c>
      <c r="G406" s="313">
        <v>14</v>
      </c>
      <c r="H406" s="480">
        <v>60</v>
      </c>
      <c r="I406" s="481">
        <v>11</v>
      </c>
      <c r="J406" s="316">
        <v>5368985</v>
      </c>
      <c r="K406" s="356">
        <v>580479</v>
      </c>
      <c r="L406" s="297">
        <v>41012</v>
      </c>
    </row>
    <row r="407" spans="1:12" ht="12" customHeight="1">
      <c r="A407" s="311">
        <v>404</v>
      </c>
      <c r="B407" s="532" t="s">
        <v>104</v>
      </c>
      <c r="C407" s="312" t="s">
        <v>107</v>
      </c>
      <c r="D407" s="320">
        <v>40879</v>
      </c>
      <c r="E407" s="288" t="s">
        <v>53</v>
      </c>
      <c r="F407" s="312">
        <v>135</v>
      </c>
      <c r="G407" s="346">
        <v>12</v>
      </c>
      <c r="H407" s="378">
        <v>28</v>
      </c>
      <c r="I407" s="379">
        <v>4</v>
      </c>
      <c r="J407" s="334">
        <f>1709882.25+1194489.75+708906.5+376327+70+197271.5+73341.5+70692.5+50480.5+9953.5+3058+838+28</f>
        <v>4395339</v>
      </c>
      <c r="K407" s="338">
        <f>195314+135261+80447+45395+10+25625+10302+10950+7727+1402+435+131+4</f>
        <v>513003</v>
      </c>
      <c r="L407" s="297">
        <v>40956</v>
      </c>
    </row>
  </sheetData>
  <sheetProtection/>
  <mergeCells count="1">
    <mergeCell ref="B1:L1"/>
  </mergeCells>
  <printOptions/>
  <pageMargins left="0.7" right="0.7" top="0.75" bottom="0.75" header="0.3" footer="0.3"/>
  <pageSetup horizontalDpi="600" verticalDpi="600" orientation="portrait" paperSize="9" r:id="rId1"/>
  <ignoredErrors>
    <ignoredError sqref="J4:K62 J63:K63 H64:K98 H63:I63 J102:K166 J168:K227 J228:K290 J302:K359 J375:K408" unlockedFormula="1"/>
  </ignoredErrors>
</worksheet>
</file>

<file path=xl/worksheets/sheet7.xml><?xml version="1.0" encoding="utf-8"?>
<worksheet xmlns="http://schemas.openxmlformats.org/spreadsheetml/2006/main" xmlns:r="http://schemas.openxmlformats.org/officeDocument/2006/relationships">
  <sheetPr>
    <tabColor rgb="FF00B0F0"/>
  </sheetPr>
  <dimension ref="A1:M109"/>
  <sheetViews>
    <sheetView zoomScalePageLayoutView="0" workbookViewId="0" topLeftCell="A88">
      <selection activeCell="A110" sqref="A110"/>
    </sheetView>
  </sheetViews>
  <sheetFormatPr defaultColWidth="9.140625" defaultRowHeight="12.75"/>
  <cols>
    <col min="1" max="1" width="7.00390625" style="131" bestFit="1" customWidth="1"/>
    <col min="2" max="2" width="11.28125" style="161" bestFit="1" customWidth="1"/>
    <col min="3" max="3" width="15.421875" style="162" bestFit="1" customWidth="1"/>
    <col min="4" max="4" width="21.7109375" style="163" bestFit="1" customWidth="1"/>
    <col min="5" max="6" width="14.28125" style="164" bestFit="1" customWidth="1"/>
    <col min="7" max="7" width="19.421875" style="163" bestFit="1" customWidth="1"/>
    <col min="8" max="8" width="18.421875" style="164" bestFit="1" customWidth="1"/>
    <col min="9" max="9" width="15.7109375" style="131" bestFit="1" customWidth="1"/>
    <col min="10" max="10" width="39.28125" style="137" bestFit="1" customWidth="1"/>
    <col min="11" max="11" width="12.7109375" style="164" bestFit="1" customWidth="1"/>
    <col min="12" max="16384" width="9.140625" style="131" customWidth="1"/>
  </cols>
  <sheetData>
    <row r="1" spans="1:13" ht="18.75">
      <c r="A1" s="620" t="s">
        <v>283</v>
      </c>
      <c r="B1" s="621"/>
      <c r="C1" s="621"/>
      <c r="D1" s="621"/>
      <c r="E1" s="621"/>
      <c r="F1" s="621"/>
      <c r="G1" s="621"/>
      <c r="H1" s="621"/>
      <c r="I1" s="621"/>
      <c r="J1" s="621"/>
      <c r="K1" s="621"/>
      <c r="L1" s="622" t="s">
        <v>486</v>
      </c>
      <c r="M1" s="624"/>
    </row>
    <row r="2" spans="1:13" s="137" customFormat="1" ht="18.75">
      <c r="A2" s="132"/>
      <c r="B2" s="133"/>
      <c r="C2" s="134" t="s">
        <v>268</v>
      </c>
      <c r="D2" s="135"/>
      <c r="E2" s="136" t="s">
        <v>271</v>
      </c>
      <c r="F2" s="132" t="s">
        <v>271</v>
      </c>
      <c r="G2" s="135" t="s">
        <v>275</v>
      </c>
      <c r="H2" s="135" t="s">
        <v>275</v>
      </c>
      <c r="I2" s="132" t="s">
        <v>276</v>
      </c>
      <c r="J2" s="132" t="s">
        <v>279</v>
      </c>
      <c r="K2" s="136" t="s">
        <v>273</v>
      </c>
      <c r="L2" s="624"/>
      <c r="M2" s="624"/>
    </row>
    <row r="3" spans="1:13" s="137" customFormat="1" ht="18.75">
      <c r="A3" s="132"/>
      <c r="B3" s="133"/>
      <c r="C3" s="134" t="s">
        <v>269</v>
      </c>
      <c r="D3" s="135" t="s">
        <v>271</v>
      </c>
      <c r="E3" s="136" t="s">
        <v>273</v>
      </c>
      <c r="F3" s="132" t="s">
        <v>285</v>
      </c>
      <c r="G3" s="135" t="s">
        <v>271</v>
      </c>
      <c r="H3" s="135" t="s">
        <v>271</v>
      </c>
      <c r="I3" s="132" t="s">
        <v>277</v>
      </c>
      <c r="J3" s="132" t="s">
        <v>280</v>
      </c>
      <c r="K3" s="136" t="s">
        <v>282</v>
      </c>
      <c r="L3" s="624"/>
      <c r="M3" s="624"/>
    </row>
    <row r="4" spans="1:13" s="137" customFormat="1" ht="19.5" customHeight="1" thickBot="1">
      <c r="A4" s="138" t="s">
        <v>266</v>
      </c>
      <c r="B4" s="139" t="s">
        <v>267</v>
      </c>
      <c r="C4" s="140" t="s">
        <v>270</v>
      </c>
      <c r="D4" s="141" t="s">
        <v>272</v>
      </c>
      <c r="E4" s="142" t="s">
        <v>274</v>
      </c>
      <c r="F4" s="138" t="s">
        <v>284</v>
      </c>
      <c r="G4" s="141" t="s">
        <v>272</v>
      </c>
      <c r="H4" s="141" t="s">
        <v>273</v>
      </c>
      <c r="I4" s="138" t="s">
        <v>278</v>
      </c>
      <c r="J4" s="138" t="s">
        <v>281</v>
      </c>
      <c r="K4" s="142" t="s">
        <v>270</v>
      </c>
      <c r="L4" s="624"/>
      <c r="M4" s="624"/>
    </row>
    <row r="5" spans="1:13" ht="18.75">
      <c r="A5" s="143">
        <v>2012</v>
      </c>
      <c r="B5" s="144">
        <v>40907</v>
      </c>
      <c r="C5" s="145">
        <v>74</v>
      </c>
      <c r="D5" s="146">
        <v>8200954.5</v>
      </c>
      <c r="E5" s="147">
        <v>908539</v>
      </c>
      <c r="F5" s="614">
        <f>IF(E6&lt;&gt;0,-(E6-E5)/E6,"")</f>
        <v>0.432929627801269</v>
      </c>
      <c r="G5" s="148">
        <v>4378379</v>
      </c>
      <c r="H5" s="149">
        <v>513723</v>
      </c>
      <c r="I5" s="150">
        <v>0.57</v>
      </c>
      <c r="J5" s="151" t="s">
        <v>130</v>
      </c>
      <c r="K5" s="149">
        <v>273690</v>
      </c>
      <c r="L5" s="624"/>
      <c r="M5" s="624"/>
    </row>
    <row r="6" spans="1:13" ht="19.5" thickBot="1">
      <c r="A6" s="152">
        <v>2011</v>
      </c>
      <c r="B6" s="153">
        <v>40543</v>
      </c>
      <c r="C6" s="154" t="s">
        <v>264</v>
      </c>
      <c r="D6" s="155">
        <v>6313693</v>
      </c>
      <c r="E6" s="156">
        <v>634043</v>
      </c>
      <c r="F6" s="615"/>
      <c r="G6" s="157">
        <v>2910042.5</v>
      </c>
      <c r="H6" s="158">
        <v>321979</v>
      </c>
      <c r="I6" s="159">
        <v>0.51</v>
      </c>
      <c r="J6" s="160" t="s">
        <v>265</v>
      </c>
      <c r="K6" s="158">
        <v>182375</v>
      </c>
      <c r="L6" s="624"/>
      <c r="M6" s="624"/>
    </row>
    <row r="7" spans="12:13" ht="19.5" thickBot="1">
      <c r="L7" s="624"/>
      <c r="M7" s="624"/>
    </row>
    <row r="8" spans="1:13" ht="18.75">
      <c r="A8" s="165">
        <v>2012</v>
      </c>
      <c r="B8" s="166">
        <v>40914</v>
      </c>
      <c r="C8" s="167" t="s">
        <v>325</v>
      </c>
      <c r="D8" s="168">
        <v>8481996</v>
      </c>
      <c r="E8" s="169">
        <v>884882</v>
      </c>
      <c r="F8" s="618">
        <f>IF(E9&lt;&gt;0,-(E9-E8)/E9,"")</f>
        <v>-0.5217898361655077</v>
      </c>
      <c r="G8" s="168">
        <v>4475888.5</v>
      </c>
      <c r="H8" s="169">
        <v>500419</v>
      </c>
      <c r="I8" s="170">
        <v>0.57</v>
      </c>
      <c r="J8" s="171" t="s">
        <v>130</v>
      </c>
      <c r="K8" s="169">
        <v>198737</v>
      </c>
      <c r="L8" s="624"/>
      <c r="M8" s="624"/>
    </row>
    <row r="9" spans="1:13" ht="19.5" thickBot="1">
      <c r="A9" s="152">
        <v>2011</v>
      </c>
      <c r="B9" s="153">
        <v>40550</v>
      </c>
      <c r="C9" s="154" t="s">
        <v>326</v>
      </c>
      <c r="D9" s="155">
        <v>17210409</v>
      </c>
      <c r="E9" s="158">
        <v>1850404</v>
      </c>
      <c r="F9" s="619"/>
      <c r="G9" s="155">
        <v>15725804</v>
      </c>
      <c r="H9" s="158">
        <v>1715171</v>
      </c>
      <c r="I9" s="159">
        <v>0.93</v>
      </c>
      <c r="J9" s="160" t="s">
        <v>327</v>
      </c>
      <c r="K9" s="158">
        <v>1226038</v>
      </c>
      <c r="L9" s="624"/>
      <c r="M9" s="624"/>
    </row>
    <row r="10" spans="12:13" ht="19.5" thickBot="1">
      <c r="L10" s="624"/>
      <c r="M10" s="624"/>
    </row>
    <row r="11" spans="1:13" ht="18.75">
      <c r="A11" s="165">
        <v>2012</v>
      </c>
      <c r="B11" s="166">
        <v>40921</v>
      </c>
      <c r="C11" s="167" t="s">
        <v>357</v>
      </c>
      <c r="D11" s="168">
        <v>9952732.5</v>
      </c>
      <c r="E11" s="169">
        <v>1038272</v>
      </c>
      <c r="F11" s="618">
        <f>IF(E12&lt;&gt;0,-(E12-E11)/E12,"")</f>
        <v>-0.29546535622267506</v>
      </c>
      <c r="G11" s="168">
        <v>4132151</v>
      </c>
      <c r="H11" s="169">
        <v>469150</v>
      </c>
      <c r="I11" s="170">
        <v>0.45</v>
      </c>
      <c r="J11" s="172" t="s">
        <v>337</v>
      </c>
      <c r="K11" s="169">
        <v>209171</v>
      </c>
      <c r="L11" s="624"/>
      <c r="M11" s="624"/>
    </row>
    <row r="12" spans="1:13" ht="19.5" thickBot="1">
      <c r="A12" s="152">
        <v>2011</v>
      </c>
      <c r="B12" s="153">
        <v>40557</v>
      </c>
      <c r="C12" s="154" t="s">
        <v>358</v>
      </c>
      <c r="D12" s="155">
        <v>13786400.25</v>
      </c>
      <c r="E12" s="158">
        <v>1473699</v>
      </c>
      <c r="F12" s="619"/>
      <c r="G12" s="155">
        <v>11172188</v>
      </c>
      <c r="H12" s="158">
        <v>1237966</v>
      </c>
      <c r="I12" s="159">
        <v>0.84</v>
      </c>
      <c r="J12" s="160" t="s">
        <v>327</v>
      </c>
      <c r="K12" s="158">
        <v>894074</v>
      </c>
      <c r="L12" s="624"/>
      <c r="M12" s="624"/>
    </row>
    <row r="13" spans="11:13" ht="19.5" thickBot="1">
      <c r="K13" s="131"/>
      <c r="L13" s="624"/>
      <c r="M13" s="624"/>
    </row>
    <row r="14" spans="1:13" ht="18.75">
      <c r="A14" s="165">
        <v>2012</v>
      </c>
      <c r="B14" s="166">
        <v>40928</v>
      </c>
      <c r="C14" s="167" t="s">
        <v>325</v>
      </c>
      <c r="D14" s="168">
        <v>12103565.9</v>
      </c>
      <c r="E14" s="169">
        <v>1241592</v>
      </c>
      <c r="F14" s="618">
        <f>IF(E15&lt;&gt;0,-(E15-E14)/E15,"")</f>
        <v>-0.004775760490561501</v>
      </c>
      <c r="G14" s="168">
        <v>3616319.9</v>
      </c>
      <c r="H14" s="169">
        <v>404883</v>
      </c>
      <c r="I14" s="170">
        <v>0.33</v>
      </c>
      <c r="J14" s="172" t="s">
        <v>337</v>
      </c>
      <c r="K14" s="169">
        <v>237346</v>
      </c>
      <c r="L14" s="624"/>
      <c r="M14" s="624"/>
    </row>
    <row r="15" spans="1:13" ht="19.5" thickBot="1">
      <c r="A15" s="152">
        <v>2011</v>
      </c>
      <c r="B15" s="153">
        <v>40564</v>
      </c>
      <c r="C15" s="154" t="s">
        <v>357</v>
      </c>
      <c r="D15" s="155">
        <v>11370167.75</v>
      </c>
      <c r="E15" s="158">
        <v>1247550</v>
      </c>
      <c r="F15" s="619"/>
      <c r="G15" s="155">
        <v>8403050.5</v>
      </c>
      <c r="H15" s="158">
        <v>969380</v>
      </c>
      <c r="I15" s="159">
        <v>0.78</v>
      </c>
      <c r="J15" s="160" t="s">
        <v>327</v>
      </c>
      <c r="K15" s="158">
        <v>605415</v>
      </c>
      <c r="L15" s="624"/>
      <c r="M15" s="624"/>
    </row>
    <row r="16" spans="11:13" ht="19.5" thickBot="1">
      <c r="K16" s="131"/>
      <c r="L16" s="624"/>
      <c r="M16" s="624"/>
    </row>
    <row r="17" spans="1:13" ht="18.75">
      <c r="A17" s="165">
        <v>2012</v>
      </c>
      <c r="B17" s="166">
        <v>40935</v>
      </c>
      <c r="C17" s="167" t="s">
        <v>457</v>
      </c>
      <c r="D17" s="168">
        <v>14925131.45</v>
      </c>
      <c r="E17" s="169">
        <v>1547490</v>
      </c>
      <c r="F17" s="618">
        <f>IF(E18&lt;&gt;0,-(E18-E17)/E18,"")</f>
        <v>-0.22639463576824384</v>
      </c>
      <c r="G17" s="168">
        <v>10003235.8</v>
      </c>
      <c r="H17" s="169">
        <v>1068642</v>
      </c>
      <c r="I17" s="170">
        <v>0.69</v>
      </c>
      <c r="J17" s="171" t="s">
        <v>484</v>
      </c>
      <c r="K17" s="169">
        <v>889193</v>
      </c>
      <c r="L17" s="624"/>
      <c r="M17" s="624"/>
    </row>
    <row r="18" spans="1:13" ht="19.5" thickBot="1">
      <c r="A18" s="152">
        <v>2011</v>
      </c>
      <c r="B18" s="153">
        <v>40571</v>
      </c>
      <c r="C18" s="154" t="s">
        <v>455</v>
      </c>
      <c r="D18" s="155">
        <v>18269978.5</v>
      </c>
      <c r="E18" s="158">
        <v>2000361</v>
      </c>
      <c r="F18" s="619"/>
      <c r="G18" s="155">
        <v>14251249.5</v>
      </c>
      <c r="H18" s="158">
        <v>1637665</v>
      </c>
      <c r="I18" s="159">
        <v>0.82</v>
      </c>
      <c r="J18" s="160" t="s">
        <v>489</v>
      </c>
      <c r="K18" s="158">
        <v>1060415</v>
      </c>
      <c r="L18" s="624"/>
      <c r="M18" s="624"/>
    </row>
    <row r="19" spans="1:13" ht="19.5" thickBot="1">
      <c r="A19" s="173"/>
      <c r="B19" s="174"/>
      <c r="C19" s="175"/>
      <c r="D19" s="176"/>
      <c r="E19" s="177"/>
      <c r="F19" s="177"/>
      <c r="G19" s="176"/>
      <c r="H19" s="177"/>
      <c r="I19" s="173"/>
      <c r="J19" s="178"/>
      <c r="K19" s="177"/>
      <c r="L19" s="624"/>
      <c r="M19" s="624"/>
    </row>
    <row r="20" spans="1:13" ht="18.75">
      <c r="A20" s="179">
        <v>2012</v>
      </c>
      <c r="B20" s="180" t="s">
        <v>486</v>
      </c>
      <c r="C20" s="181">
        <f aca="true" t="shared" si="0" ref="C20:E21">C5+C8+C11+C14+C17</f>
        <v>324</v>
      </c>
      <c r="D20" s="182">
        <f t="shared" si="0"/>
        <v>53664380.349999994</v>
      </c>
      <c r="E20" s="183">
        <f t="shared" si="0"/>
        <v>5620775</v>
      </c>
      <c r="F20" s="618">
        <f>IF(E21&lt;&gt;0,-(E21-E20)/E21,"")</f>
        <v>-0.2199929864556997</v>
      </c>
      <c r="G20" s="182">
        <f>G5+G8+G11+G14+G17</f>
        <v>26605974.200000003</v>
      </c>
      <c r="H20" s="183">
        <f>H5+H8+H11+H14</f>
        <v>1888175</v>
      </c>
      <c r="I20" s="179"/>
      <c r="J20" s="184"/>
      <c r="K20" s="183"/>
      <c r="L20" s="624"/>
      <c r="M20" s="624"/>
    </row>
    <row r="21" spans="1:13" ht="19.5" thickBot="1">
      <c r="A21" s="185">
        <v>2011</v>
      </c>
      <c r="B21" s="186" t="s">
        <v>486</v>
      </c>
      <c r="C21" s="187">
        <f t="shared" si="0"/>
        <v>270</v>
      </c>
      <c r="D21" s="188">
        <f t="shared" si="0"/>
        <v>66950648.5</v>
      </c>
      <c r="E21" s="189">
        <f t="shared" si="0"/>
        <v>7206057</v>
      </c>
      <c r="F21" s="619"/>
      <c r="G21" s="188">
        <f>G6+G9+G12+G15</f>
        <v>38211085</v>
      </c>
      <c r="H21" s="189">
        <f>H6+H9+H12+H15</f>
        <v>4244496</v>
      </c>
      <c r="I21" s="185"/>
      <c r="J21" s="190"/>
      <c r="K21" s="189"/>
      <c r="L21" s="624"/>
      <c r="M21" s="624"/>
    </row>
    <row r="22" spans="1:13" ht="18.75">
      <c r="A22" s="173"/>
      <c r="B22" s="174"/>
      <c r="C22" s="191"/>
      <c r="D22" s="176"/>
      <c r="E22" s="177"/>
      <c r="F22" s="177"/>
      <c r="G22" s="176"/>
      <c r="H22" s="177"/>
      <c r="I22" s="173"/>
      <c r="J22" s="178"/>
      <c r="K22" s="177"/>
      <c r="L22" s="624"/>
      <c r="M22" s="624"/>
    </row>
    <row r="23" spans="1:13" ht="18.75" customHeight="1">
      <c r="A23" s="620" t="s">
        <v>283</v>
      </c>
      <c r="B23" s="621"/>
      <c r="C23" s="621"/>
      <c r="D23" s="621"/>
      <c r="E23" s="621"/>
      <c r="F23" s="621"/>
      <c r="G23" s="621"/>
      <c r="H23" s="621"/>
      <c r="I23" s="621"/>
      <c r="J23" s="621"/>
      <c r="K23" s="621"/>
      <c r="L23" s="622" t="s">
        <v>526</v>
      </c>
      <c r="M23" s="623"/>
    </row>
    <row r="24" spans="1:13" s="137" customFormat="1" ht="18.75">
      <c r="A24" s="192"/>
      <c r="B24" s="193"/>
      <c r="C24" s="194" t="s">
        <v>268</v>
      </c>
      <c r="D24" s="195"/>
      <c r="E24" s="196" t="s">
        <v>271</v>
      </c>
      <c r="F24" s="192" t="s">
        <v>271</v>
      </c>
      <c r="G24" s="195" t="s">
        <v>275</v>
      </c>
      <c r="H24" s="195" t="s">
        <v>275</v>
      </c>
      <c r="I24" s="192" t="s">
        <v>276</v>
      </c>
      <c r="J24" s="192" t="s">
        <v>279</v>
      </c>
      <c r="K24" s="196" t="s">
        <v>273</v>
      </c>
      <c r="L24" s="623"/>
      <c r="M24" s="623"/>
    </row>
    <row r="25" spans="1:13" s="137" customFormat="1" ht="18.75">
      <c r="A25" s="192"/>
      <c r="B25" s="193"/>
      <c r="C25" s="194" t="s">
        <v>269</v>
      </c>
      <c r="D25" s="195" t="s">
        <v>271</v>
      </c>
      <c r="E25" s="196" t="s">
        <v>273</v>
      </c>
      <c r="F25" s="192" t="s">
        <v>285</v>
      </c>
      <c r="G25" s="195" t="s">
        <v>271</v>
      </c>
      <c r="H25" s="195" t="s">
        <v>271</v>
      </c>
      <c r="I25" s="192" t="s">
        <v>277</v>
      </c>
      <c r="J25" s="192" t="s">
        <v>280</v>
      </c>
      <c r="K25" s="196" t="s">
        <v>282</v>
      </c>
      <c r="L25" s="623"/>
      <c r="M25" s="623"/>
    </row>
    <row r="26" spans="1:13" s="137" customFormat="1" ht="19.5" customHeight="1" thickBot="1">
      <c r="A26" s="197" t="s">
        <v>266</v>
      </c>
      <c r="B26" s="198" t="s">
        <v>267</v>
      </c>
      <c r="C26" s="199" t="s">
        <v>270</v>
      </c>
      <c r="D26" s="200" t="s">
        <v>272</v>
      </c>
      <c r="E26" s="201" t="s">
        <v>274</v>
      </c>
      <c r="F26" s="197" t="s">
        <v>284</v>
      </c>
      <c r="G26" s="200" t="s">
        <v>272</v>
      </c>
      <c r="H26" s="200" t="s">
        <v>273</v>
      </c>
      <c r="I26" s="197" t="s">
        <v>278</v>
      </c>
      <c r="J26" s="197" t="s">
        <v>281</v>
      </c>
      <c r="K26" s="201" t="s">
        <v>270</v>
      </c>
      <c r="L26" s="623"/>
      <c r="M26" s="623"/>
    </row>
    <row r="27" spans="1:13" ht="18.75">
      <c r="A27" s="143">
        <v>2012</v>
      </c>
      <c r="B27" s="144">
        <v>40942</v>
      </c>
      <c r="C27" s="145" t="s">
        <v>358</v>
      </c>
      <c r="D27" s="146">
        <v>10223755.13</v>
      </c>
      <c r="E27" s="147">
        <v>1050884</v>
      </c>
      <c r="F27" s="625">
        <f>IF(E28&lt;&gt;0,-(E28-E27)/E28,"")</f>
        <v>-0.4292492359731071</v>
      </c>
      <c r="G27" s="148">
        <v>6067403.45</v>
      </c>
      <c r="H27" s="149">
        <v>661957</v>
      </c>
      <c r="I27" s="150">
        <v>0.63</v>
      </c>
      <c r="J27" s="171" t="s">
        <v>484</v>
      </c>
      <c r="K27" s="149">
        <v>519684</v>
      </c>
      <c r="L27" s="623"/>
      <c r="M27" s="623"/>
    </row>
    <row r="28" spans="1:13" ht="19.5" thickBot="1">
      <c r="A28" s="152">
        <v>2011</v>
      </c>
      <c r="B28" s="153">
        <v>40578</v>
      </c>
      <c r="C28" s="154" t="s">
        <v>446</v>
      </c>
      <c r="D28" s="155">
        <v>17381185.25</v>
      </c>
      <c r="E28" s="156">
        <v>1841231</v>
      </c>
      <c r="F28" s="626"/>
      <c r="G28" s="157">
        <v>13409573.25</v>
      </c>
      <c r="H28" s="158">
        <v>1486911</v>
      </c>
      <c r="I28" s="159">
        <v>0.81</v>
      </c>
      <c r="J28" s="160" t="s">
        <v>510</v>
      </c>
      <c r="K28" s="158">
        <v>621467</v>
      </c>
      <c r="L28" s="623"/>
      <c r="M28" s="623"/>
    </row>
    <row r="29" spans="12:13" ht="19.5" thickBot="1">
      <c r="L29" s="623"/>
      <c r="M29" s="623"/>
    </row>
    <row r="30" spans="1:13" ht="18.75">
      <c r="A30" s="165">
        <v>2012</v>
      </c>
      <c r="B30" s="166">
        <v>40949</v>
      </c>
      <c r="C30" s="167" t="s">
        <v>485</v>
      </c>
      <c r="D30" s="168">
        <v>7622079.26</v>
      </c>
      <c r="E30" s="169">
        <v>781077</v>
      </c>
      <c r="F30" s="618">
        <f>IF(E31&lt;&gt;0,-(E31-E30)/E31,"")</f>
        <v>-0.4228894502621863</v>
      </c>
      <c r="G30" s="168">
        <v>3333135.86</v>
      </c>
      <c r="H30" s="169">
        <v>377941</v>
      </c>
      <c r="I30" s="170">
        <v>0.48</v>
      </c>
      <c r="J30" s="171" t="s">
        <v>484</v>
      </c>
      <c r="K30" s="169">
        <v>281880</v>
      </c>
      <c r="L30" s="623"/>
      <c r="M30" s="623"/>
    </row>
    <row r="31" spans="1:13" ht="19.5" thickBot="1">
      <c r="A31" s="152">
        <v>2011</v>
      </c>
      <c r="B31" s="153">
        <v>40585</v>
      </c>
      <c r="C31" s="154" t="s">
        <v>461</v>
      </c>
      <c r="D31" s="155">
        <v>12737426</v>
      </c>
      <c r="E31" s="158">
        <v>1353427</v>
      </c>
      <c r="F31" s="619"/>
      <c r="G31" s="155">
        <v>9713903</v>
      </c>
      <c r="H31" s="158">
        <v>1076520</v>
      </c>
      <c r="I31" s="159">
        <v>0.8</v>
      </c>
      <c r="J31" s="160" t="s">
        <v>510</v>
      </c>
      <c r="K31" s="158">
        <v>620439</v>
      </c>
      <c r="L31" s="623"/>
      <c r="M31" s="623"/>
    </row>
    <row r="32" spans="12:13" ht="19.5" thickBot="1">
      <c r="L32" s="623"/>
      <c r="M32" s="623"/>
    </row>
    <row r="33" spans="1:13" ht="18.75">
      <c r="A33" s="165">
        <v>2012</v>
      </c>
      <c r="B33" s="166">
        <v>40956</v>
      </c>
      <c r="C33" s="167" t="s">
        <v>464</v>
      </c>
      <c r="D33" s="168">
        <v>24443123.92</v>
      </c>
      <c r="E33" s="169">
        <v>2732568</v>
      </c>
      <c r="F33" s="614">
        <f>IF(E34&lt;&gt;0,-(E34-E33)/E34,"")</f>
        <v>1.77254814423994</v>
      </c>
      <c r="G33" s="168">
        <v>20786816.67</v>
      </c>
      <c r="H33" s="169">
        <v>2386844</v>
      </c>
      <c r="I33" s="170">
        <v>0.87</v>
      </c>
      <c r="J33" s="171" t="s">
        <v>540</v>
      </c>
      <c r="K33" s="169">
        <v>2233041</v>
      </c>
      <c r="L33" s="623"/>
      <c r="M33" s="623"/>
    </row>
    <row r="34" spans="1:13" ht="19.5" thickBot="1">
      <c r="A34" s="152">
        <v>2011</v>
      </c>
      <c r="B34" s="153">
        <v>40585</v>
      </c>
      <c r="C34" s="154" t="s">
        <v>467</v>
      </c>
      <c r="D34" s="155">
        <v>9243878.25</v>
      </c>
      <c r="E34" s="158">
        <v>985580</v>
      </c>
      <c r="F34" s="615"/>
      <c r="G34" s="155">
        <v>6508163.25</v>
      </c>
      <c r="H34" s="158">
        <v>735944</v>
      </c>
      <c r="I34" s="159">
        <v>0.75</v>
      </c>
      <c r="J34" s="160" t="s">
        <v>510</v>
      </c>
      <c r="K34" s="158">
        <v>415293</v>
      </c>
      <c r="L34" s="623"/>
      <c r="M34" s="623"/>
    </row>
    <row r="35" spans="12:13" ht="19.5" thickBot="1">
      <c r="L35" s="623"/>
      <c r="M35" s="623"/>
    </row>
    <row r="36" spans="1:13" ht="18.75">
      <c r="A36" s="165">
        <v>2012</v>
      </c>
      <c r="B36" s="166">
        <v>40963</v>
      </c>
      <c r="C36" s="167" t="s">
        <v>469</v>
      </c>
      <c r="D36" s="168">
        <v>17106726.08</v>
      </c>
      <c r="E36" s="169">
        <v>2005416</v>
      </c>
      <c r="F36" s="614">
        <f>IF(E37&lt;&gt;0,-(E37-E36)/E37,"")</f>
        <v>0.9484889469265927</v>
      </c>
      <c r="G36" s="168">
        <v>14898565.52</v>
      </c>
      <c r="H36" s="169">
        <v>1732781</v>
      </c>
      <c r="I36" s="170">
        <v>0.67</v>
      </c>
      <c r="J36" s="171" t="s">
        <v>540</v>
      </c>
      <c r="K36" s="169">
        <v>1630125</v>
      </c>
      <c r="L36" s="623"/>
      <c r="M36" s="623"/>
    </row>
    <row r="37" spans="1:13" ht="19.5" thickBot="1">
      <c r="A37" s="152">
        <v>2011</v>
      </c>
      <c r="B37" s="153">
        <v>40599</v>
      </c>
      <c r="C37" s="154" t="s">
        <v>461</v>
      </c>
      <c r="D37" s="155">
        <v>9760322.25</v>
      </c>
      <c r="E37" s="158">
        <v>1029216</v>
      </c>
      <c r="F37" s="615"/>
      <c r="G37" s="155">
        <v>7071063.2</v>
      </c>
      <c r="H37" s="158">
        <v>791256</v>
      </c>
      <c r="I37" s="159">
        <v>0.77</v>
      </c>
      <c r="J37" s="160" t="s">
        <v>575</v>
      </c>
      <c r="K37" s="158">
        <v>334860</v>
      </c>
      <c r="L37" s="623"/>
      <c r="M37" s="623"/>
    </row>
    <row r="38" spans="1:13" ht="19.5" thickBot="1">
      <c r="A38" s="173"/>
      <c r="B38" s="174"/>
      <c r="C38" s="175"/>
      <c r="D38" s="176"/>
      <c r="E38" s="177"/>
      <c r="F38" s="177"/>
      <c r="G38" s="176"/>
      <c r="H38" s="177"/>
      <c r="I38" s="173"/>
      <c r="J38" s="178"/>
      <c r="K38" s="177"/>
      <c r="L38" s="623"/>
      <c r="M38" s="623"/>
    </row>
    <row r="39" spans="1:13" ht="18.75">
      <c r="A39" s="179">
        <v>2012</v>
      </c>
      <c r="B39" s="180" t="s">
        <v>526</v>
      </c>
      <c r="C39" s="181" t="s">
        <v>576</v>
      </c>
      <c r="D39" s="182">
        <f>D27+D30+D33+D36</f>
        <v>59395684.39</v>
      </c>
      <c r="E39" s="183">
        <f>E27+E30+E33+E36</f>
        <v>6569945</v>
      </c>
      <c r="F39" s="614">
        <f>IF(E40&lt;&gt;0,-(E40-E39)/E40,"")</f>
        <v>0.2611580791384279</v>
      </c>
      <c r="G39" s="182">
        <f>G27+G30+G33+G36</f>
        <v>45085921.5</v>
      </c>
      <c r="H39" s="183">
        <f>H27+H30+H33+H36</f>
        <v>5159523</v>
      </c>
      <c r="I39" s="179"/>
      <c r="J39" s="184"/>
      <c r="K39" s="183"/>
      <c r="L39" s="623"/>
      <c r="M39" s="623"/>
    </row>
    <row r="40" spans="1:13" ht="19.5" thickBot="1">
      <c r="A40" s="185">
        <v>2011</v>
      </c>
      <c r="B40" s="186" t="s">
        <v>526</v>
      </c>
      <c r="C40" s="187" t="s">
        <v>577</v>
      </c>
      <c r="D40" s="188">
        <f>D28+D31+D34+D37</f>
        <v>49122811.75</v>
      </c>
      <c r="E40" s="189">
        <f>E28+E31+E34+E37</f>
        <v>5209454</v>
      </c>
      <c r="F40" s="615"/>
      <c r="G40" s="188">
        <f>G28+G31+G34+G37</f>
        <v>36702702.7</v>
      </c>
      <c r="H40" s="189">
        <f>H28+H31+H34+H37</f>
        <v>4090631</v>
      </c>
      <c r="I40" s="185"/>
      <c r="J40" s="190"/>
      <c r="K40" s="189"/>
      <c r="L40" s="623"/>
      <c r="M40" s="623"/>
    </row>
    <row r="41" spans="1:13" ht="18.75">
      <c r="A41" s="173"/>
      <c r="B41" s="174"/>
      <c r="C41" s="191"/>
      <c r="D41" s="176"/>
      <c r="E41" s="177"/>
      <c r="F41" s="177"/>
      <c r="G41" s="176"/>
      <c r="H41" s="177"/>
      <c r="I41" s="173"/>
      <c r="J41" s="178"/>
      <c r="K41" s="177"/>
      <c r="L41" s="623"/>
      <c r="M41" s="623"/>
    </row>
    <row r="42" spans="1:13" ht="18.75" customHeight="1">
      <c r="A42" s="620" t="s">
        <v>283</v>
      </c>
      <c r="B42" s="621"/>
      <c r="C42" s="621"/>
      <c r="D42" s="621"/>
      <c r="E42" s="621"/>
      <c r="F42" s="621"/>
      <c r="G42" s="621"/>
      <c r="H42" s="621"/>
      <c r="I42" s="621"/>
      <c r="J42" s="621"/>
      <c r="K42" s="621"/>
      <c r="L42" s="629" t="s">
        <v>585</v>
      </c>
      <c r="M42" s="630"/>
    </row>
    <row r="43" spans="1:13" s="137" customFormat="1" ht="18.75">
      <c r="A43" s="192"/>
      <c r="B43" s="193"/>
      <c r="C43" s="194" t="s">
        <v>268</v>
      </c>
      <c r="D43" s="195"/>
      <c r="E43" s="196" t="s">
        <v>271</v>
      </c>
      <c r="F43" s="192" t="s">
        <v>271</v>
      </c>
      <c r="G43" s="195" t="s">
        <v>275</v>
      </c>
      <c r="H43" s="195" t="s">
        <v>275</v>
      </c>
      <c r="I43" s="192" t="s">
        <v>276</v>
      </c>
      <c r="J43" s="192" t="s">
        <v>279</v>
      </c>
      <c r="K43" s="196" t="s">
        <v>273</v>
      </c>
      <c r="L43" s="630"/>
      <c r="M43" s="630"/>
    </row>
    <row r="44" spans="1:13" s="137" customFormat="1" ht="18.75">
      <c r="A44" s="192"/>
      <c r="B44" s="193"/>
      <c r="C44" s="194" t="s">
        <v>269</v>
      </c>
      <c r="D44" s="195" t="s">
        <v>271</v>
      </c>
      <c r="E44" s="196" t="s">
        <v>273</v>
      </c>
      <c r="F44" s="192" t="s">
        <v>285</v>
      </c>
      <c r="G44" s="195" t="s">
        <v>271</v>
      </c>
      <c r="H44" s="195" t="s">
        <v>271</v>
      </c>
      <c r="I44" s="192" t="s">
        <v>277</v>
      </c>
      <c r="J44" s="192" t="s">
        <v>280</v>
      </c>
      <c r="K44" s="196" t="s">
        <v>282</v>
      </c>
      <c r="L44" s="630"/>
      <c r="M44" s="630"/>
    </row>
    <row r="45" spans="1:13" s="137" customFormat="1" ht="19.5" customHeight="1" thickBot="1">
      <c r="A45" s="197" t="s">
        <v>266</v>
      </c>
      <c r="B45" s="198" t="s">
        <v>267</v>
      </c>
      <c r="C45" s="199" t="s">
        <v>270</v>
      </c>
      <c r="D45" s="200" t="s">
        <v>272</v>
      </c>
      <c r="E45" s="201" t="s">
        <v>274</v>
      </c>
      <c r="F45" s="197" t="s">
        <v>284</v>
      </c>
      <c r="G45" s="200" t="s">
        <v>272</v>
      </c>
      <c r="H45" s="200" t="s">
        <v>273</v>
      </c>
      <c r="I45" s="197" t="s">
        <v>278</v>
      </c>
      <c r="J45" s="197" t="s">
        <v>281</v>
      </c>
      <c r="K45" s="201" t="s">
        <v>270</v>
      </c>
      <c r="L45" s="630"/>
      <c r="M45" s="630"/>
    </row>
    <row r="46" spans="1:13" ht="18.75">
      <c r="A46" s="143">
        <v>2012</v>
      </c>
      <c r="B46" s="144">
        <v>40970</v>
      </c>
      <c r="C46" s="145" t="s">
        <v>358</v>
      </c>
      <c r="D46" s="146">
        <v>16131169.8</v>
      </c>
      <c r="E46" s="147">
        <v>1799318</v>
      </c>
      <c r="F46" s="614">
        <f>IF(E47&lt;&gt;0,-(E47-E46)/E47,"")</f>
        <v>0.2971722461408917</v>
      </c>
      <c r="G46" s="148">
        <v>14172264.3</v>
      </c>
      <c r="H46" s="149">
        <v>1618102</v>
      </c>
      <c r="I46" s="150">
        <v>0.9</v>
      </c>
      <c r="J46" s="171" t="s">
        <v>540</v>
      </c>
      <c r="K46" s="149">
        <v>937424</v>
      </c>
      <c r="L46" s="630"/>
      <c r="M46" s="630"/>
    </row>
    <row r="47" spans="1:13" ht="19.5" thickBot="1">
      <c r="A47" s="152">
        <v>2011</v>
      </c>
      <c r="B47" s="153">
        <v>40606</v>
      </c>
      <c r="C47" s="154" t="s">
        <v>468</v>
      </c>
      <c r="D47" s="155">
        <v>8705189.75</v>
      </c>
      <c r="E47" s="156">
        <v>1387108</v>
      </c>
      <c r="F47" s="615"/>
      <c r="G47" s="157">
        <v>5569745.25</v>
      </c>
      <c r="H47" s="158">
        <v>642480</v>
      </c>
      <c r="I47" s="159">
        <v>0.46</v>
      </c>
      <c r="J47" s="160" t="s">
        <v>575</v>
      </c>
      <c r="K47" s="158">
        <v>219284</v>
      </c>
      <c r="L47" s="630"/>
      <c r="M47" s="630"/>
    </row>
    <row r="48" spans="12:13" ht="19.5" thickBot="1">
      <c r="L48" s="630"/>
      <c r="M48" s="630"/>
    </row>
    <row r="49" spans="1:13" ht="18.75">
      <c r="A49" s="165">
        <v>2012</v>
      </c>
      <c r="B49" s="166">
        <v>40977</v>
      </c>
      <c r="C49" s="167" t="s">
        <v>463</v>
      </c>
      <c r="D49" s="168">
        <v>13754343.86</v>
      </c>
      <c r="E49" s="169">
        <v>1514421</v>
      </c>
      <c r="F49" s="614">
        <f>IF(E50&lt;&gt;0,-(E50-E49)/E50,"")</f>
        <v>0.7522849159102348</v>
      </c>
      <c r="G49" s="168">
        <v>9453789.61</v>
      </c>
      <c r="H49" s="169">
        <v>1099077</v>
      </c>
      <c r="I49" s="170">
        <v>0.73</v>
      </c>
      <c r="J49" s="171" t="s">
        <v>540</v>
      </c>
      <c r="K49" s="169">
        <v>623396</v>
      </c>
      <c r="L49" s="630"/>
      <c r="M49" s="630"/>
    </row>
    <row r="50" spans="1:13" ht="19.5" thickBot="1">
      <c r="A50" s="152">
        <v>2011</v>
      </c>
      <c r="B50" s="153">
        <v>40613</v>
      </c>
      <c r="C50" s="154" t="s">
        <v>461</v>
      </c>
      <c r="D50" s="155">
        <v>8165624.95</v>
      </c>
      <c r="E50" s="158">
        <v>864255</v>
      </c>
      <c r="F50" s="615"/>
      <c r="G50" s="155">
        <v>5835354.25</v>
      </c>
      <c r="H50" s="158">
        <v>651479</v>
      </c>
      <c r="I50" s="159">
        <v>0.75</v>
      </c>
      <c r="J50" s="160" t="s">
        <v>612</v>
      </c>
      <c r="K50" s="158">
        <v>264008</v>
      </c>
      <c r="L50" s="630"/>
      <c r="M50" s="630"/>
    </row>
    <row r="51" spans="12:13" ht="19.5" thickBot="1">
      <c r="L51" s="630"/>
      <c r="M51" s="630"/>
    </row>
    <row r="52" spans="1:13" ht="18.75">
      <c r="A52" s="165">
        <v>2012</v>
      </c>
      <c r="B52" s="166">
        <v>40984</v>
      </c>
      <c r="C52" s="167" t="s">
        <v>465</v>
      </c>
      <c r="D52" s="168">
        <v>8382780.91</v>
      </c>
      <c r="E52" s="169">
        <v>936610</v>
      </c>
      <c r="F52" s="614">
        <f>IF(E53&lt;&gt;0,-(E53-E52)/E53,"")</f>
        <v>0.4295351694559552</v>
      </c>
      <c r="G52" s="168">
        <v>5576956.45</v>
      </c>
      <c r="H52" s="169">
        <v>656195</v>
      </c>
      <c r="I52" s="170">
        <v>0.7</v>
      </c>
      <c r="J52" s="171" t="s">
        <v>540</v>
      </c>
      <c r="K52" s="169">
        <v>343374</v>
      </c>
      <c r="L52" s="630"/>
      <c r="M52" s="630"/>
    </row>
    <row r="53" spans="1:13" ht="19.5" thickBot="1">
      <c r="A53" s="152">
        <v>2011</v>
      </c>
      <c r="B53" s="153">
        <v>40620</v>
      </c>
      <c r="C53" s="154" t="s">
        <v>466</v>
      </c>
      <c r="D53" s="155">
        <v>6050157.75</v>
      </c>
      <c r="E53" s="158">
        <v>655185</v>
      </c>
      <c r="F53" s="615"/>
      <c r="G53" s="155">
        <v>3543383.75</v>
      </c>
      <c r="H53" s="158">
        <v>416334</v>
      </c>
      <c r="I53" s="159">
        <v>0.64</v>
      </c>
      <c r="J53" s="160" t="s">
        <v>612</v>
      </c>
      <c r="K53" s="158">
        <v>164978</v>
      </c>
      <c r="L53" s="630"/>
      <c r="M53" s="630"/>
    </row>
    <row r="54" spans="12:13" ht="19.5" thickBot="1">
      <c r="L54" s="630"/>
      <c r="M54" s="630"/>
    </row>
    <row r="55" spans="1:13" ht="18.75">
      <c r="A55" s="165">
        <v>2012</v>
      </c>
      <c r="B55" s="166">
        <v>40991</v>
      </c>
      <c r="C55" s="167" t="s">
        <v>659</v>
      </c>
      <c r="D55" s="168">
        <v>6720424.63</v>
      </c>
      <c r="E55" s="169">
        <v>741656</v>
      </c>
      <c r="F55" s="614">
        <f>IF(E56&lt;&gt;0,-(E56-E55)/E56,"")</f>
        <v>0.13197951723558995</v>
      </c>
      <c r="G55" s="168">
        <v>3052634.38</v>
      </c>
      <c r="H55" s="169">
        <v>365655</v>
      </c>
      <c r="I55" s="170">
        <v>0.49</v>
      </c>
      <c r="J55" s="202" t="s">
        <v>649</v>
      </c>
      <c r="K55" s="169">
        <v>199813</v>
      </c>
      <c r="L55" s="630"/>
      <c r="M55" s="630"/>
    </row>
    <row r="56" spans="1:13" ht="19.5" thickBot="1">
      <c r="A56" s="152">
        <v>2011</v>
      </c>
      <c r="B56" s="153">
        <v>40627</v>
      </c>
      <c r="C56" s="154" t="s">
        <v>466</v>
      </c>
      <c r="D56" s="155">
        <v>6050157.75</v>
      </c>
      <c r="E56" s="158">
        <v>655185</v>
      </c>
      <c r="F56" s="615"/>
      <c r="G56" s="155">
        <v>3543383.75</v>
      </c>
      <c r="H56" s="158">
        <v>416334</v>
      </c>
      <c r="I56" s="159">
        <v>0.64</v>
      </c>
      <c r="J56" s="160" t="s">
        <v>349</v>
      </c>
      <c r="K56" s="158">
        <v>110278</v>
      </c>
      <c r="L56" s="630"/>
      <c r="M56" s="630"/>
    </row>
    <row r="57" spans="1:13" ht="19.5" thickBot="1">
      <c r="A57" s="173"/>
      <c r="B57" s="174"/>
      <c r="C57" s="175"/>
      <c r="D57" s="176"/>
      <c r="E57" s="177"/>
      <c r="F57" s="177"/>
      <c r="G57" s="176"/>
      <c r="H57" s="177"/>
      <c r="I57" s="173"/>
      <c r="J57" s="178"/>
      <c r="K57" s="177"/>
      <c r="L57" s="630"/>
      <c r="M57" s="630"/>
    </row>
    <row r="58" spans="1:13" ht="18.75">
      <c r="A58" s="179">
        <v>2012</v>
      </c>
      <c r="B58" s="180" t="s">
        <v>585</v>
      </c>
      <c r="C58" s="181" t="s">
        <v>750</v>
      </c>
      <c r="D58" s="182">
        <f>D46+D49+D52+D55</f>
        <v>44988719.2</v>
      </c>
      <c r="E58" s="183">
        <f>E46+E49+E52+E55</f>
        <v>4992005</v>
      </c>
      <c r="F58" s="614">
        <f>IF(E59&lt;&gt;0,-(E59-E58)/E59,"")</f>
        <v>0.40156631617249244</v>
      </c>
      <c r="G58" s="182">
        <f>G46+G49+G52+G55</f>
        <v>32255644.74</v>
      </c>
      <c r="H58" s="183">
        <f>H46+H49+H52+H55</f>
        <v>3739029</v>
      </c>
      <c r="I58" s="179"/>
      <c r="J58" s="184"/>
      <c r="K58" s="183"/>
      <c r="L58" s="630"/>
      <c r="M58" s="630"/>
    </row>
    <row r="59" spans="1:13" ht="19.5" thickBot="1">
      <c r="A59" s="185">
        <v>2011</v>
      </c>
      <c r="B59" s="186" t="s">
        <v>585</v>
      </c>
      <c r="C59" s="187" t="s">
        <v>751</v>
      </c>
      <c r="D59" s="188">
        <f>D47+D50+D53+D56</f>
        <v>28971130.2</v>
      </c>
      <c r="E59" s="189">
        <f>E47+E50+E53+E56</f>
        <v>3561733</v>
      </c>
      <c r="F59" s="615"/>
      <c r="G59" s="188">
        <f>G47+G50+G53+G56</f>
        <v>18491867</v>
      </c>
      <c r="H59" s="189">
        <f>H47+H50+H53+H56</f>
        <v>2126627</v>
      </c>
      <c r="I59" s="185"/>
      <c r="J59" s="190"/>
      <c r="K59" s="189"/>
      <c r="L59" s="630"/>
      <c r="M59" s="630"/>
    </row>
    <row r="60" spans="1:13" ht="18.75">
      <c r="A60" s="173"/>
      <c r="B60" s="174"/>
      <c r="C60" s="191"/>
      <c r="D60" s="176"/>
      <c r="E60" s="177"/>
      <c r="F60" s="177"/>
      <c r="G60" s="176"/>
      <c r="H60" s="177"/>
      <c r="I60" s="173"/>
      <c r="J60" s="178"/>
      <c r="K60" s="177"/>
      <c r="L60" s="630"/>
      <c r="M60" s="630"/>
    </row>
    <row r="61" spans="1:13" ht="18.75">
      <c r="A61" s="203">
        <v>2012</v>
      </c>
      <c r="B61" s="204" t="s">
        <v>613</v>
      </c>
      <c r="C61" s="205"/>
      <c r="D61" s="206">
        <f>D20+D39+D58</f>
        <v>158048783.94</v>
      </c>
      <c r="E61" s="207">
        <f>E20+E39+E58</f>
        <v>17182725</v>
      </c>
      <c r="F61" s="207"/>
      <c r="G61" s="206">
        <f>G20+G39+G58</f>
        <v>103947540.44</v>
      </c>
      <c r="H61" s="207">
        <f>H20+H39+H58</f>
        <v>10786727</v>
      </c>
      <c r="I61" s="203"/>
      <c r="J61" s="208"/>
      <c r="K61" s="207"/>
      <c r="L61" s="203"/>
      <c r="M61" s="203"/>
    </row>
    <row r="62" spans="1:13" ht="18.75">
      <c r="A62" s="209">
        <v>2011</v>
      </c>
      <c r="B62" s="210" t="s">
        <v>613</v>
      </c>
      <c r="C62" s="211"/>
      <c r="D62" s="212">
        <f>D21+D40+D59</f>
        <v>145044590.45</v>
      </c>
      <c r="E62" s="213">
        <f>E21+E40+E59</f>
        <v>15977244</v>
      </c>
      <c r="F62" s="213"/>
      <c r="G62" s="212">
        <f>G21+G40+G59</f>
        <v>93405654.7</v>
      </c>
      <c r="H62" s="213">
        <f>H21+H40+H59</f>
        <v>10461754</v>
      </c>
      <c r="I62" s="209"/>
      <c r="J62" s="214"/>
      <c r="K62" s="213"/>
      <c r="L62" s="209"/>
      <c r="M62" s="209"/>
    </row>
    <row r="63" spans="1:11" ht="18.75">
      <c r="A63" s="173"/>
      <c r="B63" s="174"/>
      <c r="C63" s="191"/>
      <c r="D63" s="176"/>
      <c r="E63" s="177"/>
      <c r="F63" s="177"/>
      <c r="G63" s="176"/>
      <c r="H63" s="177"/>
      <c r="I63" s="173"/>
      <c r="J63" s="178"/>
      <c r="K63" s="177"/>
    </row>
    <row r="64" spans="1:13" ht="18.75" customHeight="1">
      <c r="A64" s="620" t="s">
        <v>283</v>
      </c>
      <c r="B64" s="621"/>
      <c r="C64" s="621"/>
      <c r="D64" s="621"/>
      <c r="E64" s="621"/>
      <c r="F64" s="621"/>
      <c r="G64" s="621"/>
      <c r="H64" s="621"/>
      <c r="I64" s="621"/>
      <c r="J64" s="621"/>
      <c r="K64" s="621"/>
      <c r="L64" s="631" t="s">
        <v>673</v>
      </c>
      <c r="M64" s="632"/>
    </row>
    <row r="65" spans="1:13" s="137" customFormat="1" ht="18.75">
      <c r="A65" s="192"/>
      <c r="B65" s="193"/>
      <c r="C65" s="194" t="s">
        <v>268</v>
      </c>
      <c r="D65" s="195"/>
      <c r="E65" s="196" t="s">
        <v>271</v>
      </c>
      <c r="F65" s="192" t="s">
        <v>271</v>
      </c>
      <c r="G65" s="195" t="s">
        <v>275</v>
      </c>
      <c r="H65" s="195" t="s">
        <v>275</v>
      </c>
      <c r="I65" s="192" t="s">
        <v>276</v>
      </c>
      <c r="J65" s="192" t="s">
        <v>279</v>
      </c>
      <c r="K65" s="196" t="s">
        <v>273</v>
      </c>
      <c r="L65" s="632"/>
      <c r="M65" s="632"/>
    </row>
    <row r="66" spans="1:13" s="137" customFormat="1" ht="18.75">
      <c r="A66" s="192"/>
      <c r="B66" s="193"/>
      <c r="C66" s="194" t="s">
        <v>269</v>
      </c>
      <c r="D66" s="195" t="s">
        <v>271</v>
      </c>
      <c r="E66" s="196" t="s">
        <v>273</v>
      </c>
      <c r="F66" s="192" t="s">
        <v>285</v>
      </c>
      <c r="G66" s="195" t="s">
        <v>271</v>
      </c>
      <c r="H66" s="195" t="s">
        <v>271</v>
      </c>
      <c r="I66" s="192" t="s">
        <v>277</v>
      </c>
      <c r="J66" s="192" t="s">
        <v>280</v>
      </c>
      <c r="K66" s="196" t="s">
        <v>282</v>
      </c>
      <c r="L66" s="632"/>
      <c r="M66" s="632"/>
    </row>
    <row r="67" spans="1:13" s="137" customFormat="1" ht="19.5" customHeight="1" thickBot="1">
      <c r="A67" s="197" t="s">
        <v>266</v>
      </c>
      <c r="B67" s="198" t="s">
        <v>267</v>
      </c>
      <c r="C67" s="199" t="s">
        <v>270</v>
      </c>
      <c r="D67" s="200" t="s">
        <v>272</v>
      </c>
      <c r="E67" s="201" t="s">
        <v>274</v>
      </c>
      <c r="F67" s="197" t="s">
        <v>284</v>
      </c>
      <c r="G67" s="200" t="s">
        <v>272</v>
      </c>
      <c r="H67" s="200" t="s">
        <v>273</v>
      </c>
      <c r="I67" s="197" t="s">
        <v>278</v>
      </c>
      <c r="J67" s="197" t="s">
        <v>281</v>
      </c>
      <c r="K67" s="201" t="s">
        <v>270</v>
      </c>
      <c r="L67" s="632"/>
      <c r="M67" s="632"/>
    </row>
    <row r="68" spans="1:13" ht="18.75">
      <c r="A68" s="143">
        <v>2012</v>
      </c>
      <c r="B68" s="144">
        <v>40998</v>
      </c>
      <c r="C68" s="145" t="s">
        <v>684</v>
      </c>
      <c r="D68" s="146">
        <v>7022412.24</v>
      </c>
      <c r="E68" s="147">
        <v>730011</v>
      </c>
      <c r="F68" s="614">
        <f>IF(E69&lt;&gt;0,-(E69-E68)/E69,"")</f>
        <v>0.20900980276875636</v>
      </c>
      <c r="G68" s="148">
        <v>2177450.24</v>
      </c>
      <c r="H68" s="149">
        <v>259491</v>
      </c>
      <c r="I68" s="150">
        <v>0.68</v>
      </c>
      <c r="J68" s="172" t="s">
        <v>672</v>
      </c>
      <c r="K68" s="149">
        <v>191313</v>
      </c>
      <c r="L68" s="632"/>
      <c r="M68" s="632"/>
    </row>
    <row r="69" spans="1:13" ht="19.5" thickBot="1">
      <c r="A69" s="152">
        <v>2011</v>
      </c>
      <c r="B69" s="153">
        <v>40634</v>
      </c>
      <c r="C69" s="154" t="s">
        <v>656</v>
      </c>
      <c r="D69" s="155">
        <v>5687716.25</v>
      </c>
      <c r="E69" s="156">
        <v>603809</v>
      </c>
      <c r="F69" s="615"/>
      <c r="G69" s="157">
        <v>3162983.25</v>
      </c>
      <c r="H69" s="158">
        <v>367117</v>
      </c>
      <c r="I69" s="159">
        <v>0.61</v>
      </c>
      <c r="J69" s="160" t="s">
        <v>349</v>
      </c>
      <c r="K69" s="158">
        <v>106719</v>
      </c>
      <c r="L69" s="632"/>
      <c r="M69" s="632"/>
    </row>
    <row r="70" spans="12:13" ht="19.5" thickBot="1">
      <c r="L70" s="632"/>
      <c r="M70" s="632"/>
    </row>
    <row r="71" spans="1:13" ht="18.75">
      <c r="A71" s="165">
        <v>2012</v>
      </c>
      <c r="B71" s="166">
        <v>41005</v>
      </c>
      <c r="C71" s="167" t="s">
        <v>708</v>
      </c>
      <c r="D71" s="168">
        <v>6103263.82</v>
      </c>
      <c r="E71" s="169">
        <v>642925</v>
      </c>
      <c r="F71" s="614">
        <f>IF(E72&lt;&gt;0,-(E72-E71)/E72,"")</f>
        <v>0.1277348128320672</v>
      </c>
      <c r="G71" s="168">
        <v>1386140.52</v>
      </c>
      <c r="H71" s="169">
        <v>171561</v>
      </c>
      <c r="I71" s="170">
        <v>0.66</v>
      </c>
      <c r="J71" s="172" t="s">
        <v>672</v>
      </c>
      <c r="K71" s="169">
        <v>99886</v>
      </c>
      <c r="L71" s="632"/>
      <c r="M71" s="632"/>
    </row>
    <row r="72" spans="1:13" ht="19.5" thickBot="1">
      <c r="A72" s="152">
        <v>2011</v>
      </c>
      <c r="B72" s="153">
        <v>40641</v>
      </c>
      <c r="C72" s="154" t="s">
        <v>466</v>
      </c>
      <c r="D72" s="155">
        <v>5418508.5</v>
      </c>
      <c r="E72" s="158">
        <v>570103</v>
      </c>
      <c r="F72" s="615"/>
      <c r="G72" s="155">
        <v>2148322.25</v>
      </c>
      <c r="H72" s="158">
        <v>256021</v>
      </c>
      <c r="I72" s="159">
        <v>0.45</v>
      </c>
      <c r="J72" s="215" t="s">
        <v>695</v>
      </c>
      <c r="K72" s="158">
        <v>103644</v>
      </c>
      <c r="L72" s="632"/>
      <c r="M72" s="632"/>
    </row>
    <row r="73" spans="12:13" ht="19.5" thickBot="1">
      <c r="L73" s="632"/>
      <c r="M73" s="632"/>
    </row>
    <row r="74" spans="1:13" ht="18.75">
      <c r="A74" s="165">
        <v>2012</v>
      </c>
      <c r="B74" s="166">
        <v>41012</v>
      </c>
      <c r="C74" s="167" t="s">
        <v>683</v>
      </c>
      <c r="D74" s="168">
        <v>4871259.63</v>
      </c>
      <c r="E74" s="169">
        <v>546297</v>
      </c>
      <c r="F74" s="618">
        <f>IF(E75&lt;&gt;0,-(E75-E74)/E75,"")</f>
        <v>-0.0153173694788165</v>
      </c>
      <c r="G74" s="168">
        <v>509063.11</v>
      </c>
      <c r="H74" s="169">
        <v>119141</v>
      </c>
      <c r="I74" s="170">
        <v>0.22</v>
      </c>
      <c r="J74" s="172" t="s">
        <v>672</v>
      </c>
      <c r="K74" s="169">
        <v>64191</v>
      </c>
      <c r="L74" s="632"/>
      <c r="M74" s="632"/>
    </row>
    <row r="75" spans="1:13" ht="19.5" thickBot="1">
      <c r="A75" s="152">
        <v>2011</v>
      </c>
      <c r="B75" s="153">
        <v>40648</v>
      </c>
      <c r="C75" s="154" t="s">
        <v>681</v>
      </c>
      <c r="D75" s="155">
        <v>5202995.25</v>
      </c>
      <c r="E75" s="158">
        <v>554795</v>
      </c>
      <c r="F75" s="619"/>
      <c r="G75" s="155">
        <v>1504788</v>
      </c>
      <c r="H75" s="158">
        <v>183081</v>
      </c>
      <c r="I75" s="159">
        <v>0.33</v>
      </c>
      <c r="J75" s="215" t="s">
        <v>695</v>
      </c>
      <c r="K75" s="158">
        <v>88345</v>
      </c>
      <c r="L75" s="632"/>
      <c r="M75" s="632"/>
    </row>
    <row r="76" spans="12:13" ht="19.5" thickBot="1">
      <c r="L76" s="632"/>
      <c r="M76" s="632"/>
    </row>
    <row r="77" spans="1:13" ht="18.75">
      <c r="A77" s="165">
        <v>2012</v>
      </c>
      <c r="B77" s="166">
        <v>41019</v>
      </c>
      <c r="C77" s="167" t="s">
        <v>682</v>
      </c>
      <c r="D77" s="168">
        <v>6820910.27</v>
      </c>
      <c r="E77" s="169">
        <v>630448</v>
      </c>
      <c r="F77" s="614">
        <f>IF(E78&lt;&gt;0,-(E78-E77)/E78,"")</f>
        <v>0.0526537243305789</v>
      </c>
      <c r="G77" s="168">
        <v>532472.78</v>
      </c>
      <c r="H77" s="169">
        <v>67951</v>
      </c>
      <c r="I77" s="170">
        <v>0.11</v>
      </c>
      <c r="J77" s="172" t="s">
        <v>729</v>
      </c>
      <c r="K77" s="169">
        <v>118481</v>
      </c>
      <c r="L77" s="632"/>
      <c r="M77" s="632"/>
    </row>
    <row r="78" spans="1:13" ht="19.5" thickBot="1">
      <c r="A78" s="152">
        <v>2011</v>
      </c>
      <c r="B78" s="153">
        <v>40655</v>
      </c>
      <c r="C78" s="154" t="s">
        <v>708</v>
      </c>
      <c r="D78" s="155">
        <v>5514107.49</v>
      </c>
      <c r="E78" s="158">
        <v>598913</v>
      </c>
      <c r="F78" s="615"/>
      <c r="G78" s="155">
        <v>1002473.5</v>
      </c>
      <c r="H78" s="158">
        <v>126563</v>
      </c>
      <c r="I78" s="159">
        <v>0.21</v>
      </c>
      <c r="J78" s="215" t="s">
        <v>695</v>
      </c>
      <c r="K78" s="158">
        <v>90215</v>
      </c>
      <c r="L78" s="632"/>
      <c r="M78" s="632"/>
    </row>
    <row r="79" spans="1:13" s="224" customFormat="1" ht="19.5" thickBot="1">
      <c r="A79" s="216"/>
      <c r="B79" s="217"/>
      <c r="C79" s="218"/>
      <c r="D79" s="219"/>
      <c r="E79" s="220"/>
      <c r="F79" s="221"/>
      <c r="G79" s="219"/>
      <c r="H79" s="220"/>
      <c r="I79" s="222"/>
      <c r="J79" s="223"/>
      <c r="K79" s="220"/>
      <c r="L79" s="632"/>
      <c r="M79" s="632"/>
    </row>
    <row r="80" spans="1:13" ht="18.75">
      <c r="A80" s="165">
        <v>2012</v>
      </c>
      <c r="B80" s="166">
        <v>41026</v>
      </c>
      <c r="C80" s="167" t="s">
        <v>792</v>
      </c>
      <c r="D80" s="168">
        <v>4017409.12</v>
      </c>
      <c r="E80" s="169">
        <v>424885</v>
      </c>
      <c r="F80" s="616">
        <f>IF(E81&lt;&gt;0,-(E81-E80)/E81,"")</f>
        <v>-0.33907688382960055</v>
      </c>
      <c r="G80" s="168">
        <v>348130.54</v>
      </c>
      <c r="H80" s="169">
        <v>45542</v>
      </c>
      <c r="I80" s="170">
        <v>0.11</v>
      </c>
      <c r="J80" s="172" t="s">
        <v>729</v>
      </c>
      <c r="K80" s="169">
        <v>68803</v>
      </c>
      <c r="L80" s="632"/>
      <c r="M80" s="632"/>
    </row>
    <row r="81" spans="1:13" ht="19.5" thickBot="1">
      <c r="A81" s="152">
        <v>2011</v>
      </c>
      <c r="B81" s="153">
        <v>40662</v>
      </c>
      <c r="C81" s="154" t="s">
        <v>787</v>
      </c>
      <c r="D81" s="155">
        <v>6183810.35</v>
      </c>
      <c r="E81" s="158">
        <v>642866</v>
      </c>
      <c r="F81" s="617"/>
      <c r="G81" s="155">
        <v>503851.85</v>
      </c>
      <c r="H81" s="158">
        <v>69997</v>
      </c>
      <c r="I81" s="159">
        <v>0.11</v>
      </c>
      <c r="J81" s="215" t="s">
        <v>810</v>
      </c>
      <c r="K81" s="158">
        <v>250263</v>
      </c>
      <c r="L81" s="632"/>
      <c r="M81" s="632"/>
    </row>
    <row r="82" spans="1:13" ht="19.5" thickBot="1">
      <c r="A82" s="173"/>
      <c r="B82" s="174"/>
      <c r="C82" s="175"/>
      <c r="D82" s="176"/>
      <c r="E82" s="177"/>
      <c r="F82" s="177"/>
      <c r="G82" s="176"/>
      <c r="H82" s="177"/>
      <c r="I82" s="173"/>
      <c r="J82" s="178"/>
      <c r="K82" s="177"/>
      <c r="L82" s="632"/>
      <c r="M82" s="632"/>
    </row>
    <row r="83" spans="1:13" ht="18.75">
      <c r="A83" s="179">
        <v>2012</v>
      </c>
      <c r="B83" s="180" t="s">
        <v>673</v>
      </c>
      <c r="C83" s="181" t="s">
        <v>749</v>
      </c>
      <c r="D83" s="182">
        <f>D68+D71+D74+D78+D80</f>
        <v>27528452.3</v>
      </c>
      <c r="E83" s="183">
        <f>E68+E71+E74+E77+E80</f>
        <v>2974566</v>
      </c>
      <c r="F83" s="614">
        <f>IF(E84&lt;&gt;0,-(E84-E83)/E84,"")</f>
        <v>0.0013735126171272984</v>
      </c>
      <c r="G83" s="182">
        <f>G68+G71+G74+G77+G80</f>
        <v>4953257.19</v>
      </c>
      <c r="H83" s="183">
        <f>H68+H71+H74+H77+H80</f>
        <v>663686</v>
      </c>
      <c r="I83" s="179"/>
      <c r="J83" s="184"/>
      <c r="K83" s="183"/>
      <c r="L83" s="632"/>
      <c r="M83" s="632"/>
    </row>
    <row r="84" spans="1:13" ht="19.5" thickBot="1">
      <c r="A84" s="185">
        <v>2011</v>
      </c>
      <c r="B84" s="186" t="s">
        <v>673</v>
      </c>
      <c r="C84" s="187" t="s">
        <v>811</v>
      </c>
      <c r="D84" s="188">
        <f>D69+D72+D75+D78+D81</f>
        <v>28007137.840000004</v>
      </c>
      <c r="E84" s="189">
        <f>E69+E72+E75+E78+E81</f>
        <v>2970486</v>
      </c>
      <c r="F84" s="615"/>
      <c r="G84" s="188">
        <f>G69+G72+G75+G78+G81</f>
        <v>8322418.85</v>
      </c>
      <c r="H84" s="189">
        <f>H69+H72+H75+H78+H81</f>
        <v>1002779</v>
      </c>
      <c r="I84" s="185"/>
      <c r="J84" s="190"/>
      <c r="K84" s="189"/>
      <c r="L84" s="632"/>
      <c r="M84" s="632"/>
    </row>
    <row r="85" spans="1:13" ht="19.5" thickBot="1">
      <c r="A85" s="173"/>
      <c r="B85" s="174"/>
      <c r="C85" s="191"/>
      <c r="D85" s="176"/>
      <c r="E85" s="177"/>
      <c r="F85" s="177"/>
      <c r="G85" s="176"/>
      <c r="H85" s="177"/>
      <c r="I85" s="173"/>
      <c r="J85" s="178"/>
      <c r="K85" s="177"/>
      <c r="L85" s="632"/>
      <c r="M85" s="632"/>
    </row>
    <row r="86" spans="1:13" ht="18.75">
      <c r="A86" s="203">
        <v>2012</v>
      </c>
      <c r="B86" s="204" t="s">
        <v>725</v>
      </c>
      <c r="C86" s="205"/>
      <c r="D86" s="206">
        <f>D42+D61+D83+D83</f>
        <v>213105688.54000002</v>
      </c>
      <c r="E86" s="207">
        <f>E42+E61+E83+E83</f>
        <v>23131857</v>
      </c>
      <c r="F86" s="614">
        <f>IF(E87&lt;&gt;0,-(E87-E86)/E87,"")</f>
        <v>0.22082471092843312</v>
      </c>
      <c r="G86" s="206">
        <f>G42+G61+G83</f>
        <v>108900797.63</v>
      </c>
      <c r="H86" s="207">
        <f>H42+H61+H83</f>
        <v>11450413</v>
      </c>
      <c r="I86" s="203"/>
      <c r="J86" s="208"/>
      <c r="K86" s="207"/>
      <c r="L86" s="203"/>
      <c r="M86" s="203"/>
    </row>
    <row r="87" spans="1:13" ht="19.5" thickBot="1">
      <c r="A87" s="209">
        <v>2011</v>
      </c>
      <c r="B87" s="210" t="s">
        <v>725</v>
      </c>
      <c r="C87" s="211"/>
      <c r="D87" s="212">
        <f>D43+D62+D84+D84</f>
        <v>201058866.13</v>
      </c>
      <c r="E87" s="213">
        <f>E84+E62</f>
        <v>18947730</v>
      </c>
      <c r="F87" s="615"/>
      <c r="G87" s="212">
        <f>G84+G62</f>
        <v>101728073.55</v>
      </c>
      <c r="H87" s="213">
        <f>H84+H62</f>
        <v>11464533</v>
      </c>
      <c r="I87" s="209"/>
      <c r="J87" s="214"/>
      <c r="K87" s="213"/>
      <c r="L87" s="209"/>
      <c r="M87" s="209"/>
    </row>
    <row r="88" spans="1:11" ht="18.75">
      <c r="A88" s="173"/>
      <c r="B88" s="174"/>
      <c r="C88" s="191"/>
      <c r="D88" s="176"/>
      <c r="E88" s="177"/>
      <c r="F88" s="177"/>
      <c r="G88" s="176"/>
      <c r="H88" s="177"/>
      <c r="I88" s="173"/>
      <c r="J88" s="178"/>
      <c r="K88" s="177"/>
    </row>
    <row r="89" spans="1:13" ht="18.75" customHeight="1">
      <c r="A89" s="620" t="s">
        <v>283</v>
      </c>
      <c r="B89" s="621"/>
      <c r="C89" s="621"/>
      <c r="D89" s="621"/>
      <c r="E89" s="621"/>
      <c r="F89" s="621"/>
      <c r="G89" s="621"/>
      <c r="H89" s="621"/>
      <c r="I89" s="621"/>
      <c r="J89" s="621"/>
      <c r="K89" s="621"/>
      <c r="L89" s="627" t="s">
        <v>815</v>
      </c>
      <c r="M89" s="628"/>
    </row>
    <row r="90" spans="1:13" s="137" customFormat="1" ht="18.75">
      <c r="A90" s="192"/>
      <c r="B90" s="193"/>
      <c r="C90" s="194" t="s">
        <v>268</v>
      </c>
      <c r="D90" s="195"/>
      <c r="E90" s="196" t="s">
        <v>271</v>
      </c>
      <c r="F90" s="192" t="s">
        <v>271</v>
      </c>
      <c r="G90" s="195" t="s">
        <v>275</v>
      </c>
      <c r="H90" s="195" t="s">
        <v>275</v>
      </c>
      <c r="I90" s="192" t="s">
        <v>276</v>
      </c>
      <c r="J90" s="192" t="s">
        <v>279</v>
      </c>
      <c r="K90" s="196" t="s">
        <v>273</v>
      </c>
      <c r="L90" s="628"/>
      <c r="M90" s="628"/>
    </row>
    <row r="91" spans="1:13" s="137" customFormat="1" ht="18.75">
      <c r="A91" s="192"/>
      <c r="B91" s="193"/>
      <c r="C91" s="194" t="s">
        <v>269</v>
      </c>
      <c r="D91" s="195" t="s">
        <v>271</v>
      </c>
      <c r="E91" s="196" t="s">
        <v>273</v>
      </c>
      <c r="F91" s="192" t="s">
        <v>285</v>
      </c>
      <c r="G91" s="195" t="s">
        <v>271</v>
      </c>
      <c r="H91" s="195" t="s">
        <v>271</v>
      </c>
      <c r="I91" s="192" t="s">
        <v>277</v>
      </c>
      <c r="J91" s="192" t="s">
        <v>280</v>
      </c>
      <c r="K91" s="196" t="s">
        <v>282</v>
      </c>
      <c r="L91" s="628"/>
      <c r="M91" s="628"/>
    </row>
    <row r="92" spans="1:13" s="137" customFormat="1" ht="19.5" customHeight="1" thickBot="1">
      <c r="A92" s="197" t="s">
        <v>266</v>
      </c>
      <c r="B92" s="198" t="s">
        <v>267</v>
      </c>
      <c r="C92" s="199" t="s">
        <v>270</v>
      </c>
      <c r="D92" s="200" t="s">
        <v>272</v>
      </c>
      <c r="E92" s="201" t="s">
        <v>274</v>
      </c>
      <c r="F92" s="197" t="s">
        <v>284</v>
      </c>
      <c r="G92" s="200" t="s">
        <v>272</v>
      </c>
      <c r="H92" s="200" t="s">
        <v>273</v>
      </c>
      <c r="I92" s="197" t="s">
        <v>278</v>
      </c>
      <c r="J92" s="197" t="s">
        <v>281</v>
      </c>
      <c r="K92" s="201" t="s">
        <v>270</v>
      </c>
      <c r="L92" s="628"/>
      <c r="M92" s="628"/>
    </row>
    <row r="93" spans="1:13" ht="18.75">
      <c r="A93" s="143">
        <v>2012</v>
      </c>
      <c r="B93" s="144">
        <v>41033</v>
      </c>
      <c r="C93" s="145" t="s">
        <v>794</v>
      </c>
      <c r="D93" s="146">
        <v>5498831.01</v>
      </c>
      <c r="E93" s="147">
        <v>528055</v>
      </c>
      <c r="F93" s="614">
        <f>IF(E94&lt;&gt;0,-(E94-E93)/E94,"")</f>
        <v>0.017360763249358434</v>
      </c>
      <c r="G93" s="148">
        <v>306314.49</v>
      </c>
      <c r="H93" s="149">
        <v>39196</v>
      </c>
      <c r="I93" s="150">
        <v>0.08</v>
      </c>
      <c r="J93" s="172" t="s">
        <v>831</v>
      </c>
      <c r="K93" s="149">
        <v>278854</v>
      </c>
      <c r="L93" s="628"/>
      <c r="M93" s="628"/>
    </row>
    <row r="94" spans="1:13" ht="19.5" thickBot="1">
      <c r="A94" s="152">
        <v>2011</v>
      </c>
      <c r="B94" s="153">
        <v>41035</v>
      </c>
      <c r="C94" s="154" t="s">
        <v>788</v>
      </c>
      <c r="D94" s="155">
        <v>4850664.5</v>
      </c>
      <c r="E94" s="156">
        <v>519044</v>
      </c>
      <c r="F94" s="615"/>
      <c r="G94" s="157">
        <v>647112</v>
      </c>
      <c r="H94" s="158">
        <v>86154</v>
      </c>
      <c r="I94" s="159">
        <v>0.13</v>
      </c>
      <c r="J94" s="215" t="s">
        <v>810</v>
      </c>
      <c r="K94" s="158">
        <v>162376</v>
      </c>
      <c r="L94" s="628"/>
      <c r="M94" s="628"/>
    </row>
    <row r="95" spans="12:13" ht="19.5" thickBot="1">
      <c r="L95" s="628"/>
      <c r="M95" s="628"/>
    </row>
    <row r="96" spans="1:13" ht="18.75">
      <c r="A96" s="165">
        <v>2012</v>
      </c>
      <c r="B96" s="166">
        <v>41040</v>
      </c>
      <c r="C96" s="167" t="s">
        <v>787</v>
      </c>
      <c r="D96" s="168">
        <v>4006662.87</v>
      </c>
      <c r="E96" s="169">
        <v>399587</v>
      </c>
      <c r="F96" s="616">
        <f>IF(E97&lt;&gt;0,-(E97-E96)/E97,"")</f>
        <v>-0.32558017856841465</v>
      </c>
      <c r="G96" s="168">
        <v>306783.19</v>
      </c>
      <c r="H96" s="169">
        <v>37871</v>
      </c>
      <c r="I96" s="170">
        <v>0.09</v>
      </c>
      <c r="J96" s="172" t="s">
        <v>831</v>
      </c>
      <c r="K96" s="169">
        <v>156567</v>
      </c>
      <c r="L96" s="628"/>
      <c r="M96" s="628"/>
    </row>
    <row r="97" spans="1:13" ht="19.5" thickBot="1">
      <c r="A97" s="152">
        <v>2011</v>
      </c>
      <c r="B97" s="153">
        <v>40676</v>
      </c>
      <c r="C97" s="154" t="s">
        <v>850</v>
      </c>
      <c r="D97" s="155">
        <v>5888453</v>
      </c>
      <c r="E97" s="158">
        <v>592490</v>
      </c>
      <c r="F97" s="617"/>
      <c r="G97" s="155">
        <v>563096</v>
      </c>
      <c r="H97" s="158">
        <v>73573</v>
      </c>
      <c r="I97" s="159">
        <v>0.1</v>
      </c>
      <c r="J97" s="215" t="s">
        <v>810</v>
      </c>
      <c r="K97" s="158">
        <v>104811</v>
      </c>
      <c r="L97" s="628"/>
      <c r="M97" s="628"/>
    </row>
    <row r="98" spans="12:13" ht="19.5" thickBot="1">
      <c r="L98" s="628"/>
      <c r="M98" s="628"/>
    </row>
    <row r="99" spans="1:13" ht="18.75">
      <c r="A99" s="165">
        <v>2012</v>
      </c>
      <c r="B99" s="166"/>
      <c r="C99" s="167"/>
      <c r="D99" s="168"/>
      <c r="E99" s="169"/>
      <c r="F99" s="618"/>
      <c r="G99" s="168"/>
      <c r="H99" s="169"/>
      <c r="I99" s="170"/>
      <c r="J99" s="172"/>
      <c r="K99" s="169"/>
      <c r="L99" s="628"/>
      <c r="M99" s="628"/>
    </row>
    <row r="100" spans="1:13" ht="19.5" thickBot="1">
      <c r="A100" s="152">
        <v>2011</v>
      </c>
      <c r="B100" s="153"/>
      <c r="C100" s="154"/>
      <c r="D100" s="155"/>
      <c r="E100" s="158"/>
      <c r="F100" s="619"/>
      <c r="G100" s="155"/>
      <c r="H100" s="158"/>
      <c r="I100" s="159"/>
      <c r="J100" s="215"/>
      <c r="K100" s="158"/>
      <c r="L100" s="628"/>
      <c r="M100" s="628"/>
    </row>
    <row r="101" spans="12:13" ht="19.5" thickBot="1">
      <c r="L101" s="628"/>
      <c r="M101" s="628"/>
    </row>
    <row r="102" spans="1:13" ht="18.75">
      <c r="A102" s="165">
        <v>2012</v>
      </c>
      <c r="B102" s="166"/>
      <c r="C102" s="167"/>
      <c r="D102" s="168"/>
      <c r="E102" s="169"/>
      <c r="F102" s="614"/>
      <c r="G102" s="168"/>
      <c r="H102" s="169"/>
      <c r="I102" s="170"/>
      <c r="J102" s="172"/>
      <c r="K102" s="169"/>
      <c r="L102" s="628"/>
      <c r="M102" s="628"/>
    </row>
    <row r="103" spans="1:13" ht="19.5" thickBot="1">
      <c r="A103" s="152">
        <v>2011</v>
      </c>
      <c r="B103" s="153"/>
      <c r="C103" s="154"/>
      <c r="D103" s="155"/>
      <c r="E103" s="158"/>
      <c r="F103" s="615"/>
      <c r="G103" s="155"/>
      <c r="H103" s="158"/>
      <c r="I103" s="159"/>
      <c r="J103" s="215"/>
      <c r="K103" s="158"/>
      <c r="L103" s="628"/>
      <c r="M103" s="628"/>
    </row>
    <row r="104" spans="1:13" ht="19.5" thickBot="1">
      <c r="A104" s="173"/>
      <c r="B104" s="174"/>
      <c r="C104" s="175"/>
      <c r="D104" s="176"/>
      <c r="E104" s="177"/>
      <c r="F104" s="177"/>
      <c r="G104" s="176"/>
      <c r="H104" s="177"/>
      <c r="I104" s="173"/>
      <c r="J104" s="178"/>
      <c r="K104" s="177"/>
      <c r="L104" s="628"/>
      <c r="M104" s="628"/>
    </row>
    <row r="105" spans="1:13" ht="18.75">
      <c r="A105" s="179">
        <v>2012</v>
      </c>
      <c r="B105" s="180" t="s">
        <v>815</v>
      </c>
      <c r="C105" s="181"/>
      <c r="D105" s="182"/>
      <c r="E105" s="183"/>
      <c r="F105" s="614"/>
      <c r="G105" s="182"/>
      <c r="H105" s="183"/>
      <c r="I105" s="179"/>
      <c r="J105" s="184"/>
      <c r="K105" s="183"/>
      <c r="L105" s="628"/>
      <c r="M105" s="628"/>
    </row>
    <row r="106" spans="1:13" ht="19.5" thickBot="1">
      <c r="A106" s="185">
        <v>2011</v>
      </c>
      <c r="B106" s="186" t="s">
        <v>815</v>
      </c>
      <c r="C106" s="187"/>
      <c r="D106" s="188"/>
      <c r="E106" s="189"/>
      <c r="F106" s="615"/>
      <c r="G106" s="188"/>
      <c r="H106" s="189"/>
      <c r="I106" s="185"/>
      <c r="J106" s="190"/>
      <c r="K106" s="189"/>
      <c r="L106" s="628"/>
      <c r="M106" s="628"/>
    </row>
    <row r="107" spans="1:13" ht="18.75">
      <c r="A107" s="173"/>
      <c r="B107" s="174"/>
      <c r="C107" s="191"/>
      <c r="D107" s="176"/>
      <c r="E107" s="177"/>
      <c r="F107" s="177"/>
      <c r="G107" s="176"/>
      <c r="H107" s="177"/>
      <c r="I107" s="173"/>
      <c r="J107" s="178"/>
      <c r="K107" s="177"/>
      <c r="L107" s="628"/>
      <c r="M107" s="628"/>
    </row>
    <row r="108" spans="1:13" ht="18.75">
      <c r="A108" s="203">
        <v>2012</v>
      </c>
      <c r="B108" s="204" t="s">
        <v>816</v>
      </c>
      <c r="C108" s="205"/>
      <c r="D108" s="206"/>
      <c r="E108" s="207"/>
      <c r="F108" s="207"/>
      <c r="G108" s="206"/>
      <c r="H108" s="207"/>
      <c r="I108" s="203"/>
      <c r="J108" s="208"/>
      <c r="K108" s="207"/>
      <c r="L108" s="203"/>
      <c r="M108" s="203"/>
    </row>
    <row r="109" spans="1:13" ht="18.75">
      <c r="A109" s="209">
        <v>2011</v>
      </c>
      <c r="B109" s="210" t="s">
        <v>816</v>
      </c>
      <c r="C109" s="211"/>
      <c r="D109" s="212"/>
      <c r="E109" s="213"/>
      <c r="F109" s="213"/>
      <c r="G109" s="212"/>
      <c r="H109" s="213"/>
      <c r="I109" s="209"/>
      <c r="J109" s="214"/>
      <c r="K109" s="213"/>
      <c r="L109" s="209"/>
      <c r="M109" s="209"/>
    </row>
  </sheetData>
  <sheetProtection/>
  <mergeCells count="38">
    <mergeCell ref="F105:F106"/>
    <mergeCell ref="F86:F87"/>
    <mergeCell ref="F14:F15"/>
    <mergeCell ref="F17:F18"/>
    <mergeCell ref="F36:F37"/>
    <mergeCell ref="F49:F50"/>
    <mergeCell ref="A89:K89"/>
    <mergeCell ref="F33:F34"/>
    <mergeCell ref="F55:F56"/>
    <mergeCell ref="F58:F59"/>
    <mergeCell ref="L89:M107"/>
    <mergeCell ref="F93:F94"/>
    <mergeCell ref="F96:F97"/>
    <mergeCell ref="F99:F100"/>
    <mergeCell ref="F102:F103"/>
    <mergeCell ref="L42:M60"/>
    <mergeCell ref="F46:F47"/>
    <mergeCell ref="F52:F53"/>
    <mergeCell ref="L64:M85"/>
    <mergeCell ref="F83:F84"/>
    <mergeCell ref="A1:K1"/>
    <mergeCell ref="F5:F6"/>
    <mergeCell ref="F8:F9"/>
    <mergeCell ref="F39:F40"/>
    <mergeCell ref="L23:M41"/>
    <mergeCell ref="F11:F12"/>
    <mergeCell ref="F30:F31"/>
    <mergeCell ref="L1:M22"/>
    <mergeCell ref="F27:F28"/>
    <mergeCell ref="A23:K23"/>
    <mergeCell ref="F77:F78"/>
    <mergeCell ref="F80:F81"/>
    <mergeCell ref="F20:F21"/>
    <mergeCell ref="A42:K42"/>
    <mergeCell ref="A64:K64"/>
    <mergeCell ref="F68:F69"/>
    <mergeCell ref="F71:F72"/>
    <mergeCell ref="F74:F75"/>
  </mergeCells>
  <printOptions/>
  <pageMargins left="0.7" right="0.7" top="0.75" bottom="0.75" header="0.3" footer="0.3"/>
  <pageSetup horizontalDpi="600" verticalDpi="600" orientation="portrait" paperSize="9" r:id="rId1"/>
  <ignoredErrors>
    <ignoredError sqref="C93:C94 C96:C97" numberStoredAsText="1"/>
  </ignoredErrors>
</worksheet>
</file>

<file path=xl/worksheets/sheet8.xml><?xml version="1.0" encoding="utf-8"?>
<worksheet xmlns="http://schemas.openxmlformats.org/spreadsheetml/2006/main" xmlns:r="http://schemas.openxmlformats.org/officeDocument/2006/relationships">
  <sheetPr>
    <tabColor rgb="FF0070C0"/>
  </sheetPr>
  <dimension ref="A1:X321"/>
  <sheetViews>
    <sheetView zoomScale="80" zoomScaleNormal="80" zoomScalePageLayoutView="0" workbookViewId="0" topLeftCell="A288">
      <selection activeCell="A323" sqref="A323"/>
    </sheetView>
  </sheetViews>
  <sheetFormatPr defaultColWidth="8.8515625" defaultRowHeight="12.75"/>
  <cols>
    <col min="1" max="1" width="3.421875" style="34" bestFit="1" customWidth="1"/>
    <col min="2" max="2" width="4.8515625" style="87" bestFit="1" customWidth="1"/>
    <col min="3" max="3" width="30.8515625" style="36" bestFit="1" customWidth="1"/>
    <col min="4" max="4" width="7.28125" style="105" bestFit="1" customWidth="1"/>
    <col min="5" max="9" width="5.0039062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70" customWidth="1"/>
  </cols>
  <sheetData>
    <row r="1" spans="1:24" ht="15.75">
      <c r="A1" s="67"/>
      <c r="B1" s="68"/>
      <c r="C1" s="69"/>
      <c r="D1" s="633" t="s">
        <v>291</v>
      </c>
      <c r="E1" s="634"/>
      <c r="F1" s="634"/>
      <c r="G1" s="634"/>
      <c r="H1" s="634"/>
      <c r="I1" s="634"/>
      <c r="J1" s="634"/>
      <c r="K1" s="634"/>
      <c r="L1" s="634"/>
      <c r="M1" s="634"/>
      <c r="N1" s="634"/>
      <c r="O1" s="634"/>
      <c r="P1" s="634"/>
      <c r="Q1" s="634"/>
      <c r="R1" s="634"/>
      <c r="S1" s="634"/>
      <c r="T1" s="634"/>
      <c r="U1" s="634"/>
      <c r="V1" s="634"/>
      <c r="W1" s="634"/>
      <c r="X1" s="634"/>
    </row>
    <row r="2" spans="1:24" ht="15.75">
      <c r="A2" s="67"/>
      <c r="B2" s="68"/>
      <c r="C2" s="69"/>
      <c r="D2" s="634"/>
      <c r="E2" s="634"/>
      <c r="F2" s="634"/>
      <c r="G2" s="634"/>
      <c r="H2" s="634"/>
      <c r="I2" s="634"/>
      <c r="J2" s="634"/>
      <c r="K2" s="634"/>
      <c r="L2" s="634"/>
      <c r="M2" s="634"/>
      <c r="N2" s="634"/>
      <c r="O2" s="634"/>
      <c r="P2" s="634"/>
      <c r="Q2" s="634"/>
      <c r="R2" s="634"/>
      <c r="S2" s="634"/>
      <c r="T2" s="634"/>
      <c r="U2" s="634"/>
      <c r="V2" s="634"/>
      <c r="W2" s="634"/>
      <c r="X2" s="634"/>
    </row>
    <row r="3" spans="1:24" ht="15.75">
      <c r="A3" s="67"/>
      <c r="B3" s="68"/>
      <c r="C3" s="71"/>
      <c r="D3" s="72" t="s">
        <v>286</v>
      </c>
      <c r="E3" s="30">
        <v>1</v>
      </c>
      <c r="F3" s="30">
        <v>2</v>
      </c>
      <c r="G3" s="30">
        <v>3</v>
      </c>
      <c r="H3" s="30">
        <v>4</v>
      </c>
      <c r="I3" s="30">
        <v>5</v>
      </c>
      <c r="J3" s="30">
        <v>6</v>
      </c>
      <c r="K3" s="30">
        <v>7</v>
      </c>
      <c r="L3" s="30">
        <v>8</v>
      </c>
      <c r="M3" s="30">
        <v>9</v>
      </c>
      <c r="N3" s="30">
        <v>10</v>
      </c>
      <c r="O3" s="30">
        <v>11</v>
      </c>
      <c r="P3" s="30">
        <v>12</v>
      </c>
      <c r="Q3" s="30">
        <v>13</v>
      </c>
      <c r="R3" s="30">
        <v>14</v>
      </c>
      <c r="S3" s="30">
        <v>15</v>
      </c>
      <c r="T3" s="30">
        <v>16</v>
      </c>
      <c r="U3" s="30">
        <v>17</v>
      </c>
      <c r="V3" s="30">
        <v>18</v>
      </c>
      <c r="W3" s="73" t="s">
        <v>267</v>
      </c>
      <c r="X3" s="74"/>
    </row>
    <row r="4" spans="1:24" ht="16.5" thickBot="1">
      <c r="A4" s="75"/>
      <c r="B4" s="76"/>
      <c r="C4" s="77"/>
      <c r="D4" s="78" t="s">
        <v>288</v>
      </c>
      <c r="E4" s="79">
        <v>0.75</v>
      </c>
      <c r="F4" s="79">
        <v>0.25</v>
      </c>
      <c r="G4" s="79">
        <v>3</v>
      </c>
      <c r="H4" s="79">
        <v>2</v>
      </c>
      <c r="I4" s="79">
        <v>0.75</v>
      </c>
      <c r="J4" s="79">
        <v>-3</v>
      </c>
      <c r="K4" s="79">
        <v>-4</v>
      </c>
      <c r="L4" s="79">
        <v>20</v>
      </c>
      <c r="M4" s="79">
        <v>10</v>
      </c>
      <c r="N4" s="79">
        <v>5</v>
      </c>
      <c r="O4" s="79">
        <v>3</v>
      </c>
      <c r="P4" s="79">
        <v>5</v>
      </c>
      <c r="Q4" s="79">
        <v>7</v>
      </c>
      <c r="R4" s="79">
        <v>3</v>
      </c>
      <c r="S4" s="79">
        <v>3</v>
      </c>
      <c r="T4" s="79">
        <v>3</v>
      </c>
      <c r="U4" s="79">
        <v>8.25</v>
      </c>
      <c r="V4" s="79">
        <v>16</v>
      </c>
      <c r="W4" s="80" t="s">
        <v>287</v>
      </c>
      <c r="X4" s="81" t="s">
        <v>267</v>
      </c>
    </row>
    <row r="5" spans="1:24" ht="16.5">
      <c r="A5" s="82">
        <v>1</v>
      </c>
      <c r="B5" s="83"/>
      <c r="C5" s="84" t="s">
        <v>8</v>
      </c>
      <c r="D5" s="85">
        <v>27.25</v>
      </c>
      <c r="E5" s="51">
        <v>1.5</v>
      </c>
      <c r="F5" s="51">
        <v>0.75</v>
      </c>
      <c r="G5" s="51">
        <v>0</v>
      </c>
      <c r="H5" s="51">
        <v>2</v>
      </c>
      <c r="I5" s="51">
        <v>0</v>
      </c>
      <c r="J5" s="51">
        <v>0</v>
      </c>
      <c r="K5" s="51">
        <v>0</v>
      </c>
      <c r="L5" s="37">
        <v>0</v>
      </c>
      <c r="M5" s="37">
        <v>0</v>
      </c>
      <c r="N5" s="51">
        <v>5</v>
      </c>
      <c r="O5" s="51">
        <v>3</v>
      </c>
      <c r="P5" s="51">
        <v>5</v>
      </c>
      <c r="Q5" s="51">
        <v>7</v>
      </c>
      <c r="R5" s="51">
        <v>3</v>
      </c>
      <c r="S5" s="51">
        <v>0</v>
      </c>
      <c r="T5" s="51">
        <v>0</v>
      </c>
      <c r="U5" s="51">
        <v>0</v>
      </c>
      <c r="V5" s="51">
        <v>0</v>
      </c>
      <c r="W5" s="51">
        <v>27.25</v>
      </c>
      <c r="X5" s="86">
        <v>1</v>
      </c>
    </row>
    <row r="6" spans="1:24" ht="16.5">
      <c r="A6" s="34">
        <v>2</v>
      </c>
      <c r="C6" s="88" t="s">
        <v>290</v>
      </c>
      <c r="D6" s="85">
        <v>13.5</v>
      </c>
      <c r="E6" s="51">
        <v>5.25</v>
      </c>
      <c r="F6" s="51">
        <v>3.5</v>
      </c>
      <c r="G6" s="51">
        <v>0</v>
      </c>
      <c r="H6" s="51">
        <v>4</v>
      </c>
      <c r="I6" s="89">
        <v>0.75</v>
      </c>
      <c r="J6" s="51">
        <v>0</v>
      </c>
      <c r="K6" s="51">
        <v>0</v>
      </c>
      <c r="L6" s="37">
        <v>0</v>
      </c>
      <c r="M6" s="37">
        <v>0</v>
      </c>
      <c r="N6" s="89">
        <v>0</v>
      </c>
      <c r="O6" s="89">
        <v>0</v>
      </c>
      <c r="P6" s="89">
        <v>0</v>
      </c>
      <c r="Q6" s="89">
        <v>0</v>
      </c>
      <c r="R6" s="89">
        <v>0</v>
      </c>
      <c r="S6" s="89">
        <v>0</v>
      </c>
      <c r="T6" s="89">
        <v>0</v>
      </c>
      <c r="U6" s="89">
        <v>0</v>
      </c>
      <c r="V6" s="89">
        <v>0</v>
      </c>
      <c r="W6" s="51">
        <v>13.5</v>
      </c>
      <c r="X6" s="86">
        <v>1</v>
      </c>
    </row>
    <row r="7" spans="1:24" ht="16.5">
      <c r="A7" s="82">
        <v>3</v>
      </c>
      <c r="B7" s="83"/>
      <c r="C7" s="90" t="s">
        <v>10</v>
      </c>
      <c r="D7" s="85">
        <v>6.75</v>
      </c>
      <c r="E7" s="37">
        <v>0.75</v>
      </c>
      <c r="F7" s="37">
        <v>1</v>
      </c>
      <c r="G7" s="37">
        <v>0</v>
      </c>
      <c r="H7" s="37">
        <v>2</v>
      </c>
      <c r="I7" s="37">
        <v>0</v>
      </c>
      <c r="J7" s="37">
        <v>0</v>
      </c>
      <c r="K7" s="37">
        <v>0</v>
      </c>
      <c r="L7" s="37">
        <v>0</v>
      </c>
      <c r="M7" s="37">
        <v>0</v>
      </c>
      <c r="N7" s="37">
        <v>0</v>
      </c>
      <c r="O7" s="37">
        <v>0</v>
      </c>
      <c r="P7" s="37">
        <v>0</v>
      </c>
      <c r="Q7" s="37">
        <v>0</v>
      </c>
      <c r="R7" s="37">
        <v>0</v>
      </c>
      <c r="S7" s="37">
        <v>0</v>
      </c>
      <c r="T7" s="37">
        <v>3</v>
      </c>
      <c r="U7" s="37">
        <v>0</v>
      </c>
      <c r="V7" s="37">
        <v>0</v>
      </c>
      <c r="W7" s="51">
        <v>6.75</v>
      </c>
      <c r="X7" s="86">
        <v>1</v>
      </c>
    </row>
    <row r="8" spans="1:24" ht="16.5">
      <c r="A8" s="34">
        <v>4</v>
      </c>
      <c r="C8" s="88" t="s">
        <v>12</v>
      </c>
      <c r="D8" s="85">
        <v>6.25</v>
      </c>
      <c r="E8" s="51">
        <v>0.75</v>
      </c>
      <c r="F8" s="51">
        <v>2.5</v>
      </c>
      <c r="G8" s="51">
        <v>0</v>
      </c>
      <c r="H8" s="51">
        <v>0</v>
      </c>
      <c r="I8" s="51">
        <v>0</v>
      </c>
      <c r="J8" s="51">
        <v>0</v>
      </c>
      <c r="K8" s="51">
        <v>0</v>
      </c>
      <c r="L8" s="37">
        <v>0</v>
      </c>
      <c r="M8" s="37">
        <v>0</v>
      </c>
      <c r="N8" s="51">
        <v>0</v>
      </c>
      <c r="O8" s="51">
        <v>0</v>
      </c>
      <c r="P8" s="51">
        <v>0</v>
      </c>
      <c r="Q8" s="51">
        <v>0</v>
      </c>
      <c r="R8" s="51">
        <v>0</v>
      </c>
      <c r="S8" s="51">
        <v>3</v>
      </c>
      <c r="T8" s="51">
        <v>0</v>
      </c>
      <c r="U8" s="51">
        <v>0</v>
      </c>
      <c r="V8" s="51">
        <v>0</v>
      </c>
      <c r="W8" s="51">
        <v>6.25</v>
      </c>
      <c r="X8" s="86">
        <v>1</v>
      </c>
    </row>
    <row r="9" spans="1:24" ht="16.5">
      <c r="A9" s="82">
        <v>5</v>
      </c>
      <c r="B9" s="83"/>
      <c r="C9" s="84" t="s">
        <v>53</v>
      </c>
      <c r="D9" s="85">
        <v>3.5</v>
      </c>
      <c r="E9" s="51">
        <v>3</v>
      </c>
      <c r="F9" s="51">
        <v>0.5</v>
      </c>
      <c r="G9" s="51">
        <v>0</v>
      </c>
      <c r="H9" s="51">
        <v>0</v>
      </c>
      <c r="I9" s="51">
        <v>0</v>
      </c>
      <c r="J9" s="51">
        <v>0</v>
      </c>
      <c r="K9" s="51">
        <v>0</v>
      </c>
      <c r="L9" s="37">
        <v>0</v>
      </c>
      <c r="M9" s="37">
        <v>0</v>
      </c>
      <c r="N9" s="51">
        <v>0</v>
      </c>
      <c r="O9" s="51">
        <v>0</v>
      </c>
      <c r="P9" s="51">
        <v>0</v>
      </c>
      <c r="Q9" s="51">
        <v>0</v>
      </c>
      <c r="R9" s="51">
        <v>0</v>
      </c>
      <c r="S9" s="51">
        <v>0</v>
      </c>
      <c r="T9" s="51">
        <v>0</v>
      </c>
      <c r="U9" s="51">
        <v>0</v>
      </c>
      <c r="V9" s="51">
        <v>0</v>
      </c>
      <c r="W9" s="51">
        <v>3.5</v>
      </c>
      <c r="X9" s="86">
        <v>1</v>
      </c>
    </row>
    <row r="10" spans="1:24" ht="16.5">
      <c r="A10" s="67">
        <v>6</v>
      </c>
      <c r="B10" s="68"/>
      <c r="C10" s="88" t="s">
        <v>52</v>
      </c>
      <c r="D10" s="85">
        <v>2.25</v>
      </c>
      <c r="E10" s="51">
        <v>1.5</v>
      </c>
      <c r="F10" s="51">
        <v>0.75</v>
      </c>
      <c r="G10" s="51">
        <v>0</v>
      </c>
      <c r="H10" s="51">
        <v>0</v>
      </c>
      <c r="I10" s="51">
        <v>0</v>
      </c>
      <c r="J10" s="51">
        <v>0</v>
      </c>
      <c r="K10" s="51">
        <v>0</v>
      </c>
      <c r="L10" s="37">
        <v>0</v>
      </c>
      <c r="M10" s="37">
        <v>0</v>
      </c>
      <c r="N10" s="51">
        <v>0</v>
      </c>
      <c r="O10" s="51">
        <v>0</v>
      </c>
      <c r="P10" s="51">
        <v>0</v>
      </c>
      <c r="Q10" s="51">
        <v>0</v>
      </c>
      <c r="R10" s="51">
        <v>0</v>
      </c>
      <c r="S10" s="51">
        <v>0</v>
      </c>
      <c r="T10" s="51">
        <v>0</v>
      </c>
      <c r="U10" s="51">
        <v>0</v>
      </c>
      <c r="V10" s="51">
        <v>0</v>
      </c>
      <c r="W10" s="51">
        <v>2.25</v>
      </c>
      <c r="X10" s="86">
        <v>1</v>
      </c>
    </row>
    <row r="11" spans="1:24" ht="16.5">
      <c r="A11" s="82">
        <v>7</v>
      </c>
      <c r="B11" s="83"/>
      <c r="C11" s="84" t="s">
        <v>114</v>
      </c>
      <c r="D11" s="85">
        <v>0.75</v>
      </c>
      <c r="E11" s="51">
        <v>0.75</v>
      </c>
      <c r="F11" s="51">
        <v>0</v>
      </c>
      <c r="G11" s="51">
        <v>0</v>
      </c>
      <c r="H11" s="51">
        <v>0</v>
      </c>
      <c r="I11" s="51">
        <v>0</v>
      </c>
      <c r="J11" s="51">
        <v>0</v>
      </c>
      <c r="K11" s="51">
        <v>0</v>
      </c>
      <c r="L11" s="37">
        <v>0</v>
      </c>
      <c r="M11" s="37">
        <v>0</v>
      </c>
      <c r="N11" s="51">
        <v>0</v>
      </c>
      <c r="O11" s="51">
        <v>0</v>
      </c>
      <c r="P11" s="51">
        <v>0</v>
      </c>
      <c r="Q11" s="51">
        <v>0</v>
      </c>
      <c r="R11" s="51">
        <v>0</v>
      </c>
      <c r="S11" s="51">
        <v>0</v>
      </c>
      <c r="T11" s="51">
        <v>0</v>
      </c>
      <c r="U11" s="51">
        <v>0</v>
      </c>
      <c r="V11" s="51">
        <v>0</v>
      </c>
      <c r="W11" s="51">
        <v>0.75</v>
      </c>
      <c r="X11" s="86">
        <v>1</v>
      </c>
    </row>
    <row r="12" spans="1:24" ht="17.25" thickBot="1">
      <c r="A12" s="75">
        <v>8</v>
      </c>
      <c r="B12" s="76"/>
      <c r="C12" s="91" t="s">
        <v>289</v>
      </c>
      <c r="D12" s="92">
        <v>-1</v>
      </c>
      <c r="E12" s="52">
        <v>0</v>
      </c>
      <c r="F12" s="52">
        <v>1</v>
      </c>
      <c r="G12" s="52">
        <v>0</v>
      </c>
      <c r="H12" s="52">
        <v>4</v>
      </c>
      <c r="I12" s="52">
        <v>0</v>
      </c>
      <c r="J12" s="52">
        <v>-6</v>
      </c>
      <c r="K12" s="52">
        <v>0</v>
      </c>
      <c r="L12" s="93">
        <v>0</v>
      </c>
      <c r="M12" s="93">
        <v>0</v>
      </c>
      <c r="N12" s="52">
        <v>0</v>
      </c>
      <c r="O12" s="52">
        <v>0</v>
      </c>
      <c r="P12" s="52">
        <v>0</v>
      </c>
      <c r="Q12" s="52">
        <v>0</v>
      </c>
      <c r="R12" s="52">
        <v>0</v>
      </c>
      <c r="S12" s="52">
        <v>0</v>
      </c>
      <c r="T12" s="52">
        <v>0</v>
      </c>
      <c r="U12" s="52">
        <v>0</v>
      </c>
      <c r="V12" s="52">
        <v>0</v>
      </c>
      <c r="W12" s="52">
        <v>-1</v>
      </c>
      <c r="X12" s="94">
        <v>1</v>
      </c>
    </row>
    <row r="13" spans="1:24" ht="15.75">
      <c r="A13" s="67"/>
      <c r="B13" s="68"/>
      <c r="C13" s="71"/>
      <c r="D13" s="95"/>
      <c r="E13" s="31"/>
      <c r="F13" s="31"/>
      <c r="G13" s="31"/>
      <c r="H13" s="32"/>
      <c r="I13" s="32"/>
      <c r="J13" s="31"/>
      <c r="K13" s="31"/>
      <c r="L13" s="31"/>
      <c r="M13" s="31"/>
      <c r="N13" s="31"/>
      <c r="O13" s="31"/>
      <c r="P13" s="31"/>
      <c r="Q13" s="31"/>
      <c r="R13" s="31"/>
      <c r="S13" s="31"/>
      <c r="T13" s="31"/>
      <c r="U13" s="31"/>
      <c r="V13" s="31"/>
      <c r="W13" s="33"/>
      <c r="X13" s="29"/>
    </row>
    <row r="14" spans="1:24" ht="15.75">
      <c r="A14" s="67"/>
      <c r="B14" s="68"/>
      <c r="C14" s="71"/>
      <c r="D14" s="633" t="s">
        <v>323</v>
      </c>
      <c r="E14" s="634"/>
      <c r="F14" s="634"/>
      <c r="G14" s="634"/>
      <c r="H14" s="634"/>
      <c r="I14" s="634"/>
      <c r="J14" s="634"/>
      <c r="K14" s="634"/>
      <c r="L14" s="634"/>
      <c r="M14" s="634"/>
      <c r="N14" s="634"/>
      <c r="O14" s="634"/>
      <c r="P14" s="634"/>
      <c r="Q14" s="634"/>
      <c r="R14" s="634"/>
      <c r="S14" s="634"/>
      <c r="T14" s="634"/>
      <c r="U14" s="634"/>
      <c r="V14" s="634"/>
      <c r="W14" s="634"/>
      <c r="X14" s="634"/>
    </row>
    <row r="15" spans="1:24" ht="15.75">
      <c r="A15" s="67"/>
      <c r="B15" s="68"/>
      <c r="C15" s="71"/>
      <c r="D15" s="634"/>
      <c r="E15" s="634"/>
      <c r="F15" s="634"/>
      <c r="G15" s="634"/>
      <c r="H15" s="634"/>
      <c r="I15" s="634"/>
      <c r="J15" s="634"/>
      <c r="K15" s="634"/>
      <c r="L15" s="634"/>
      <c r="M15" s="634"/>
      <c r="N15" s="634"/>
      <c r="O15" s="634"/>
      <c r="P15" s="634"/>
      <c r="Q15" s="634"/>
      <c r="R15" s="634"/>
      <c r="S15" s="634"/>
      <c r="T15" s="634"/>
      <c r="U15" s="634"/>
      <c r="V15" s="634"/>
      <c r="W15" s="634"/>
      <c r="X15" s="634"/>
    </row>
    <row r="16" spans="1:24" ht="15.75">
      <c r="A16" s="67"/>
      <c r="B16" s="68"/>
      <c r="C16" s="71"/>
      <c r="D16" s="72" t="s">
        <v>286</v>
      </c>
      <c r="E16" s="30">
        <v>1</v>
      </c>
      <c r="F16" s="30">
        <v>2</v>
      </c>
      <c r="G16" s="30">
        <v>3</v>
      </c>
      <c r="H16" s="30">
        <v>4</v>
      </c>
      <c r="I16" s="30">
        <v>5</v>
      </c>
      <c r="J16" s="30">
        <v>6</v>
      </c>
      <c r="K16" s="30">
        <v>7</v>
      </c>
      <c r="L16" s="30">
        <v>8</v>
      </c>
      <c r="M16" s="30">
        <v>9</v>
      </c>
      <c r="N16" s="30">
        <v>10</v>
      </c>
      <c r="O16" s="30">
        <v>11</v>
      </c>
      <c r="P16" s="30">
        <v>12</v>
      </c>
      <c r="Q16" s="30">
        <v>13</v>
      </c>
      <c r="R16" s="30">
        <v>14</v>
      </c>
      <c r="S16" s="30">
        <v>15</v>
      </c>
      <c r="T16" s="30">
        <v>16</v>
      </c>
      <c r="U16" s="30">
        <v>17</v>
      </c>
      <c r="V16" s="30">
        <v>18</v>
      </c>
      <c r="W16" s="73" t="s">
        <v>267</v>
      </c>
      <c r="X16" s="74"/>
    </row>
    <row r="17" spans="1:24" ht="16.5" thickBot="1">
      <c r="A17" s="75"/>
      <c r="B17" s="76"/>
      <c r="C17" s="77"/>
      <c r="D17" s="78" t="s">
        <v>288</v>
      </c>
      <c r="E17" s="79">
        <v>0.75</v>
      </c>
      <c r="F17" s="79">
        <v>0.25</v>
      </c>
      <c r="G17" s="79">
        <v>3</v>
      </c>
      <c r="H17" s="79">
        <v>2</v>
      </c>
      <c r="I17" s="79">
        <v>0.75</v>
      </c>
      <c r="J17" s="79">
        <v>-3</v>
      </c>
      <c r="K17" s="79">
        <v>-4</v>
      </c>
      <c r="L17" s="79">
        <v>20</v>
      </c>
      <c r="M17" s="79">
        <v>10</v>
      </c>
      <c r="N17" s="79">
        <v>5</v>
      </c>
      <c r="O17" s="79">
        <v>3</v>
      </c>
      <c r="P17" s="79">
        <v>5</v>
      </c>
      <c r="Q17" s="79">
        <v>7</v>
      </c>
      <c r="R17" s="79">
        <v>3</v>
      </c>
      <c r="S17" s="79">
        <v>3</v>
      </c>
      <c r="T17" s="79">
        <v>3</v>
      </c>
      <c r="U17" s="79">
        <v>8.25</v>
      </c>
      <c r="V17" s="79">
        <v>16</v>
      </c>
      <c r="W17" s="80" t="s">
        <v>287</v>
      </c>
      <c r="X17" s="81" t="s">
        <v>267</v>
      </c>
    </row>
    <row r="18" spans="1:24" ht="19.5">
      <c r="A18" s="82">
        <v>1</v>
      </c>
      <c r="B18" s="96">
        <v>4</v>
      </c>
      <c r="C18" s="97" t="s">
        <v>8</v>
      </c>
      <c r="D18" s="85">
        <f>W5+W18</f>
        <v>39.5</v>
      </c>
      <c r="E18" s="51">
        <v>1.5</v>
      </c>
      <c r="F18" s="51">
        <v>0.75</v>
      </c>
      <c r="G18" s="51">
        <v>0</v>
      </c>
      <c r="H18" s="51">
        <v>2</v>
      </c>
      <c r="I18" s="51">
        <v>0</v>
      </c>
      <c r="J18" s="51">
        <v>0</v>
      </c>
      <c r="K18" s="51">
        <v>0</v>
      </c>
      <c r="L18" s="51">
        <v>0</v>
      </c>
      <c r="M18" s="51">
        <v>0</v>
      </c>
      <c r="N18" s="51">
        <v>0</v>
      </c>
      <c r="O18" s="51">
        <v>0</v>
      </c>
      <c r="P18" s="51">
        <v>5</v>
      </c>
      <c r="Q18" s="51">
        <v>0</v>
      </c>
      <c r="R18" s="51">
        <v>3</v>
      </c>
      <c r="S18" s="51">
        <v>0</v>
      </c>
      <c r="T18" s="51">
        <v>0</v>
      </c>
      <c r="U18" s="51">
        <v>0</v>
      </c>
      <c r="V18" s="51">
        <v>0</v>
      </c>
      <c r="W18" s="51">
        <f>SUM(E18:V18)</f>
        <v>12.25</v>
      </c>
      <c r="X18" s="86">
        <v>2</v>
      </c>
    </row>
    <row r="19" spans="1:24" ht="19.5">
      <c r="A19" s="34">
        <v>2</v>
      </c>
      <c r="B19" s="98">
        <v>4</v>
      </c>
      <c r="C19" s="99" t="s">
        <v>290</v>
      </c>
      <c r="D19" s="85">
        <f aca="true" t="shared" si="0" ref="D19:D25">W6+W19</f>
        <v>36.5</v>
      </c>
      <c r="E19" s="51">
        <v>6.75</v>
      </c>
      <c r="F19" s="51">
        <v>4.5</v>
      </c>
      <c r="G19" s="51">
        <v>0</v>
      </c>
      <c r="H19" s="51">
        <v>4</v>
      </c>
      <c r="I19" s="51">
        <v>0.75</v>
      </c>
      <c r="J19" s="51">
        <v>0</v>
      </c>
      <c r="K19" s="51">
        <v>0</v>
      </c>
      <c r="L19" s="51">
        <v>0</v>
      </c>
      <c r="M19" s="51">
        <v>0</v>
      </c>
      <c r="N19" s="51">
        <v>0</v>
      </c>
      <c r="O19" s="51">
        <v>0</v>
      </c>
      <c r="P19" s="51">
        <v>0</v>
      </c>
      <c r="Q19" s="51">
        <v>7</v>
      </c>
      <c r="R19" s="51">
        <v>0</v>
      </c>
      <c r="S19" s="51">
        <v>0</v>
      </c>
      <c r="T19" s="51">
        <v>0</v>
      </c>
      <c r="U19" s="51">
        <v>0</v>
      </c>
      <c r="V19" s="51">
        <v>0</v>
      </c>
      <c r="W19" s="51">
        <f aca="true" t="shared" si="1" ref="W19:W25">SUM(E19:V19)</f>
        <v>23</v>
      </c>
      <c r="X19" s="86">
        <v>2</v>
      </c>
    </row>
    <row r="20" spans="1:24" ht="19.5">
      <c r="A20" s="82">
        <v>3</v>
      </c>
      <c r="B20" s="535">
        <v>5</v>
      </c>
      <c r="C20" s="97" t="s">
        <v>12</v>
      </c>
      <c r="D20" s="85">
        <f t="shared" si="0"/>
        <v>22.75</v>
      </c>
      <c r="E20" s="51">
        <v>1.5</v>
      </c>
      <c r="F20" s="51">
        <v>2.5</v>
      </c>
      <c r="G20" s="51">
        <v>3</v>
      </c>
      <c r="H20" s="51">
        <v>0</v>
      </c>
      <c r="I20" s="51">
        <v>0</v>
      </c>
      <c r="J20" s="51">
        <v>0</v>
      </c>
      <c r="K20" s="51">
        <v>0</v>
      </c>
      <c r="L20" s="51">
        <v>0</v>
      </c>
      <c r="M20" s="51">
        <v>0</v>
      </c>
      <c r="N20" s="51">
        <v>0</v>
      </c>
      <c r="O20" s="51">
        <v>3</v>
      </c>
      <c r="P20" s="51">
        <v>0</v>
      </c>
      <c r="Q20" s="51">
        <v>0</v>
      </c>
      <c r="R20" s="51">
        <v>0</v>
      </c>
      <c r="S20" s="51">
        <v>3</v>
      </c>
      <c r="T20" s="51">
        <v>3</v>
      </c>
      <c r="U20" s="51">
        <v>0</v>
      </c>
      <c r="V20" s="51">
        <v>0</v>
      </c>
      <c r="W20" s="51">
        <f t="shared" si="1"/>
        <v>16</v>
      </c>
      <c r="X20" s="86">
        <v>2</v>
      </c>
    </row>
    <row r="21" spans="1:24" ht="19.5">
      <c r="A21" s="34">
        <v>4</v>
      </c>
      <c r="B21" s="536">
        <v>5</v>
      </c>
      <c r="C21" s="99" t="s">
        <v>53</v>
      </c>
      <c r="D21" s="85">
        <f t="shared" si="0"/>
        <v>13.25</v>
      </c>
      <c r="E21" s="51">
        <v>3.75</v>
      </c>
      <c r="F21" s="51">
        <v>0.25</v>
      </c>
      <c r="G21" s="51">
        <v>3</v>
      </c>
      <c r="H21" s="51">
        <v>0</v>
      </c>
      <c r="I21" s="51">
        <v>0</v>
      </c>
      <c r="J21" s="51">
        <v>0</v>
      </c>
      <c r="K21" s="51">
        <v>0</v>
      </c>
      <c r="L21" s="51">
        <v>0</v>
      </c>
      <c r="M21" s="51">
        <v>0</v>
      </c>
      <c r="N21" s="51">
        <v>0</v>
      </c>
      <c r="O21" s="51">
        <v>0</v>
      </c>
      <c r="P21" s="51">
        <v>0</v>
      </c>
      <c r="Q21" s="51">
        <v>0</v>
      </c>
      <c r="R21" s="51">
        <v>0</v>
      </c>
      <c r="S21" s="51">
        <v>0</v>
      </c>
      <c r="T21" s="51">
        <v>0</v>
      </c>
      <c r="U21" s="51">
        <v>0</v>
      </c>
      <c r="V21" s="51">
        <v>0</v>
      </c>
      <c r="W21" s="51">
        <f t="shared" si="1"/>
        <v>7</v>
      </c>
      <c r="X21" s="86">
        <v>2</v>
      </c>
    </row>
    <row r="22" spans="1:24" ht="19.5">
      <c r="A22" s="82">
        <v>5</v>
      </c>
      <c r="B22" s="100">
        <v>6</v>
      </c>
      <c r="C22" s="101" t="s">
        <v>10</v>
      </c>
      <c r="D22" s="85">
        <f t="shared" si="0"/>
        <v>4.5</v>
      </c>
      <c r="E22" s="37">
        <v>0</v>
      </c>
      <c r="F22" s="37">
        <v>1</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51">
        <f t="shared" si="1"/>
        <v>1</v>
      </c>
      <c r="X22" s="86">
        <v>2</v>
      </c>
    </row>
    <row r="23" spans="1:24" ht="19.5">
      <c r="A23" s="67">
        <v>6</v>
      </c>
      <c r="B23" s="102">
        <v>4</v>
      </c>
      <c r="C23" s="99" t="s">
        <v>52</v>
      </c>
      <c r="D23" s="85">
        <f t="shared" si="0"/>
        <v>3.25</v>
      </c>
      <c r="E23" s="51">
        <v>0.75</v>
      </c>
      <c r="F23" s="51">
        <v>0.25</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f t="shared" si="1"/>
        <v>1</v>
      </c>
      <c r="X23" s="86">
        <v>2</v>
      </c>
    </row>
    <row r="24" spans="1:24" ht="19.5">
      <c r="A24" s="82">
        <v>7</v>
      </c>
      <c r="B24" s="96">
        <v>4</v>
      </c>
      <c r="C24" s="97" t="s">
        <v>114</v>
      </c>
      <c r="D24" s="85">
        <f t="shared" si="0"/>
        <v>1.5</v>
      </c>
      <c r="E24" s="51">
        <v>0.75</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f t="shared" si="1"/>
        <v>0.75</v>
      </c>
      <c r="X24" s="86">
        <v>2</v>
      </c>
    </row>
    <row r="25" spans="1:24" ht="20.25" thickBot="1">
      <c r="A25" s="35">
        <v>8</v>
      </c>
      <c r="B25" s="103">
        <v>6</v>
      </c>
      <c r="C25" s="104" t="s">
        <v>289</v>
      </c>
      <c r="D25" s="92">
        <f t="shared" si="0"/>
        <v>0.5</v>
      </c>
      <c r="E25" s="52">
        <v>0</v>
      </c>
      <c r="F25" s="52">
        <v>1.5</v>
      </c>
      <c r="G25" s="52">
        <v>0</v>
      </c>
      <c r="H25" s="52">
        <v>0</v>
      </c>
      <c r="I25" s="52">
        <v>0</v>
      </c>
      <c r="J25" s="52">
        <v>0</v>
      </c>
      <c r="K25" s="52">
        <v>0</v>
      </c>
      <c r="L25" s="52">
        <v>0</v>
      </c>
      <c r="M25" s="52">
        <v>0</v>
      </c>
      <c r="N25" s="52">
        <v>0</v>
      </c>
      <c r="O25" s="52">
        <v>0</v>
      </c>
      <c r="P25" s="52">
        <v>0</v>
      </c>
      <c r="Q25" s="52">
        <v>0</v>
      </c>
      <c r="R25" s="52">
        <v>0</v>
      </c>
      <c r="S25" s="52">
        <v>0</v>
      </c>
      <c r="T25" s="52">
        <v>0</v>
      </c>
      <c r="U25" s="52">
        <v>0</v>
      </c>
      <c r="V25" s="52">
        <v>0</v>
      </c>
      <c r="W25" s="52">
        <f t="shared" si="1"/>
        <v>1.5</v>
      </c>
      <c r="X25" s="94">
        <v>2</v>
      </c>
    </row>
    <row r="26" ht="15.75"/>
    <row r="27" spans="1:24" ht="15.75">
      <c r="A27" s="67"/>
      <c r="B27" s="68"/>
      <c r="C27" s="71"/>
      <c r="D27" s="633" t="s">
        <v>356</v>
      </c>
      <c r="E27" s="634"/>
      <c r="F27" s="634"/>
      <c r="G27" s="634"/>
      <c r="H27" s="634"/>
      <c r="I27" s="634"/>
      <c r="J27" s="634"/>
      <c r="K27" s="634"/>
      <c r="L27" s="634"/>
      <c r="M27" s="634"/>
      <c r="N27" s="634"/>
      <c r="O27" s="634"/>
      <c r="P27" s="634"/>
      <c r="Q27" s="634"/>
      <c r="R27" s="634"/>
      <c r="S27" s="634"/>
      <c r="T27" s="634"/>
      <c r="U27" s="634"/>
      <c r="V27" s="634"/>
      <c r="W27" s="634"/>
      <c r="X27" s="634"/>
    </row>
    <row r="28" spans="1:24" ht="15.75">
      <c r="A28" s="67"/>
      <c r="B28" s="68"/>
      <c r="C28" s="71"/>
      <c r="D28" s="634"/>
      <c r="E28" s="634"/>
      <c r="F28" s="634"/>
      <c r="G28" s="634"/>
      <c r="H28" s="634"/>
      <c r="I28" s="634"/>
      <c r="J28" s="634"/>
      <c r="K28" s="634"/>
      <c r="L28" s="634"/>
      <c r="M28" s="634"/>
      <c r="N28" s="634"/>
      <c r="O28" s="634"/>
      <c r="P28" s="634"/>
      <c r="Q28" s="634"/>
      <c r="R28" s="634"/>
      <c r="S28" s="634"/>
      <c r="T28" s="634"/>
      <c r="U28" s="634"/>
      <c r="V28" s="634"/>
      <c r="W28" s="634"/>
      <c r="X28" s="634"/>
    </row>
    <row r="29" spans="1:24" ht="15.75">
      <c r="A29" s="67"/>
      <c r="B29" s="68"/>
      <c r="C29" s="71"/>
      <c r="D29" s="72" t="s">
        <v>286</v>
      </c>
      <c r="E29" s="30">
        <v>1</v>
      </c>
      <c r="F29" s="30">
        <v>2</v>
      </c>
      <c r="G29" s="30">
        <v>3</v>
      </c>
      <c r="H29" s="30">
        <v>4</v>
      </c>
      <c r="I29" s="30">
        <v>5</v>
      </c>
      <c r="J29" s="30">
        <v>6</v>
      </c>
      <c r="K29" s="30">
        <v>7</v>
      </c>
      <c r="L29" s="30">
        <v>8</v>
      </c>
      <c r="M29" s="30">
        <v>9</v>
      </c>
      <c r="N29" s="30">
        <v>10</v>
      </c>
      <c r="O29" s="30">
        <v>11</v>
      </c>
      <c r="P29" s="30">
        <v>12</v>
      </c>
      <c r="Q29" s="30">
        <v>13</v>
      </c>
      <c r="R29" s="30">
        <v>14</v>
      </c>
      <c r="S29" s="30">
        <v>15</v>
      </c>
      <c r="T29" s="30">
        <v>16</v>
      </c>
      <c r="U29" s="30">
        <v>17</v>
      </c>
      <c r="V29" s="30">
        <v>18</v>
      </c>
      <c r="W29" s="73" t="s">
        <v>267</v>
      </c>
      <c r="X29" s="74"/>
    </row>
    <row r="30" spans="1:24" ht="16.5" thickBot="1">
      <c r="A30" s="75"/>
      <c r="B30" s="76"/>
      <c r="C30" s="77"/>
      <c r="D30" s="78" t="s">
        <v>288</v>
      </c>
      <c r="E30" s="79">
        <v>0.75</v>
      </c>
      <c r="F30" s="79">
        <v>0.25</v>
      </c>
      <c r="G30" s="79">
        <v>3</v>
      </c>
      <c r="H30" s="79">
        <v>2</v>
      </c>
      <c r="I30" s="79">
        <v>0.75</v>
      </c>
      <c r="J30" s="79">
        <v>-3</v>
      </c>
      <c r="K30" s="79">
        <v>-4</v>
      </c>
      <c r="L30" s="79">
        <v>20</v>
      </c>
      <c r="M30" s="79">
        <v>10</v>
      </c>
      <c r="N30" s="79">
        <v>5</v>
      </c>
      <c r="O30" s="79">
        <v>3</v>
      </c>
      <c r="P30" s="79">
        <v>5</v>
      </c>
      <c r="Q30" s="79">
        <v>7</v>
      </c>
      <c r="R30" s="79">
        <v>3</v>
      </c>
      <c r="S30" s="79">
        <v>3</v>
      </c>
      <c r="T30" s="79">
        <v>3</v>
      </c>
      <c r="U30" s="79">
        <v>8.25</v>
      </c>
      <c r="V30" s="79">
        <v>16</v>
      </c>
      <c r="W30" s="80" t="s">
        <v>287</v>
      </c>
      <c r="X30" s="81" t="s">
        <v>267</v>
      </c>
    </row>
    <row r="31" spans="1:24" ht="19.5">
      <c r="A31" s="82">
        <v>1</v>
      </c>
      <c r="B31" s="535">
        <v>5</v>
      </c>
      <c r="C31" s="84" t="s">
        <v>290</v>
      </c>
      <c r="D31" s="106">
        <v>55.25</v>
      </c>
      <c r="E31" s="51">
        <v>6.75</v>
      </c>
      <c r="F31" s="51">
        <v>4.25</v>
      </c>
      <c r="G31" s="51">
        <v>0</v>
      </c>
      <c r="H31" s="51">
        <v>0</v>
      </c>
      <c r="I31" s="51">
        <v>0.75</v>
      </c>
      <c r="J31" s="51">
        <v>0</v>
      </c>
      <c r="K31" s="51">
        <v>0</v>
      </c>
      <c r="L31" s="51">
        <v>0</v>
      </c>
      <c r="M31" s="51">
        <v>0</v>
      </c>
      <c r="N31" s="51">
        <v>0</v>
      </c>
      <c r="O31" s="51">
        <v>0</v>
      </c>
      <c r="P31" s="51">
        <v>0</v>
      </c>
      <c r="Q31" s="51">
        <v>7</v>
      </c>
      <c r="R31" s="51">
        <v>0</v>
      </c>
      <c r="S31" s="51">
        <v>0</v>
      </c>
      <c r="T31" s="51">
        <v>0</v>
      </c>
      <c r="U31" s="51">
        <v>0</v>
      </c>
      <c r="V31" s="51">
        <v>0</v>
      </c>
      <c r="W31" s="51">
        <f>SUM(E31:V31)</f>
        <v>18.75</v>
      </c>
      <c r="X31" s="86">
        <v>3</v>
      </c>
    </row>
    <row r="32" spans="1:24" ht="19.5">
      <c r="A32" s="34">
        <v>2</v>
      </c>
      <c r="B32" s="107">
        <v>6</v>
      </c>
      <c r="C32" s="99" t="s">
        <v>8</v>
      </c>
      <c r="D32" s="106">
        <v>50</v>
      </c>
      <c r="E32" s="51">
        <v>1.5</v>
      </c>
      <c r="F32" s="51">
        <v>1</v>
      </c>
      <c r="G32" s="51">
        <v>0</v>
      </c>
      <c r="H32" s="51">
        <v>0</v>
      </c>
      <c r="I32" s="51">
        <v>0</v>
      </c>
      <c r="J32" s="51">
        <v>0</v>
      </c>
      <c r="K32" s="51">
        <v>0</v>
      </c>
      <c r="L32" s="51">
        <v>0</v>
      </c>
      <c r="M32" s="51">
        <v>0</v>
      </c>
      <c r="N32" s="51">
        <v>0</v>
      </c>
      <c r="O32" s="51">
        <v>0</v>
      </c>
      <c r="P32" s="51">
        <v>5</v>
      </c>
      <c r="Q32" s="51">
        <v>0</v>
      </c>
      <c r="R32" s="51">
        <v>0</v>
      </c>
      <c r="S32" s="51">
        <v>0</v>
      </c>
      <c r="T32" s="51">
        <v>3</v>
      </c>
      <c r="U32" s="51">
        <v>0</v>
      </c>
      <c r="V32" s="51">
        <v>0</v>
      </c>
      <c r="W32" s="51">
        <f aca="true" t="shared" si="2" ref="W32:W39">SUM(E32:V32)</f>
        <v>10.5</v>
      </c>
      <c r="X32" s="86">
        <v>3</v>
      </c>
    </row>
    <row r="33" spans="1:24" ht="19.5">
      <c r="A33" s="82">
        <v>3</v>
      </c>
      <c r="B33" s="96">
        <v>4</v>
      </c>
      <c r="C33" s="97" t="s">
        <v>12</v>
      </c>
      <c r="D33" s="106">
        <v>36.75</v>
      </c>
      <c r="E33" s="51">
        <v>1.5</v>
      </c>
      <c r="F33" s="51">
        <v>2</v>
      </c>
      <c r="G33" s="51">
        <v>0</v>
      </c>
      <c r="H33" s="51">
        <v>2</v>
      </c>
      <c r="I33" s="51">
        <v>0</v>
      </c>
      <c r="J33" s="51">
        <v>0</v>
      </c>
      <c r="K33" s="51">
        <v>0</v>
      </c>
      <c r="L33" s="51">
        <v>0</v>
      </c>
      <c r="M33" s="51">
        <v>0</v>
      </c>
      <c r="N33" s="51">
        <v>0</v>
      </c>
      <c r="O33" s="51">
        <v>3</v>
      </c>
      <c r="P33" s="51">
        <v>0</v>
      </c>
      <c r="Q33" s="51">
        <v>0</v>
      </c>
      <c r="R33" s="51">
        <v>3</v>
      </c>
      <c r="S33" s="51">
        <v>3</v>
      </c>
      <c r="T33" s="51">
        <v>0</v>
      </c>
      <c r="U33" s="51">
        <v>0</v>
      </c>
      <c r="V33" s="51">
        <v>0</v>
      </c>
      <c r="W33" s="51">
        <f t="shared" si="2"/>
        <v>14.5</v>
      </c>
      <c r="X33" s="86">
        <v>3</v>
      </c>
    </row>
    <row r="34" spans="1:24" ht="19.5">
      <c r="A34" s="34">
        <v>4</v>
      </c>
      <c r="B34" s="102">
        <v>4</v>
      </c>
      <c r="C34" s="99" t="s">
        <v>53</v>
      </c>
      <c r="D34" s="106">
        <v>13.75</v>
      </c>
      <c r="E34" s="51">
        <v>3</v>
      </c>
      <c r="F34" s="51">
        <v>0.25</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f t="shared" si="2"/>
        <v>3.25</v>
      </c>
      <c r="X34" s="86">
        <v>3</v>
      </c>
    </row>
    <row r="35" spans="1:24" ht="19.5">
      <c r="A35" s="82">
        <v>5</v>
      </c>
      <c r="B35" s="96">
        <v>4</v>
      </c>
      <c r="C35" s="101" t="s">
        <v>10</v>
      </c>
      <c r="D35" s="106">
        <v>11.5</v>
      </c>
      <c r="E35" s="37">
        <v>0.75</v>
      </c>
      <c r="F35" s="37">
        <v>1</v>
      </c>
      <c r="G35" s="37">
        <v>0</v>
      </c>
      <c r="H35" s="37">
        <v>2</v>
      </c>
      <c r="I35" s="37">
        <v>0</v>
      </c>
      <c r="J35" s="37">
        <v>0</v>
      </c>
      <c r="K35" s="37">
        <v>0</v>
      </c>
      <c r="L35" s="37">
        <v>0</v>
      </c>
      <c r="M35" s="37">
        <v>0</v>
      </c>
      <c r="N35" s="37">
        <v>0</v>
      </c>
      <c r="O35" s="37">
        <v>0</v>
      </c>
      <c r="P35" s="37">
        <v>0</v>
      </c>
      <c r="Q35" s="37">
        <v>0</v>
      </c>
      <c r="R35" s="37">
        <v>0</v>
      </c>
      <c r="S35" s="37">
        <v>0</v>
      </c>
      <c r="T35" s="37">
        <v>0</v>
      </c>
      <c r="U35" s="37">
        <v>0</v>
      </c>
      <c r="V35" s="37">
        <v>0</v>
      </c>
      <c r="W35" s="51">
        <f t="shared" si="2"/>
        <v>3.75</v>
      </c>
      <c r="X35" s="86">
        <v>3</v>
      </c>
    </row>
    <row r="36" spans="1:24" ht="19.5">
      <c r="A36" s="67">
        <v>6</v>
      </c>
      <c r="B36" s="102">
        <v>4</v>
      </c>
      <c r="C36" s="99" t="s">
        <v>52</v>
      </c>
      <c r="D36" s="106">
        <v>8</v>
      </c>
      <c r="E36" s="51">
        <v>1.5</v>
      </c>
      <c r="F36" s="51">
        <v>0.25</v>
      </c>
      <c r="G36" s="51">
        <v>3</v>
      </c>
      <c r="H36" s="51">
        <v>0</v>
      </c>
      <c r="I36" s="51">
        <v>0</v>
      </c>
      <c r="J36" s="51">
        <v>0</v>
      </c>
      <c r="K36" s="51">
        <v>0</v>
      </c>
      <c r="L36" s="51">
        <v>0</v>
      </c>
      <c r="M36" s="51">
        <v>0</v>
      </c>
      <c r="N36" s="51">
        <v>0</v>
      </c>
      <c r="O36" s="51">
        <v>0</v>
      </c>
      <c r="P36" s="51">
        <v>0</v>
      </c>
      <c r="Q36" s="51">
        <v>0</v>
      </c>
      <c r="R36" s="51">
        <v>0</v>
      </c>
      <c r="S36" s="51">
        <v>0</v>
      </c>
      <c r="T36" s="51">
        <v>0</v>
      </c>
      <c r="U36" s="51">
        <v>0</v>
      </c>
      <c r="V36" s="51">
        <v>0</v>
      </c>
      <c r="W36" s="51">
        <f t="shared" si="2"/>
        <v>4.75</v>
      </c>
      <c r="X36" s="86">
        <v>3</v>
      </c>
    </row>
    <row r="37" spans="1:24" ht="19.5">
      <c r="A37" s="82">
        <v>7</v>
      </c>
      <c r="B37" s="535">
        <v>5</v>
      </c>
      <c r="C37" s="97" t="s">
        <v>289</v>
      </c>
      <c r="D37" s="106">
        <v>3.25</v>
      </c>
      <c r="E37" s="51">
        <v>0</v>
      </c>
      <c r="F37" s="51">
        <v>0.75</v>
      </c>
      <c r="G37" s="51">
        <v>0</v>
      </c>
      <c r="H37" s="51">
        <v>2</v>
      </c>
      <c r="I37" s="51">
        <v>0</v>
      </c>
      <c r="J37" s="51">
        <v>0</v>
      </c>
      <c r="K37" s="51">
        <v>0</v>
      </c>
      <c r="L37" s="51">
        <v>0</v>
      </c>
      <c r="M37" s="51">
        <v>0</v>
      </c>
      <c r="N37" s="51">
        <v>0</v>
      </c>
      <c r="O37" s="51">
        <v>0</v>
      </c>
      <c r="P37" s="51">
        <v>0</v>
      </c>
      <c r="Q37" s="51">
        <v>0</v>
      </c>
      <c r="R37" s="51">
        <v>0</v>
      </c>
      <c r="S37" s="51">
        <v>0</v>
      </c>
      <c r="T37" s="51">
        <v>0</v>
      </c>
      <c r="U37" s="51">
        <v>0</v>
      </c>
      <c r="V37" s="51">
        <v>0</v>
      </c>
      <c r="W37" s="51">
        <f t="shared" si="2"/>
        <v>2.75</v>
      </c>
      <c r="X37" s="86">
        <v>3</v>
      </c>
    </row>
    <row r="38" spans="1:24" ht="19.5">
      <c r="A38" s="38">
        <v>8</v>
      </c>
      <c r="B38" s="107">
        <v>6</v>
      </c>
      <c r="C38" s="108" t="s">
        <v>114</v>
      </c>
      <c r="D38" s="106">
        <v>2.25</v>
      </c>
      <c r="E38" s="89">
        <v>0.75</v>
      </c>
      <c r="F38" s="89">
        <v>0</v>
      </c>
      <c r="G38" s="89">
        <v>0</v>
      </c>
      <c r="H38" s="89">
        <v>0</v>
      </c>
      <c r="I38" s="89">
        <v>0</v>
      </c>
      <c r="J38" s="89">
        <v>0</v>
      </c>
      <c r="K38" s="89">
        <v>0</v>
      </c>
      <c r="L38" s="89">
        <v>0</v>
      </c>
      <c r="M38" s="89">
        <v>0</v>
      </c>
      <c r="N38" s="89">
        <v>0</v>
      </c>
      <c r="O38" s="89">
        <v>0</v>
      </c>
      <c r="P38" s="89">
        <v>0</v>
      </c>
      <c r="Q38" s="89">
        <v>0</v>
      </c>
      <c r="R38" s="89">
        <v>0</v>
      </c>
      <c r="S38" s="89">
        <v>0</v>
      </c>
      <c r="T38" s="89">
        <v>0</v>
      </c>
      <c r="U38" s="89">
        <v>0</v>
      </c>
      <c r="V38" s="89">
        <v>0</v>
      </c>
      <c r="W38" s="51">
        <f t="shared" si="2"/>
        <v>0.75</v>
      </c>
      <c r="X38" s="109">
        <v>3</v>
      </c>
    </row>
    <row r="39" spans="1:24" ht="20.25" thickBot="1">
      <c r="A39" s="110">
        <v>9</v>
      </c>
      <c r="B39" s="111"/>
      <c r="C39" s="112" t="s">
        <v>324</v>
      </c>
      <c r="D39" s="113">
        <v>2.25</v>
      </c>
      <c r="E39" s="41">
        <v>0</v>
      </c>
      <c r="F39" s="41">
        <v>0.25</v>
      </c>
      <c r="G39" s="41">
        <v>0</v>
      </c>
      <c r="H39" s="41">
        <v>2</v>
      </c>
      <c r="I39" s="41">
        <v>0</v>
      </c>
      <c r="J39" s="41">
        <v>0</v>
      </c>
      <c r="K39" s="41">
        <v>0</v>
      </c>
      <c r="L39" s="41">
        <v>0</v>
      </c>
      <c r="M39" s="41">
        <v>0</v>
      </c>
      <c r="N39" s="41">
        <v>0</v>
      </c>
      <c r="O39" s="41">
        <v>0</v>
      </c>
      <c r="P39" s="41">
        <v>0</v>
      </c>
      <c r="Q39" s="41">
        <v>0</v>
      </c>
      <c r="R39" s="41">
        <v>0</v>
      </c>
      <c r="S39" s="41">
        <v>0</v>
      </c>
      <c r="T39" s="41">
        <v>0</v>
      </c>
      <c r="U39" s="41">
        <v>0</v>
      </c>
      <c r="V39" s="41">
        <v>0</v>
      </c>
      <c r="W39" s="52">
        <f t="shared" si="2"/>
        <v>2.25</v>
      </c>
      <c r="X39" s="42">
        <v>3</v>
      </c>
    </row>
    <row r="40" spans="1:24" ht="15.75">
      <c r="A40" s="38"/>
      <c r="B40" s="114"/>
      <c r="C40" s="39"/>
      <c r="D40" s="115"/>
      <c r="E40" s="40"/>
      <c r="F40" s="40"/>
      <c r="G40" s="40"/>
      <c r="H40" s="40"/>
      <c r="I40" s="40"/>
      <c r="J40" s="40"/>
      <c r="K40" s="40"/>
      <c r="L40" s="40"/>
      <c r="M40" s="40"/>
      <c r="N40" s="40"/>
      <c r="O40" s="40"/>
      <c r="P40" s="40"/>
      <c r="Q40" s="40"/>
      <c r="R40" s="40"/>
      <c r="S40" s="40"/>
      <c r="T40" s="40"/>
      <c r="U40" s="40"/>
      <c r="V40" s="40"/>
      <c r="W40" s="40"/>
      <c r="X40" s="40"/>
    </row>
    <row r="41" spans="1:24" ht="15.75">
      <c r="A41" s="67"/>
      <c r="B41" s="68"/>
      <c r="C41" s="71"/>
      <c r="D41" s="633" t="s">
        <v>795</v>
      </c>
      <c r="E41" s="634"/>
      <c r="F41" s="634"/>
      <c r="G41" s="634"/>
      <c r="H41" s="634"/>
      <c r="I41" s="634"/>
      <c r="J41" s="634"/>
      <c r="K41" s="634"/>
      <c r="L41" s="634"/>
      <c r="M41" s="634"/>
      <c r="N41" s="634"/>
      <c r="O41" s="634"/>
      <c r="P41" s="634"/>
      <c r="Q41" s="634"/>
      <c r="R41" s="634"/>
      <c r="S41" s="634"/>
      <c r="T41" s="634"/>
      <c r="U41" s="634"/>
      <c r="V41" s="634"/>
      <c r="W41" s="634"/>
      <c r="X41" s="634"/>
    </row>
    <row r="42" spans="1:24" ht="15.75">
      <c r="A42" s="67"/>
      <c r="B42" s="68"/>
      <c r="C42" s="71"/>
      <c r="D42" s="634"/>
      <c r="E42" s="634"/>
      <c r="F42" s="634"/>
      <c r="G42" s="634"/>
      <c r="H42" s="634"/>
      <c r="I42" s="634"/>
      <c r="J42" s="634"/>
      <c r="K42" s="634"/>
      <c r="L42" s="634"/>
      <c r="M42" s="634"/>
      <c r="N42" s="634"/>
      <c r="O42" s="634"/>
      <c r="P42" s="634"/>
      <c r="Q42" s="634"/>
      <c r="R42" s="634"/>
      <c r="S42" s="634"/>
      <c r="T42" s="634"/>
      <c r="U42" s="634"/>
      <c r="V42" s="634"/>
      <c r="W42" s="634"/>
      <c r="X42" s="634"/>
    </row>
    <row r="43" spans="1:24" ht="15.75">
      <c r="A43" s="67"/>
      <c r="B43" s="68"/>
      <c r="C43" s="71"/>
      <c r="D43" s="72" t="s">
        <v>286</v>
      </c>
      <c r="E43" s="30">
        <v>1</v>
      </c>
      <c r="F43" s="30">
        <v>2</v>
      </c>
      <c r="G43" s="30">
        <v>3</v>
      </c>
      <c r="H43" s="30">
        <v>4</v>
      </c>
      <c r="I43" s="30">
        <v>5</v>
      </c>
      <c r="J43" s="30">
        <v>6</v>
      </c>
      <c r="K43" s="30">
        <v>7</v>
      </c>
      <c r="L43" s="30">
        <v>8</v>
      </c>
      <c r="M43" s="30">
        <v>9</v>
      </c>
      <c r="N43" s="30">
        <v>10</v>
      </c>
      <c r="O43" s="30">
        <v>11</v>
      </c>
      <c r="P43" s="30">
        <v>12</v>
      </c>
      <c r="Q43" s="30">
        <v>13</v>
      </c>
      <c r="R43" s="30">
        <v>14</v>
      </c>
      <c r="S43" s="30">
        <v>15</v>
      </c>
      <c r="T43" s="30">
        <v>16</v>
      </c>
      <c r="U43" s="30">
        <v>17</v>
      </c>
      <c r="V43" s="30">
        <v>18</v>
      </c>
      <c r="W43" s="73" t="s">
        <v>267</v>
      </c>
      <c r="X43" s="74"/>
    </row>
    <row r="44" spans="1:24" ht="16.5" thickBot="1">
      <c r="A44" s="75"/>
      <c r="B44" s="76"/>
      <c r="C44" s="77"/>
      <c r="D44" s="78" t="s">
        <v>288</v>
      </c>
      <c r="E44" s="79">
        <v>0.75</v>
      </c>
      <c r="F44" s="79">
        <v>0.25</v>
      </c>
      <c r="G44" s="79">
        <v>3</v>
      </c>
      <c r="H44" s="79">
        <v>2</v>
      </c>
      <c r="I44" s="79">
        <v>0.75</v>
      </c>
      <c r="J44" s="79">
        <v>-3</v>
      </c>
      <c r="K44" s="79">
        <v>-4</v>
      </c>
      <c r="L44" s="79">
        <v>20</v>
      </c>
      <c r="M44" s="79">
        <v>10</v>
      </c>
      <c r="N44" s="79">
        <v>5</v>
      </c>
      <c r="O44" s="79">
        <v>3</v>
      </c>
      <c r="P44" s="79">
        <v>5</v>
      </c>
      <c r="Q44" s="79">
        <v>7</v>
      </c>
      <c r="R44" s="79">
        <v>3</v>
      </c>
      <c r="S44" s="79">
        <v>3</v>
      </c>
      <c r="T44" s="79">
        <v>3</v>
      </c>
      <c r="U44" s="79">
        <v>8.25</v>
      </c>
      <c r="V44" s="79">
        <v>16</v>
      </c>
      <c r="W44" s="80" t="s">
        <v>287</v>
      </c>
      <c r="X44" s="81" t="s">
        <v>267</v>
      </c>
    </row>
    <row r="45" spans="1:24" ht="19.5">
      <c r="A45" s="82">
        <v>1</v>
      </c>
      <c r="B45" s="96">
        <v>4</v>
      </c>
      <c r="C45" s="84" t="s">
        <v>290</v>
      </c>
      <c r="D45" s="106">
        <v>68</v>
      </c>
      <c r="E45" s="51">
        <v>3.75</v>
      </c>
      <c r="F45" s="51">
        <v>6.25</v>
      </c>
      <c r="G45" s="51">
        <v>0</v>
      </c>
      <c r="H45" s="51">
        <v>2</v>
      </c>
      <c r="I45" s="51">
        <v>0.75</v>
      </c>
      <c r="J45" s="51">
        <v>0</v>
      </c>
      <c r="K45" s="51">
        <v>0</v>
      </c>
      <c r="L45" s="51">
        <v>0</v>
      </c>
      <c r="M45" s="51">
        <v>0</v>
      </c>
      <c r="N45" s="51">
        <v>0</v>
      </c>
      <c r="O45" s="51">
        <v>0</v>
      </c>
      <c r="P45" s="51">
        <v>0</v>
      </c>
      <c r="Q45" s="51">
        <v>0</v>
      </c>
      <c r="R45" s="51">
        <v>0</v>
      </c>
      <c r="S45" s="51">
        <v>0</v>
      </c>
      <c r="T45" s="51">
        <v>0</v>
      </c>
      <c r="U45" s="51">
        <v>0</v>
      </c>
      <c r="V45" s="51">
        <v>0</v>
      </c>
      <c r="W45" s="51">
        <f>SUM(E45:V45)</f>
        <v>12.75</v>
      </c>
      <c r="X45" s="86">
        <v>4</v>
      </c>
    </row>
    <row r="46" spans="1:24" ht="19.5">
      <c r="A46" s="34">
        <v>2</v>
      </c>
      <c r="B46" s="102">
        <v>4</v>
      </c>
      <c r="C46" s="99" t="s">
        <v>8</v>
      </c>
      <c r="D46" s="106">
        <v>62.75</v>
      </c>
      <c r="E46" s="51">
        <v>1.5</v>
      </c>
      <c r="F46" s="51">
        <v>1.25</v>
      </c>
      <c r="G46" s="51">
        <v>0</v>
      </c>
      <c r="H46" s="51">
        <v>0</v>
      </c>
      <c r="I46" s="51">
        <v>0</v>
      </c>
      <c r="J46" s="51">
        <v>0</v>
      </c>
      <c r="K46" s="51">
        <v>0</v>
      </c>
      <c r="L46" s="51">
        <v>0</v>
      </c>
      <c r="M46" s="51">
        <v>0</v>
      </c>
      <c r="N46" s="51">
        <v>0</v>
      </c>
      <c r="O46" s="51">
        <v>0</v>
      </c>
      <c r="P46" s="51">
        <v>7</v>
      </c>
      <c r="Q46" s="51">
        <v>0</v>
      </c>
      <c r="R46" s="51">
        <v>0</v>
      </c>
      <c r="S46" s="51">
        <v>0</v>
      </c>
      <c r="T46" s="51">
        <v>3</v>
      </c>
      <c r="U46" s="51">
        <v>0</v>
      </c>
      <c r="V46" s="51">
        <v>0</v>
      </c>
      <c r="W46" s="51">
        <f aca="true" t="shared" si="3" ref="W46:W53">SUM(E46:V46)</f>
        <v>12.75</v>
      </c>
      <c r="X46" s="86">
        <v>4</v>
      </c>
    </row>
    <row r="47" spans="1:24" ht="19.5">
      <c r="A47" s="82">
        <v>3</v>
      </c>
      <c r="B47" s="96">
        <v>4</v>
      </c>
      <c r="C47" s="97" t="s">
        <v>12</v>
      </c>
      <c r="D47" s="106">
        <v>54.75</v>
      </c>
      <c r="E47" s="51">
        <v>1.5</v>
      </c>
      <c r="F47" s="51">
        <v>1.5</v>
      </c>
      <c r="G47" s="51">
        <v>0</v>
      </c>
      <c r="H47" s="51">
        <v>2</v>
      </c>
      <c r="I47" s="51">
        <v>0</v>
      </c>
      <c r="J47" s="51">
        <v>0</v>
      </c>
      <c r="K47" s="51">
        <v>0</v>
      </c>
      <c r="L47" s="51">
        <v>0</v>
      </c>
      <c r="M47" s="51">
        <v>0</v>
      </c>
      <c r="N47" s="51">
        <v>0</v>
      </c>
      <c r="O47" s="51">
        <v>3</v>
      </c>
      <c r="P47" s="51">
        <v>0</v>
      </c>
      <c r="Q47" s="51">
        <v>7</v>
      </c>
      <c r="R47" s="51">
        <v>3</v>
      </c>
      <c r="S47" s="51">
        <v>0</v>
      </c>
      <c r="T47" s="51">
        <v>0</v>
      </c>
      <c r="U47" s="51">
        <v>0</v>
      </c>
      <c r="V47" s="51">
        <v>0</v>
      </c>
      <c r="W47" s="51">
        <f t="shared" si="3"/>
        <v>18</v>
      </c>
      <c r="X47" s="86">
        <v>4</v>
      </c>
    </row>
    <row r="48" spans="1:24" ht="19.5">
      <c r="A48" s="45">
        <v>4</v>
      </c>
      <c r="B48" s="536">
        <v>5</v>
      </c>
      <c r="C48" s="116" t="s">
        <v>10</v>
      </c>
      <c r="D48" s="106">
        <v>18.5</v>
      </c>
      <c r="E48" s="37">
        <v>0.75</v>
      </c>
      <c r="F48" s="37">
        <v>1.25</v>
      </c>
      <c r="G48" s="37">
        <v>0</v>
      </c>
      <c r="H48" s="37">
        <v>2</v>
      </c>
      <c r="I48" s="37">
        <v>0</v>
      </c>
      <c r="J48" s="37">
        <v>0</v>
      </c>
      <c r="K48" s="37">
        <v>0</v>
      </c>
      <c r="L48" s="37">
        <v>0</v>
      </c>
      <c r="M48" s="37">
        <v>0</v>
      </c>
      <c r="N48" s="37">
        <v>0</v>
      </c>
      <c r="O48" s="37">
        <v>0</v>
      </c>
      <c r="P48" s="37">
        <v>0</v>
      </c>
      <c r="Q48" s="37">
        <v>0</v>
      </c>
      <c r="R48" s="37">
        <v>0</v>
      </c>
      <c r="S48" s="37">
        <v>3</v>
      </c>
      <c r="T48" s="37">
        <v>0</v>
      </c>
      <c r="U48" s="37">
        <v>0</v>
      </c>
      <c r="V48" s="37">
        <v>0</v>
      </c>
      <c r="W48" s="51">
        <f>SUM(E48:V48)</f>
        <v>7</v>
      </c>
      <c r="X48" s="86">
        <v>4</v>
      </c>
    </row>
    <row r="49" spans="1:24" ht="19.5">
      <c r="A49" s="82">
        <v>5</v>
      </c>
      <c r="B49" s="100">
        <v>6</v>
      </c>
      <c r="C49" s="97" t="s">
        <v>53</v>
      </c>
      <c r="D49" s="106">
        <v>17</v>
      </c>
      <c r="E49" s="51">
        <v>3</v>
      </c>
      <c r="F49" s="51">
        <v>0.25</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f t="shared" si="3"/>
        <v>3.25</v>
      </c>
      <c r="X49" s="86">
        <v>4</v>
      </c>
    </row>
    <row r="50" spans="1:24" ht="19.5">
      <c r="A50" s="67">
        <v>6</v>
      </c>
      <c r="B50" s="102">
        <v>4</v>
      </c>
      <c r="C50" s="99" t="s">
        <v>52</v>
      </c>
      <c r="D50" s="106">
        <v>8.75</v>
      </c>
      <c r="E50" s="51">
        <v>0.75</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f t="shared" si="3"/>
        <v>0.75</v>
      </c>
      <c r="X50" s="86">
        <v>4</v>
      </c>
    </row>
    <row r="51" spans="1:24" ht="19.5">
      <c r="A51" s="82">
        <v>7</v>
      </c>
      <c r="B51" s="96">
        <v>4</v>
      </c>
      <c r="C51" s="97" t="s">
        <v>289</v>
      </c>
      <c r="D51" s="106">
        <v>3.75</v>
      </c>
      <c r="E51" s="51">
        <v>0</v>
      </c>
      <c r="F51" s="51">
        <v>0.5</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f t="shared" si="3"/>
        <v>0.5</v>
      </c>
      <c r="X51" s="86">
        <v>4</v>
      </c>
    </row>
    <row r="52" spans="1:24" ht="19.5">
      <c r="A52" s="117">
        <v>8</v>
      </c>
      <c r="B52" s="102">
        <v>4</v>
      </c>
      <c r="C52" s="108" t="s">
        <v>324</v>
      </c>
      <c r="D52" s="118">
        <v>2.5</v>
      </c>
      <c r="E52" s="43">
        <v>0</v>
      </c>
      <c r="F52" s="43">
        <v>0.25</v>
      </c>
      <c r="G52" s="43">
        <v>0</v>
      </c>
      <c r="H52" s="43">
        <v>0</v>
      </c>
      <c r="I52" s="43">
        <v>0</v>
      </c>
      <c r="J52" s="43">
        <v>0</v>
      </c>
      <c r="K52" s="43">
        <v>0</v>
      </c>
      <c r="L52" s="43">
        <v>0</v>
      </c>
      <c r="M52" s="43">
        <v>0</v>
      </c>
      <c r="N52" s="43">
        <v>0</v>
      </c>
      <c r="O52" s="43">
        <v>0</v>
      </c>
      <c r="P52" s="43">
        <v>0</v>
      </c>
      <c r="Q52" s="43">
        <v>0</v>
      </c>
      <c r="R52" s="43">
        <v>0</v>
      </c>
      <c r="S52" s="43">
        <v>0</v>
      </c>
      <c r="T52" s="43">
        <v>0</v>
      </c>
      <c r="U52" s="43">
        <v>0</v>
      </c>
      <c r="V52" s="43">
        <v>0</v>
      </c>
      <c r="W52" s="89">
        <f>SUM(E52:V52)</f>
        <v>0.25</v>
      </c>
      <c r="X52" s="44">
        <v>4</v>
      </c>
    </row>
    <row r="53" spans="1:24" ht="20.25" thickBot="1">
      <c r="A53" s="110">
        <v>9</v>
      </c>
      <c r="B53" s="111">
        <v>4</v>
      </c>
      <c r="C53" s="112" t="s">
        <v>114</v>
      </c>
      <c r="D53" s="113">
        <v>2.25</v>
      </c>
      <c r="E53" s="52">
        <v>0</v>
      </c>
      <c r="F53" s="52">
        <v>0</v>
      </c>
      <c r="G53" s="52">
        <v>0</v>
      </c>
      <c r="H53" s="52">
        <v>0</v>
      </c>
      <c r="I53" s="52">
        <v>0</v>
      </c>
      <c r="J53" s="52">
        <v>0</v>
      </c>
      <c r="K53" s="52">
        <v>0</v>
      </c>
      <c r="L53" s="52">
        <v>0</v>
      </c>
      <c r="M53" s="52">
        <v>0</v>
      </c>
      <c r="N53" s="52">
        <v>0</v>
      </c>
      <c r="O53" s="52">
        <v>0</v>
      </c>
      <c r="P53" s="52">
        <v>0</v>
      </c>
      <c r="Q53" s="52">
        <v>0</v>
      </c>
      <c r="R53" s="52">
        <v>0</v>
      </c>
      <c r="S53" s="52">
        <v>0</v>
      </c>
      <c r="T53" s="52">
        <v>0</v>
      </c>
      <c r="U53" s="52">
        <v>0</v>
      </c>
      <c r="V53" s="52">
        <v>0</v>
      </c>
      <c r="W53" s="52">
        <f t="shared" si="3"/>
        <v>0</v>
      </c>
      <c r="X53" s="94">
        <v>4</v>
      </c>
    </row>
    <row r="54" ht="15.75"/>
    <row r="55" spans="1:24" ht="15.75">
      <c r="A55" s="67"/>
      <c r="B55" s="68"/>
      <c r="C55" s="71"/>
      <c r="D55" s="633" t="s">
        <v>796</v>
      </c>
      <c r="E55" s="634"/>
      <c r="F55" s="634"/>
      <c r="G55" s="634"/>
      <c r="H55" s="634"/>
      <c r="I55" s="634"/>
      <c r="J55" s="634"/>
      <c r="K55" s="634"/>
      <c r="L55" s="634"/>
      <c r="M55" s="634"/>
      <c r="N55" s="634"/>
      <c r="O55" s="634"/>
      <c r="P55" s="634"/>
      <c r="Q55" s="634"/>
      <c r="R55" s="634"/>
      <c r="S55" s="634"/>
      <c r="T55" s="634"/>
      <c r="U55" s="634"/>
      <c r="V55" s="634"/>
      <c r="W55" s="634"/>
      <c r="X55" s="634"/>
    </row>
    <row r="56" spans="1:24" ht="15.75">
      <c r="A56" s="67"/>
      <c r="B56" s="68"/>
      <c r="C56" s="71"/>
      <c r="D56" s="634"/>
      <c r="E56" s="634"/>
      <c r="F56" s="634"/>
      <c r="G56" s="634"/>
      <c r="H56" s="634"/>
      <c r="I56" s="634"/>
      <c r="J56" s="634"/>
      <c r="K56" s="634"/>
      <c r="L56" s="634"/>
      <c r="M56" s="634"/>
      <c r="N56" s="634"/>
      <c r="O56" s="634"/>
      <c r="P56" s="634"/>
      <c r="Q56" s="634"/>
      <c r="R56" s="634"/>
      <c r="S56" s="634"/>
      <c r="T56" s="634"/>
      <c r="U56" s="634"/>
      <c r="V56" s="634"/>
      <c r="W56" s="634"/>
      <c r="X56" s="634"/>
    </row>
    <row r="57" spans="1:24" ht="15.75">
      <c r="A57" s="67"/>
      <c r="B57" s="68"/>
      <c r="C57" s="71"/>
      <c r="D57" s="72" t="s">
        <v>286</v>
      </c>
      <c r="E57" s="30">
        <v>1</v>
      </c>
      <c r="F57" s="30">
        <v>2</v>
      </c>
      <c r="G57" s="30">
        <v>3</v>
      </c>
      <c r="H57" s="30">
        <v>4</v>
      </c>
      <c r="I57" s="30">
        <v>5</v>
      </c>
      <c r="J57" s="30">
        <v>6</v>
      </c>
      <c r="K57" s="30">
        <v>7</v>
      </c>
      <c r="L57" s="30">
        <v>8</v>
      </c>
      <c r="M57" s="30">
        <v>9</v>
      </c>
      <c r="N57" s="30">
        <v>10</v>
      </c>
      <c r="O57" s="30">
        <v>11</v>
      </c>
      <c r="P57" s="30">
        <v>12</v>
      </c>
      <c r="Q57" s="30">
        <v>13</v>
      </c>
      <c r="R57" s="30">
        <v>14</v>
      </c>
      <c r="S57" s="30">
        <v>15</v>
      </c>
      <c r="T57" s="30">
        <v>16</v>
      </c>
      <c r="U57" s="30">
        <v>17</v>
      </c>
      <c r="V57" s="30">
        <v>18</v>
      </c>
      <c r="W57" s="73" t="s">
        <v>267</v>
      </c>
      <c r="X57" s="74"/>
    </row>
    <row r="58" spans="1:24" ht="16.5" thickBot="1">
      <c r="A58" s="75"/>
      <c r="B58" s="76"/>
      <c r="C58" s="77"/>
      <c r="D58" s="78" t="s">
        <v>288</v>
      </c>
      <c r="E58" s="79">
        <v>0.75</v>
      </c>
      <c r="F58" s="79">
        <v>0.25</v>
      </c>
      <c r="G58" s="79">
        <v>3</v>
      </c>
      <c r="H58" s="79">
        <v>2</v>
      </c>
      <c r="I58" s="79">
        <v>0.75</v>
      </c>
      <c r="J58" s="79">
        <v>-3</v>
      </c>
      <c r="K58" s="79">
        <v>-4</v>
      </c>
      <c r="L58" s="79">
        <v>20</v>
      </c>
      <c r="M58" s="79">
        <v>10</v>
      </c>
      <c r="N58" s="79">
        <v>5</v>
      </c>
      <c r="O58" s="79">
        <v>3</v>
      </c>
      <c r="P58" s="79">
        <v>5</v>
      </c>
      <c r="Q58" s="79">
        <v>7</v>
      </c>
      <c r="R58" s="79">
        <v>3</v>
      </c>
      <c r="S58" s="79">
        <v>3</v>
      </c>
      <c r="T58" s="79">
        <v>3</v>
      </c>
      <c r="U58" s="79">
        <v>8.25</v>
      </c>
      <c r="V58" s="79">
        <v>16</v>
      </c>
      <c r="W58" s="80" t="s">
        <v>287</v>
      </c>
      <c r="X58" s="81" t="s">
        <v>267</v>
      </c>
    </row>
    <row r="59" spans="1:24" ht="19.5">
      <c r="A59" s="82">
        <v>1</v>
      </c>
      <c r="B59" s="535">
        <v>5</v>
      </c>
      <c r="C59" s="97" t="s">
        <v>12</v>
      </c>
      <c r="D59" s="106">
        <v>92.5</v>
      </c>
      <c r="E59" s="51">
        <v>2.25</v>
      </c>
      <c r="F59" s="51">
        <v>1.5</v>
      </c>
      <c r="G59" s="51">
        <v>3</v>
      </c>
      <c r="H59" s="51">
        <v>0</v>
      </c>
      <c r="I59" s="51">
        <v>0</v>
      </c>
      <c r="J59" s="51">
        <v>0</v>
      </c>
      <c r="K59" s="51">
        <v>0</v>
      </c>
      <c r="L59" s="51">
        <v>0</v>
      </c>
      <c r="M59" s="51">
        <v>10</v>
      </c>
      <c r="N59" s="51">
        <v>0</v>
      </c>
      <c r="O59" s="51">
        <v>3</v>
      </c>
      <c r="P59" s="51">
        <v>5</v>
      </c>
      <c r="Q59" s="51">
        <v>7</v>
      </c>
      <c r="R59" s="51">
        <v>3</v>
      </c>
      <c r="S59" s="51">
        <v>0</v>
      </c>
      <c r="T59" s="51">
        <v>3</v>
      </c>
      <c r="U59" s="51">
        <v>0</v>
      </c>
      <c r="V59" s="51">
        <v>0</v>
      </c>
      <c r="W59" s="51">
        <f aca="true" t="shared" si="4" ref="W59:W68">SUM(E59:V59)</f>
        <v>37.75</v>
      </c>
      <c r="X59" s="86">
        <v>5</v>
      </c>
    </row>
    <row r="60" spans="1:24" ht="19.5">
      <c r="A60" s="45">
        <v>2</v>
      </c>
      <c r="B60" s="119">
        <v>6</v>
      </c>
      <c r="C60" s="120" t="s">
        <v>290</v>
      </c>
      <c r="D60" s="106">
        <v>76.75</v>
      </c>
      <c r="E60" s="51">
        <v>3.75</v>
      </c>
      <c r="F60" s="51">
        <v>2.25</v>
      </c>
      <c r="G60" s="51">
        <v>0</v>
      </c>
      <c r="H60" s="51">
        <v>2</v>
      </c>
      <c r="I60" s="51">
        <v>0.75</v>
      </c>
      <c r="J60" s="51">
        <v>0</v>
      </c>
      <c r="K60" s="51">
        <v>0</v>
      </c>
      <c r="L60" s="51">
        <v>0</v>
      </c>
      <c r="M60" s="51">
        <v>0</v>
      </c>
      <c r="N60" s="51">
        <v>0</v>
      </c>
      <c r="O60" s="51">
        <v>0</v>
      </c>
      <c r="P60" s="51">
        <v>0</v>
      </c>
      <c r="Q60" s="51">
        <v>0</v>
      </c>
      <c r="R60" s="51">
        <v>0</v>
      </c>
      <c r="S60" s="51">
        <v>0</v>
      </c>
      <c r="T60" s="51">
        <v>0</v>
      </c>
      <c r="U60" s="51">
        <v>0</v>
      </c>
      <c r="V60" s="51">
        <v>0</v>
      </c>
      <c r="W60" s="51">
        <f t="shared" si="4"/>
        <v>8.75</v>
      </c>
      <c r="X60" s="86">
        <v>5</v>
      </c>
    </row>
    <row r="61" spans="1:24" ht="19.5">
      <c r="A61" s="82">
        <v>3</v>
      </c>
      <c r="B61" s="100">
        <v>6</v>
      </c>
      <c r="C61" s="97" t="s">
        <v>8</v>
      </c>
      <c r="D61" s="106">
        <v>65</v>
      </c>
      <c r="E61" s="51">
        <v>1.5</v>
      </c>
      <c r="F61" s="51">
        <v>0.75</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f t="shared" si="4"/>
        <v>2.25</v>
      </c>
      <c r="X61" s="86">
        <v>5</v>
      </c>
    </row>
    <row r="62" spans="1:24" ht="19.5">
      <c r="A62" s="45">
        <v>4</v>
      </c>
      <c r="B62" s="102">
        <v>4</v>
      </c>
      <c r="C62" s="116" t="s">
        <v>10</v>
      </c>
      <c r="D62" s="106">
        <v>23</v>
      </c>
      <c r="E62" s="37">
        <v>0.75</v>
      </c>
      <c r="F62" s="37">
        <v>0.75</v>
      </c>
      <c r="G62" s="37">
        <v>0</v>
      </c>
      <c r="H62" s="37">
        <v>0</v>
      </c>
      <c r="I62" s="37">
        <v>0</v>
      </c>
      <c r="J62" s="37">
        <v>0</v>
      </c>
      <c r="K62" s="37">
        <v>0</v>
      </c>
      <c r="L62" s="37">
        <v>0</v>
      </c>
      <c r="M62" s="37">
        <v>0</v>
      </c>
      <c r="N62" s="37">
        <v>0</v>
      </c>
      <c r="O62" s="37">
        <v>0</v>
      </c>
      <c r="P62" s="37">
        <v>0</v>
      </c>
      <c r="Q62" s="37">
        <v>0</v>
      </c>
      <c r="R62" s="37">
        <v>0</v>
      </c>
      <c r="S62" s="37">
        <v>3</v>
      </c>
      <c r="T62" s="37">
        <v>0</v>
      </c>
      <c r="U62" s="37">
        <v>0</v>
      </c>
      <c r="V62" s="37">
        <v>0</v>
      </c>
      <c r="W62" s="51">
        <f t="shared" si="4"/>
        <v>4.5</v>
      </c>
      <c r="X62" s="86">
        <v>5</v>
      </c>
    </row>
    <row r="63" spans="1:24" ht="19.5">
      <c r="A63" s="82">
        <v>5</v>
      </c>
      <c r="B63" s="96">
        <v>4</v>
      </c>
      <c r="C63" s="97" t="s">
        <v>53</v>
      </c>
      <c r="D63" s="106">
        <v>20</v>
      </c>
      <c r="E63" s="51">
        <v>3</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f t="shared" si="4"/>
        <v>3</v>
      </c>
      <c r="X63" s="86">
        <v>5</v>
      </c>
    </row>
    <row r="64" spans="1:24" ht="19.5">
      <c r="A64" s="67">
        <v>6</v>
      </c>
      <c r="B64" s="102">
        <v>4</v>
      </c>
      <c r="C64" s="99" t="s">
        <v>52</v>
      </c>
      <c r="D64" s="106">
        <v>11.5</v>
      </c>
      <c r="E64" s="51">
        <v>0.75</v>
      </c>
      <c r="F64" s="51">
        <v>0</v>
      </c>
      <c r="G64" s="51">
        <v>0</v>
      </c>
      <c r="H64" s="51">
        <v>2</v>
      </c>
      <c r="I64" s="51">
        <v>0</v>
      </c>
      <c r="J64" s="51">
        <v>0</v>
      </c>
      <c r="K64" s="51">
        <v>0</v>
      </c>
      <c r="L64" s="51">
        <v>0</v>
      </c>
      <c r="M64" s="51">
        <v>0</v>
      </c>
      <c r="N64" s="51">
        <v>0</v>
      </c>
      <c r="O64" s="51">
        <v>0</v>
      </c>
      <c r="P64" s="51">
        <v>0</v>
      </c>
      <c r="Q64" s="51">
        <v>0</v>
      </c>
      <c r="R64" s="51">
        <v>0</v>
      </c>
      <c r="S64" s="51">
        <v>0</v>
      </c>
      <c r="T64" s="51">
        <v>0</v>
      </c>
      <c r="U64" s="51">
        <v>0</v>
      </c>
      <c r="V64" s="51">
        <v>0</v>
      </c>
      <c r="W64" s="51">
        <f t="shared" si="4"/>
        <v>2.75</v>
      </c>
      <c r="X64" s="86">
        <v>5</v>
      </c>
    </row>
    <row r="65" spans="1:24" ht="19.5">
      <c r="A65" s="82">
        <v>7</v>
      </c>
      <c r="B65" s="96">
        <v>4</v>
      </c>
      <c r="C65" s="97" t="s">
        <v>289</v>
      </c>
      <c r="D65" s="106">
        <v>4.25</v>
      </c>
      <c r="E65" s="51">
        <v>0</v>
      </c>
      <c r="F65" s="51">
        <v>0.5</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f t="shared" si="4"/>
        <v>0.5</v>
      </c>
      <c r="X65" s="86">
        <v>5</v>
      </c>
    </row>
    <row r="66" spans="1:24" ht="19.5">
      <c r="A66" s="117">
        <v>8</v>
      </c>
      <c r="B66" s="102">
        <v>4</v>
      </c>
      <c r="C66" s="108" t="s">
        <v>324</v>
      </c>
      <c r="D66" s="118">
        <v>2.75</v>
      </c>
      <c r="E66" s="43">
        <v>0</v>
      </c>
      <c r="F66" s="43">
        <v>0.25</v>
      </c>
      <c r="G66" s="43">
        <v>0</v>
      </c>
      <c r="H66" s="43">
        <v>0</v>
      </c>
      <c r="I66" s="43">
        <v>0</v>
      </c>
      <c r="J66" s="43">
        <v>0</v>
      </c>
      <c r="K66" s="43">
        <v>0</v>
      </c>
      <c r="L66" s="43">
        <v>0</v>
      </c>
      <c r="M66" s="43">
        <v>0</v>
      </c>
      <c r="N66" s="43">
        <v>0</v>
      </c>
      <c r="O66" s="43">
        <v>0</v>
      </c>
      <c r="P66" s="43">
        <v>0</v>
      </c>
      <c r="Q66" s="43">
        <v>0</v>
      </c>
      <c r="R66" s="43">
        <v>0</v>
      </c>
      <c r="S66" s="43">
        <v>0</v>
      </c>
      <c r="T66" s="43">
        <v>0</v>
      </c>
      <c r="U66" s="43">
        <v>0</v>
      </c>
      <c r="V66" s="43">
        <v>0</v>
      </c>
      <c r="W66" s="89">
        <f t="shared" si="4"/>
        <v>0.25</v>
      </c>
      <c r="X66" s="44">
        <v>5</v>
      </c>
    </row>
    <row r="67" spans="1:24" ht="19.5">
      <c r="A67" s="121">
        <v>9</v>
      </c>
      <c r="B67" s="96">
        <v>4</v>
      </c>
      <c r="C67" s="122" t="s">
        <v>114</v>
      </c>
      <c r="D67" s="118">
        <v>2.25</v>
      </c>
      <c r="E67" s="89">
        <v>0</v>
      </c>
      <c r="F67" s="89">
        <v>0</v>
      </c>
      <c r="G67" s="89">
        <v>0</v>
      </c>
      <c r="H67" s="89">
        <v>0</v>
      </c>
      <c r="I67" s="89">
        <v>0</v>
      </c>
      <c r="J67" s="89">
        <v>0</v>
      </c>
      <c r="K67" s="89">
        <v>0</v>
      </c>
      <c r="L67" s="89">
        <v>0</v>
      </c>
      <c r="M67" s="89">
        <v>0</v>
      </c>
      <c r="N67" s="89">
        <v>0</v>
      </c>
      <c r="O67" s="89">
        <v>0</v>
      </c>
      <c r="P67" s="89">
        <v>0</v>
      </c>
      <c r="Q67" s="89">
        <v>0</v>
      </c>
      <c r="R67" s="89">
        <v>0</v>
      </c>
      <c r="S67" s="89">
        <v>0</v>
      </c>
      <c r="T67" s="89">
        <v>0</v>
      </c>
      <c r="U67" s="89">
        <v>0</v>
      </c>
      <c r="V67" s="89">
        <v>0</v>
      </c>
      <c r="W67" s="89">
        <f t="shared" si="4"/>
        <v>0</v>
      </c>
      <c r="X67" s="109">
        <v>5</v>
      </c>
    </row>
    <row r="68" spans="1:24" ht="20.25" thickBot="1">
      <c r="A68" s="75">
        <v>10</v>
      </c>
      <c r="B68" s="123"/>
      <c r="C68" s="104" t="s">
        <v>471</v>
      </c>
      <c r="D68" s="113">
        <v>0.75</v>
      </c>
      <c r="E68" s="41">
        <v>0.75</v>
      </c>
      <c r="F68" s="4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52">
        <f t="shared" si="4"/>
        <v>0.75</v>
      </c>
      <c r="X68" s="42">
        <v>5</v>
      </c>
    </row>
    <row r="69" ht="15.75"/>
    <row r="70" spans="1:24" ht="15.75">
      <c r="A70" s="67"/>
      <c r="B70" s="68"/>
      <c r="C70" s="71"/>
      <c r="D70" s="633" t="s">
        <v>797</v>
      </c>
      <c r="E70" s="634"/>
      <c r="F70" s="634"/>
      <c r="G70" s="634"/>
      <c r="H70" s="634"/>
      <c r="I70" s="634"/>
      <c r="J70" s="634"/>
      <c r="K70" s="634"/>
      <c r="L70" s="634"/>
      <c r="M70" s="634"/>
      <c r="N70" s="634"/>
      <c r="O70" s="634"/>
      <c r="P70" s="634"/>
      <c r="Q70" s="634"/>
      <c r="R70" s="634"/>
      <c r="S70" s="634"/>
      <c r="T70" s="634"/>
      <c r="U70" s="634"/>
      <c r="V70" s="634"/>
      <c r="W70" s="634"/>
      <c r="X70" s="634"/>
    </row>
    <row r="71" spans="1:24" ht="15.75">
      <c r="A71" s="67"/>
      <c r="B71" s="68"/>
      <c r="C71" s="71"/>
      <c r="D71" s="634"/>
      <c r="E71" s="634"/>
      <c r="F71" s="634"/>
      <c r="G71" s="634"/>
      <c r="H71" s="634"/>
      <c r="I71" s="634"/>
      <c r="J71" s="634"/>
      <c r="K71" s="634"/>
      <c r="L71" s="634"/>
      <c r="M71" s="634"/>
      <c r="N71" s="634"/>
      <c r="O71" s="634"/>
      <c r="P71" s="634"/>
      <c r="Q71" s="634"/>
      <c r="R71" s="634"/>
      <c r="S71" s="634"/>
      <c r="T71" s="634"/>
      <c r="U71" s="634"/>
      <c r="V71" s="634"/>
      <c r="W71" s="634"/>
      <c r="X71" s="634"/>
    </row>
    <row r="72" spans="1:24" ht="15.75">
      <c r="A72" s="67"/>
      <c r="B72" s="68"/>
      <c r="C72" s="71"/>
      <c r="D72" s="72" t="s">
        <v>286</v>
      </c>
      <c r="E72" s="30">
        <v>1</v>
      </c>
      <c r="F72" s="30">
        <v>2</v>
      </c>
      <c r="G72" s="30">
        <v>3</v>
      </c>
      <c r="H72" s="30">
        <v>4</v>
      </c>
      <c r="I72" s="30">
        <v>5</v>
      </c>
      <c r="J72" s="30">
        <v>6</v>
      </c>
      <c r="K72" s="30">
        <v>7</v>
      </c>
      <c r="L72" s="30">
        <v>8</v>
      </c>
      <c r="M72" s="30">
        <v>9</v>
      </c>
      <c r="N72" s="30">
        <v>10</v>
      </c>
      <c r="O72" s="30">
        <v>11</v>
      </c>
      <c r="P72" s="30">
        <v>12</v>
      </c>
      <c r="Q72" s="30">
        <v>13</v>
      </c>
      <c r="R72" s="30">
        <v>14</v>
      </c>
      <c r="S72" s="30">
        <v>15</v>
      </c>
      <c r="T72" s="30">
        <v>16</v>
      </c>
      <c r="U72" s="30">
        <v>17</v>
      </c>
      <c r="V72" s="30">
        <v>18</v>
      </c>
      <c r="W72" s="73" t="s">
        <v>267</v>
      </c>
      <c r="X72" s="74"/>
    </row>
    <row r="73" spans="1:24" ht="16.5" thickBot="1">
      <c r="A73" s="75"/>
      <c r="B73" s="76"/>
      <c r="C73" s="77"/>
      <c r="D73" s="78" t="s">
        <v>288</v>
      </c>
      <c r="E73" s="79">
        <v>0.75</v>
      </c>
      <c r="F73" s="79">
        <v>0.25</v>
      </c>
      <c r="G73" s="79">
        <v>3</v>
      </c>
      <c r="H73" s="79">
        <v>2</v>
      </c>
      <c r="I73" s="79">
        <v>0.75</v>
      </c>
      <c r="J73" s="79">
        <v>-3</v>
      </c>
      <c r="K73" s="79">
        <v>-4</v>
      </c>
      <c r="L73" s="79">
        <v>20</v>
      </c>
      <c r="M73" s="79">
        <v>10</v>
      </c>
      <c r="N73" s="79">
        <v>5</v>
      </c>
      <c r="O73" s="79">
        <v>3</v>
      </c>
      <c r="P73" s="79">
        <v>5</v>
      </c>
      <c r="Q73" s="79">
        <v>7</v>
      </c>
      <c r="R73" s="79">
        <v>3</v>
      </c>
      <c r="S73" s="79">
        <v>3</v>
      </c>
      <c r="T73" s="79">
        <v>3</v>
      </c>
      <c r="U73" s="79">
        <v>8.25</v>
      </c>
      <c r="V73" s="79">
        <v>16</v>
      </c>
      <c r="W73" s="80" t="s">
        <v>287</v>
      </c>
      <c r="X73" s="81" t="s">
        <v>267</v>
      </c>
    </row>
    <row r="74" spans="1:24" ht="19.5">
      <c r="A74" s="82">
        <v>1</v>
      </c>
      <c r="B74" s="96">
        <v>4</v>
      </c>
      <c r="C74" s="97" t="s">
        <v>12</v>
      </c>
      <c r="D74" s="106">
        <v>118.5</v>
      </c>
      <c r="E74" s="51">
        <v>1.5</v>
      </c>
      <c r="F74" s="51">
        <v>1.5</v>
      </c>
      <c r="G74" s="51">
        <v>0</v>
      </c>
      <c r="H74" s="51">
        <v>2</v>
      </c>
      <c r="I74" s="51">
        <v>0</v>
      </c>
      <c r="J74" s="51">
        <v>0</v>
      </c>
      <c r="K74" s="51">
        <v>0</v>
      </c>
      <c r="L74" s="51">
        <v>0</v>
      </c>
      <c r="M74" s="51">
        <v>10</v>
      </c>
      <c r="N74" s="51">
        <v>0</v>
      </c>
      <c r="O74" s="51">
        <v>3</v>
      </c>
      <c r="P74" s="51">
        <v>5</v>
      </c>
      <c r="Q74" s="51">
        <v>0</v>
      </c>
      <c r="R74" s="51">
        <v>3</v>
      </c>
      <c r="S74" s="51">
        <v>0</v>
      </c>
      <c r="T74" s="51">
        <v>0</v>
      </c>
      <c r="U74" s="51">
        <v>0</v>
      </c>
      <c r="V74" s="51">
        <v>0</v>
      </c>
      <c r="W74" s="51">
        <f aca="true" t="shared" si="5" ref="W74:W83">SUM(E74:V74)</f>
        <v>26</v>
      </c>
      <c r="X74" s="86">
        <v>6</v>
      </c>
    </row>
    <row r="75" spans="1:24" ht="19.5">
      <c r="A75" s="45">
        <v>2</v>
      </c>
      <c r="B75" s="124">
        <v>4</v>
      </c>
      <c r="C75" s="120" t="s">
        <v>290</v>
      </c>
      <c r="D75" s="106">
        <v>85.75</v>
      </c>
      <c r="E75" s="51">
        <v>3.75</v>
      </c>
      <c r="F75" s="51">
        <v>4.5</v>
      </c>
      <c r="G75" s="51">
        <v>0</v>
      </c>
      <c r="H75" s="51">
        <v>0</v>
      </c>
      <c r="I75" s="51">
        <v>0.75</v>
      </c>
      <c r="J75" s="51">
        <v>0</v>
      </c>
      <c r="K75" s="51">
        <v>0</v>
      </c>
      <c r="L75" s="51">
        <v>0</v>
      </c>
      <c r="M75" s="51">
        <v>0</v>
      </c>
      <c r="N75" s="51">
        <v>0</v>
      </c>
      <c r="O75" s="51">
        <v>0</v>
      </c>
      <c r="P75" s="51">
        <v>0</v>
      </c>
      <c r="Q75" s="51">
        <v>0</v>
      </c>
      <c r="R75" s="51">
        <v>0</v>
      </c>
      <c r="S75" s="51">
        <v>0</v>
      </c>
      <c r="T75" s="51">
        <v>0</v>
      </c>
      <c r="U75" s="51">
        <v>0</v>
      </c>
      <c r="V75" s="51">
        <v>0</v>
      </c>
      <c r="W75" s="51">
        <f t="shared" si="5"/>
        <v>9</v>
      </c>
      <c r="X75" s="86">
        <v>6</v>
      </c>
    </row>
    <row r="76" spans="1:24" ht="19.5">
      <c r="A76" s="82">
        <v>3</v>
      </c>
      <c r="B76" s="96">
        <v>4</v>
      </c>
      <c r="C76" s="97" t="s">
        <v>8</v>
      </c>
      <c r="D76" s="106">
        <v>67.25</v>
      </c>
      <c r="E76" s="51">
        <v>1.5</v>
      </c>
      <c r="F76" s="51">
        <v>0.75</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f t="shared" si="5"/>
        <v>2.25</v>
      </c>
      <c r="X76" s="86">
        <v>6</v>
      </c>
    </row>
    <row r="77" spans="1:24" ht="19.5">
      <c r="A77" s="45">
        <v>4</v>
      </c>
      <c r="B77" s="102">
        <v>4</v>
      </c>
      <c r="C77" s="116" t="s">
        <v>10</v>
      </c>
      <c r="D77" s="106">
        <v>40.25</v>
      </c>
      <c r="E77" s="37">
        <v>0.75</v>
      </c>
      <c r="F77" s="37">
        <v>1.5</v>
      </c>
      <c r="G77" s="37">
        <v>0</v>
      </c>
      <c r="H77" s="37">
        <v>2</v>
      </c>
      <c r="I77" s="37">
        <v>0</v>
      </c>
      <c r="J77" s="37">
        <v>0</v>
      </c>
      <c r="K77" s="37">
        <v>0</v>
      </c>
      <c r="L77" s="37">
        <v>0</v>
      </c>
      <c r="M77" s="37">
        <v>0</v>
      </c>
      <c r="N77" s="37">
        <v>0</v>
      </c>
      <c r="O77" s="37">
        <v>0</v>
      </c>
      <c r="P77" s="37">
        <v>0</v>
      </c>
      <c r="Q77" s="37">
        <v>7</v>
      </c>
      <c r="R77" s="37">
        <v>0</v>
      </c>
      <c r="S77" s="37">
        <v>3</v>
      </c>
      <c r="T77" s="37">
        <v>3</v>
      </c>
      <c r="U77" s="37">
        <v>0</v>
      </c>
      <c r="V77" s="37">
        <v>0</v>
      </c>
      <c r="W77" s="51">
        <f t="shared" si="5"/>
        <v>17.25</v>
      </c>
      <c r="X77" s="86">
        <v>6</v>
      </c>
    </row>
    <row r="78" spans="1:24" ht="19.5">
      <c r="A78" s="82">
        <v>5</v>
      </c>
      <c r="B78" s="96">
        <v>4</v>
      </c>
      <c r="C78" s="97" t="s">
        <v>53</v>
      </c>
      <c r="D78" s="106">
        <v>26.25</v>
      </c>
      <c r="E78" s="51">
        <v>3</v>
      </c>
      <c r="F78" s="51">
        <v>0.25</v>
      </c>
      <c r="G78" s="51">
        <v>3</v>
      </c>
      <c r="H78" s="51">
        <v>0</v>
      </c>
      <c r="I78" s="51">
        <v>0</v>
      </c>
      <c r="J78" s="51">
        <v>0</v>
      </c>
      <c r="K78" s="51">
        <v>0</v>
      </c>
      <c r="L78" s="51">
        <v>0</v>
      </c>
      <c r="M78" s="51">
        <v>0</v>
      </c>
      <c r="N78" s="51">
        <v>0</v>
      </c>
      <c r="O78" s="51">
        <v>0</v>
      </c>
      <c r="P78" s="51">
        <v>0</v>
      </c>
      <c r="Q78" s="51">
        <v>0</v>
      </c>
      <c r="R78" s="51">
        <v>0</v>
      </c>
      <c r="S78" s="51">
        <v>0</v>
      </c>
      <c r="T78" s="51">
        <v>0</v>
      </c>
      <c r="U78" s="51">
        <v>0</v>
      </c>
      <c r="V78" s="51">
        <v>0</v>
      </c>
      <c r="W78" s="51">
        <f t="shared" si="5"/>
        <v>6.25</v>
      </c>
      <c r="X78" s="86">
        <v>6</v>
      </c>
    </row>
    <row r="79" spans="1:24" ht="19.5">
      <c r="A79" s="67">
        <v>6</v>
      </c>
      <c r="B79" s="102">
        <v>4</v>
      </c>
      <c r="C79" s="99" t="s">
        <v>52</v>
      </c>
      <c r="D79" s="106">
        <v>16.25</v>
      </c>
      <c r="E79" s="51">
        <v>1.5</v>
      </c>
      <c r="F79" s="51">
        <v>0.25</v>
      </c>
      <c r="G79" s="51">
        <v>3</v>
      </c>
      <c r="H79" s="51">
        <v>0</v>
      </c>
      <c r="I79" s="51">
        <v>0</v>
      </c>
      <c r="J79" s="51">
        <v>0</v>
      </c>
      <c r="K79" s="51">
        <v>0</v>
      </c>
      <c r="L79" s="51">
        <v>0</v>
      </c>
      <c r="M79" s="51">
        <v>0</v>
      </c>
      <c r="N79" s="51">
        <v>0</v>
      </c>
      <c r="O79" s="51">
        <v>0</v>
      </c>
      <c r="P79" s="51">
        <v>0</v>
      </c>
      <c r="Q79" s="51">
        <v>0</v>
      </c>
      <c r="R79" s="51">
        <v>0</v>
      </c>
      <c r="S79" s="51">
        <v>0</v>
      </c>
      <c r="T79" s="51">
        <v>0</v>
      </c>
      <c r="U79" s="51">
        <v>0</v>
      </c>
      <c r="V79" s="51">
        <v>0</v>
      </c>
      <c r="W79" s="51">
        <f t="shared" si="5"/>
        <v>4.75</v>
      </c>
      <c r="X79" s="86">
        <v>6</v>
      </c>
    </row>
    <row r="80" spans="1:24" ht="19.5">
      <c r="A80" s="82">
        <v>7</v>
      </c>
      <c r="B80" s="96">
        <v>4</v>
      </c>
      <c r="C80" s="97" t="s">
        <v>289</v>
      </c>
      <c r="D80" s="106">
        <v>9.25</v>
      </c>
      <c r="E80" s="51">
        <v>0</v>
      </c>
      <c r="F80" s="51">
        <v>1</v>
      </c>
      <c r="G80" s="51">
        <v>0</v>
      </c>
      <c r="H80" s="51">
        <v>4</v>
      </c>
      <c r="I80" s="51">
        <v>0</v>
      </c>
      <c r="J80" s="51">
        <v>0</v>
      </c>
      <c r="K80" s="51">
        <v>0</v>
      </c>
      <c r="L80" s="51">
        <v>0</v>
      </c>
      <c r="M80" s="51">
        <v>0</v>
      </c>
      <c r="N80" s="51">
        <v>0</v>
      </c>
      <c r="O80" s="51">
        <v>0</v>
      </c>
      <c r="P80" s="51">
        <v>0</v>
      </c>
      <c r="Q80" s="51">
        <v>0</v>
      </c>
      <c r="R80" s="51">
        <v>0</v>
      </c>
      <c r="S80" s="51">
        <v>0</v>
      </c>
      <c r="T80" s="51">
        <v>0</v>
      </c>
      <c r="U80" s="51">
        <v>0</v>
      </c>
      <c r="V80" s="51">
        <v>0</v>
      </c>
      <c r="W80" s="51">
        <f t="shared" si="5"/>
        <v>5</v>
      </c>
      <c r="X80" s="86">
        <v>6</v>
      </c>
    </row>
    <row r="81" spans="1:24" ht="19.5">
      <c r="A81" s="117">
        <v>8</v>
      </c>
      <c r="B81" s="102">
        <v>4</v>
      </c>
      <c r="C81" s="108" t="s">
        <v>324</v>
      </c>
      <c r="D81" s="118">
        <v>3</v>
      </c>
      <c r="E81" s="43">
        <v>0</v>
      </c>
      <c r="F81" s="43">
        <v>0.25</v>
      </c>
      <c r="G81" s="43">
        <v>0</v>
      </c>
      <c r="H81" s="43">
        <v>0</v>
      </c>
      <c r="I81" s="43">
        <v>0</v>
      </c>
      <c r="J81" s="43">
        <v>0</v>
      </c>
      <c r="K81" s="43">
        <v>0</v>
      </c>
      <c r="L81" s="43">
        <v>0</v>
      </c>
      <c r="M81" s="43">
        <v>0</v>
      </c>
      <c r="N81" s="43">
        <v>0</v>
      </c>
      <c r="O81" s="43">
        <v>0</v>
      </c>
      <c r="P81" s="43">
        <v>0</v>
      </c>
      <c r="Q81" s="43">
        <v>0</v>
      </c>
      <c r="R81" s="43">
        <v>0</v>
      </c>
      <c r="S81" s="43">
        <v>0</v>
      </c>
      <c r="T81" s="43">
        <v>0</v>
      </c>
      <c r="U81" s="43">
        <v>0</v>
      </c>
      <c r="V81" s="43">
        <v>0</v>
      </c>
      <c r="W81" s="89">
        <f t="shared" si="5"/>
        <v>0.25</v>
      </c>
      <c r="X81" s="44">
        <v>6</v>
      </c>
    </row>
    <row r="82" spans="1:24" ht="19.5">
      <c r="A82" s="121">
        <v>9</v>
      </c>
      <c r="B82" s="96">
        <v>4</v>
      </c>
      <c r="C82" s="122" t="s">
        <v>114</v>
      </c>
      <c r="D82" s="118">
        <v>2.25</v>
      </c>
      <c r="E82" s="89">
        <v>0</v>
      </c>
      <c r="F82" s="89">
        <v>0</v>
      </c>
      <c r="G82" s="89">
        <v>0</v>
      </c>
      <c r="H82" s="89">
        <v>0</v>
      </c>
      <c r="I82" s="89">
        <v>0</v>
      </c>
      <c r="J82" s="89">
        <v>0</v>
      </c>
      <c r="K82" s="89">
        <v>0</v>
      </c>
      <c r="L82" s="89">
        <v>0</v>
      </c>
      <c r="M82" s="89">
        <v>0</v>
      </c>
      <c r="N82" s="89">
        <v>0</v>
      </c>
      <c r="O82" s="89">
        <v>0</v>
      </c>
      <c r="P82" s="89">
        <v>0</v>
      </c>
      <c r="Q82" s="89">
        <v>0</v>
      </c>
      <c r="R82" s="89">
        <v>0</v>
      </c>
      <c r="S82" s="89">
        <v>0</v>
      </c>
      <c r="T82" s="89">
        <v>0</v>
      </c>
      <c r="U82" s="89">
        <v>0</v>
      </c>
      <c r="V82" s="89">
        <v>0</v>
      </c>
      <c r="W82" s="89">
        <f t="shared" si="5"/>
        <v>0</v>
      </c>
      <c r="X82" s="109">
        <v>6</v>
      </c>
    </row>
    <row r="83" spans="1:24" ht="20.25" thickBot="1">
      <c r="A83" s="75">
        <v>10</v>
      </c>
      <c r="B83" s="123">
        <v>4</v>
      </c>
      <c r="C83" s="104" t="s">
        <v>471</v>
      </c>
      <c r="D83" s="113">
        <v>0.75</v>
      </c>
      <c r="E83" s="41">
        <v>0</v>
      </c>
      <c r="F83" s="41">
        <v>0</v>
      </c>
      <c r="G83" s="41">
        <v>0</v>
      </c>
      <c r="H83" s="41">
        <v>0</v>
      </c>
      <c r="I83" s="41">
        <v>0</v>
      </c>
      <c r="J83" s="41">
        <v>0</v>
      </c>
      <c r="K83" s="41">
        <v>0</v>
      </c>
      <c r="L83" s="41">
        <v>0</v>
      </c>
      <c r="M83" s="41">
        <v>0</v>
      </c>
      <c r="N83" s="41">
        <v>0</v>
      </c>
      <c r="O83" s="41">
        <v>0</v>
      </c>
      <c r="P83" s="41">
        <v>0</v>
      </c>
      <c r="Q83" s="41">
        <v>0</v>
      </c>
      <c r="R83" s="41">
        <v>0</v>
      </c>
      <c r="S83" s="41">
        <v>0</v>
      </c>
      <c r="T83" s="41">
        <v>0</v>
      </c>
      <c r="U83" s="41">
        <v>0</v>
      </c>
      <c r="V83" s="41">
        <v>0</v>
      </c>
      <c r="W83" s="52">
        <f t="shared" si="5"/>
        <v>0</v>
      </c>
      <c r="X83" s="42">
        <v>6</v>
      </c>
    </row>
    <row r="84" ht="15.75"/>
    <row r="85" spans="1:24" ht="15.75">
      <c r="A85" s="67"/>
      <c r="B85" s="68"/>
      <c r="C85" s="71"/>
      <c r="D85" s="633" t="s">
        <v>798</v>
      </c>
      <c r="E85" s="634"/>
      <c r="F85" s="634"/>
      <c r="G85" s="634"/>
      <c r="H85" s="634"/>
      <c r="I85" s="634"/>
      <c r="J85" s="634"/>
      <c r="K85" s="634"/>
      <c r="L85" s="634"/>
      <c r="M85" s="634"/>
      <c r="N85" s="634"/>
      <c r="O85" s="634"/>
      <c r="P85" s="634"/>
      <c r="Q85" s="634"/>
      <c r="R85" s="634"/>
      <c r="S85" s="634"/>
      <c r="T85" s="634"/>
      <c r="U85" s="634"/>
      <c r="V85" s="634"/>
      <c r="W85" s="634"/>
      <c r="X85" s="634"/>
    </row>
    <row r="86" spans="1:24" ht="15.75">
      <c r="A86" s="67"/>
      <c r="B86" s="68"/>
      <c r="C86" s="71"/>
      <c r="D86" s="634"/>
      <c r="E86" s="634"/>
      <c r="F86" s="634"/>
      <c r="G86" s="634"/>
      <c r="H86" s="634"/>
      <c r="I86" s="634"/>
      <c r="J86" s="634"/>
      <c r="K86" s="634"/>
      <c r="L86" s="634"/>
      <c r="M86" s="634"/>
      <c r="N86" s="634"/>
      <c r="O86" s="634"/>
      <c r="P86" s="634"/>
      <c r="Q86" s="634"/>
      <c r="R86" s="634"/>
      <c r="S86" s="634"/>
      <c r="T86" s="634"/>
      <c r="U86" s="634"/>
      <c r="V86" s="634"/>
      <c r="W86" s="634"/>
      <c r="X86" s="634"/>
    </row>
    <row r="87" spans="1:24" ht="15.75">
      <c r="A87" s="67"/>
      <c r="B87" s="68"/>
      <c r="C87" s="71"/>
      <c r="D87" s="72" t="s">
        <v>286</v>
      </c>
      <c r="E87" s="30">
        <v>1</v>
      </c>
      <c r="F87" s="30">
        <v>2</v>
      </c>
      <c r="G87" s="30">
        <v>3</v>
      </c>
      <c r="H87" s="30">
        <v>4</v>
      </c>
      <c r="I87" s="30">
        <v>5</v>
      </c>
      <c r="J87" s="30">
        <v>6</v>
      </c>
      <c r="K87" s="30">
        <v>7</v>
      </c>
      <c r="L87" s="30">
        <v>8</v>
      </c>
      <c r="M87" s="30">
        <v>9</v>
      </c>
      <c r="N87" s="30">
        <v>10</v>
      </c>
      <c r="O87" s="30">
        <v>11</v>
      </c>
      <c r="P87" s="30">
        <v>12</v>
      </c>
      <c r="Q87" s="30">
        <v>13</v>
      </c>
      <c r="R87" s="30">
        <v>14</v>
      </c>
      <c r="S87" s="30">
        <v>15</v>
      </c>
      <c r="T87" s="30">
        <v>16</v>
      </c>
      <c r="U87" s="30">
        <v>17</v>
      </c>
      <c r="V87" s="30">
        <v>18</v>
      </c>
      <c r="W87" s="73" t="s">
        <v>267</v>
      </c>
      <c r="X87" s="74"/>
    </row>
    <row r="88" spans="1:24" ht="16.5" thickBot="1">
      <c r="A88" s="75"/>
      <c r="B88" s="76"/>
      <c r="C88" s="77"/>
      <c r="D88" s="78" t="s">
        <v>288</v>
      </c>
      <c r="E88" s="79">
        <v>0.75</v>
      </c>
      <c r="F88" s="79">
        <v>0.25</v>
      </c>
      <c r="G88" s="79">
        <v>3</v>
      </c>
      <c r="H88" s="79">
        <v>2</v>
      </c>
      <c r="I88" s="79">
        <v>0.75</v>
      </c>
      <c r="J88" s="79">
        <v>-3</v>
      </c>
      <c r="K88" s="79">
        <v>-4</v>
      </c>
      <c r="L88" s="79">
        <v>20</v>
      </c>
      <c r="M88" s="79">
        <v>10</v>
      </c>
      <c r="N88" s="79">
        <v>5</v>
      </c>
      <c r="O88" s="79">
        <v>3</v>
      </c>
      <c r="P88" s="79">
        <v>5</v>
      </c>
      <c r="Q88" s="79">
        <v>7</v>
      </c>
      <c r="R88" s="79">
        <v>3</v>
      </c>
      <c r="S88" s="79">
        <v>3</v>
      </c>
      <c r="T88" s="79">
        <v>3</v>
      </c>
      <c r="U88" s="79">
        <v>8.25</v>
      </c>
      <c r="V88" s="79">
        <v>16</v>
      </c>
      <c r="W88" s="80" t="s">
        <v>287</v>
      </c>
      <c r="X88" s="81" t="s">
        <v>267</v>
      </c>
    </row>
    <row r="89" spans="1:24" ht="19.5">
      <c r="A89" s="82">
        <v>1</v>
      </c>
      <c r="B89" s="96">
        <v>4</v>
      </c>
      <c r="C89" s="97" t="s">
        <v>12</v>
      </c>
      <c r="D89" s="106">
        <v>142</v>
      </c>
      <c r="E89" s="51">
        <v>1.5</v>
      </c>
      <c r="F89" s="51">
        <v>2</v>
      </c>
      <c r="G89" s="51">
        <v>0</v>
      </c>
      <c r="H89" s="51">
        <v>4</v>
      </c>
      <c r="I89" s="51">
        <v>0</v>
      </c>
      <c r="J89" s="51">
        <v>0</v>
      </c>
      <c r="K89" s="51">
        <v>0</v>
      </c>
      <c r="L89" s="51">
        <v>0</v>
      </c>
      <c r="M89" s="51">
        <v>0</v>
      </c>
      <c r="N89" s="51">
        <v>5</v>
      </c>
      <c r="O89" s="51">
        <v>3</v>
      </c>
      <c r="P89" s="51">
        <v>5</v>
      </c>
      <c r="Q89" s="51">
        <v>0</v>
      </c>
      <c r="R89" s="51">
        <v>3</v>
      </c>
      <c r="S89" s="51">
        <v>0</v>
      </c>
      <c r="T89" s="51">
        <v>0</v>
      </c>
      <c r="U89" s="51">
        <v>0</v>
      </c>
      <c r="V89" s="51">
        <v>0</v>
      </c>
      <c r="W89" s="51">
        <f aca="true" t="shared" si="6" ref="W89:W98">SUM(E89:V89)</f>
        <v>23.5</v>
      </c>
      <c r="X89" s="86">
        <v>7</v>
      </c>
    </row>
    <row r="90" spans="1:24" ht="19.5">
      <c r="A90" s="45">
        <v>2</v>
      </c>
      <c r="B90" s="124">
        <v>4</v>
      </c>
      <c r="C90" s="120" t="s">
        <v>290</v>
      </c>
      <c r="D90" s="106">
        <v>108</v>
      </c>
      <c r="E90" s="51">
        <v>6.75</v>
      </c>
      <c r="F90" s="51">
        <v>5.75</v>
      </c>
      <c r="G90" s="51">
        <v>0</v>
      </c>
      <c r="H90" s="51">
        <v>2</v>
      </c>
      <c r="I90" s="51">
        <v>0.75</v>
      </c>
      <c r="J90" s="51">
        <v>0</v>
      </c>
      <c r="K90" s="51">
        <v>0</v>
      </c>
      <c r="L90" s="51">
        <v>0</v>
      </c>
      <c r="M90" s="51">
        <v>0</v>
      </c>
      <c r="N90" s="51">
        <v>0</v>
      </c>
      <c r="O90" s="51">
        <v>0</v>
      </c>
      <c r="P90" s="51">
        <v>0</v>
      </c>
      <c r="Q90" s="51">
        <v>7</v>
      </c>
      <c r="R90" s="51">
        <v>0</v>
      </c>
      <c r="S90" s="51">
        <v>0</v>
      </c>
      <c r="T90" s="51">
        <v>0</v>
      </c>
      <c r="U90" s="51">
        <v>0</v>
      </c>
      <c r="V90" s="51">
        <v>0</v>
      </c>
      <c r="W90" s="51">
        <f t="shared" si="6"/>
        <v>22.25</v>
      </c>
      <c r="X90" s="86">
        <v>7</v>
      </c>
    </row>
    <row r="91" spans="1:24" ht="19.5">
      <c r="A91" s="82">
        <v>3</v>
      </c>
      <c r="B91" s="96">
        <v>4</v>
      </c>
      <c r="C91" s="97" t="s">
        <v>8</v>
      </c>
      <c r="D91" s="106">
        <v>69.25</v>
      </c>
      <c r="E91" s="51">
        <v>1.5</v>
      </c>
      <c r="F91" s="51">
        <v>0.5</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f t="shared" si="6"/>
        <v>2</v>
      </c>
      <c r="X91" s="86">
        <v>7</v>
      </c>
    </row>
    <row r="92" spans="1:24" ht="19.5">
      <c r="A92" s="45">
        <v>4</v>
      </c>
      <c r="B92" s="102">
        <v>4</v>
      </c>
      <c r="C92" s="116" t="s">
        <v>10</v>
      </c>
      <c r="D92" s="106">
        <v>49.75</v>
      </c>
      <c r="E92" s="37">
        <v>0</v>
      </c>
      <c r="F92" s="37">
        <v>1.5</v>
      </c>
      <c r="G92" s="37">
        <v>0</v>
      </c>
      <c r="H92" s="37">
        <v>2</v>
      </c>
      <c r="I92" s="37">
        <v>0</v>
      </c>
      <c r="J92" s="37">
        <v>0</v>
      </c>
      <c r="K92" s="37">
        <v>0</v>
      </c>
      <c r="L92" s="37">
        <v>0</v>
      </c>
      <c r="M92" s="37">
        <v>0</v>
      </c>
      <c r="N92" s="37">
        <v>0</v>
      </c>
      <c r="O92" s="37">
        <v>0</v>
      </c>
      <c r="P92" s="37">
        <v>0</v>
      </c>
      <c r="Q92" s="37">
        <v>0</v>
      </c>
      <c r="R92" s="37">
        <v>0</v>
      </c>
      <c r="S92" s="37">
        <v>3</v>
      </c>
      <c r="T92" s="37">
        <v>3</v>
      </c>
      <c r="U92" s="37">
        <v>0</v>
      </c>
      <c r="V92" s="37">
        <v>0</v>
      </c>
      <c r="W92" s="51">
        <f t="shared" si="6"/>
        <v>9.5</v>
      </c>
      <c r="X92" s="86">
        <v>7</v>
      </c>
    </row>
    <row r="93" spans="1:24" ht="19.5">
      <c r="A93" s="82">
        <v>5</v>
      </c>
      <c r="B93" s="96">
        <v>4</v>
      </c>
      <c r="C93" s="97" t="s">
        <v>53</v>
      </c>
      <c r="D93" s="106">
        <v>28.5</v>
      </c>
      <c r="E93" s="51">
        <v>2.25</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f t="shared" si="6"/>
        <v>2.25</v>
      </c>
      <c r="X93" s="86">
        <v>7</v>
      </c>
    </row>
    <row r="94" spans="1:24" ht="19.5">
      <c r="A94" s="67">
        <v>6</v>
      </c>
      <c r="B94" s="102">
        <v>4</v>
      </c>
      <c r="C94" s="99" t="s">
        <v>52</v>
      </c>
      <c r="D94" s="106">
        <v>20.25</v>
      </c>
      <c r="E94" s="51">
        <v>1.5</v>
      </c>
      <c r="F94" s="51">
        <v>0.5</v>
      </c>
      <c r="G94" s="51">
        <v>0</v>
      </c>
      <c r="H94" s="51">
        <v>2</v>
      </c>
      <c r="I94" s="51">
        <v>0</v>
      </c>
      <c r="J94" s="51">
        <v>0</v>
      </c>
      <c r="K94" s="51">
        <v>0</v>
      </c>
      <c r="L94" s="51">
        <v>0</v>
      </c>
      <c r="M94" s="51">
        <v>0</v>
      </c>
      <c r="N94" s="51">
        <v>0</v>
      </c>
      <c r="O94" s="51">
        <v>0</v>
      </c>
      <c r="P94" s="51">
        <v>0</v>
      </c>
      <c r="Q94" s="51">
        <v>0</v>
      </c>
      <c r="R94" s="51">
        <v>0</v>
      </c>
      <c r="S94" s="51">
        <v>0</v>
      </c>
      <c r="T94" s="51">
        <v>0</v>
      </c>
      <c r="U94" s="51">
        <v>0</v>
      </c>
      <c r="V94" s="51">
        <v>0</v>
      </c>
      <c r="W94" s="51">
        <f t="shared" si="6"/>
        <v>4</v>
      </c>
      <c r="X94" s="86">
        <v>7</v>
      </c>
    </row>
    <row r="95" spans="1:24" ht="19.5">
      <c r="A95" s="82">
        <v>7</v>
      </c>
      <c r="B95" s="96">
        <v>4</v>
      </c>
      <c r="C95" s="97" t="s">
        <v>289</v>
      </c>
      <c r="D95" s="106">
        <v>10.75</v>
      </c>
      <c r="E95" s="51">
        <v>0</v>
      </c>
      <c r="F95" s="51">
        <v>1.5</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f t="shared" si="6"/>
        <v>1.5</v>
      </c>
      <c r="X95" s="86">
        <v>7</v>
      </c>
    </row>
    <row r="96" spans="1:24" ht="19.5">
      <c r="A96" s="117">
        <v>8</v>
      </c>
      <c r="B96" s="102">
        <v>4</v>
      </c>
      <c r="C96" s="108" t="s">
        <v>324</v>
      </c>
      <c r="D96" s="118">
        <v>5.5</v>
      </c>
      <c r="E96" s="43">
        <v>0</v>
      </c>
      <c r="F96" s="43">
        <v>0.5</v>
      </c>
      <c r="G96" s="43">
        <v>0</v>
      </c>
      <c r="H96" s="43">
        <v>2</v>
      </c>
      <c r="I96" s="43">
        <v>0</v>
      </c>
      <c r="J96" s="43">
        <v>0</v>
      </c>
      <c r="K96" s="43">
        <v>0</v>
      </c>
      <c r="L96" s="43">
        <v>0</v>
      </c>
      <c r="M96" s="43">
        <v>0</v>
      </c>
      <c r="N96" s="43">
        <v>0</v>
      </c>
      <c r="O96" s="43">
        <v>0</v>
      </c>
      <c r="P96" s="43">
        <v>0</v>
      </c>
      <c r="Q96" s="43">
        <v>0</v>
      </c>
      <c r="R96" s="43">
        <v>0</v>
      </c>
      <c r="S96" s="43">
        <v>0</v>
      </c>
      <c r="T96" s="43">
        <v>0</v>
      </c>
      <c r="U96" s="43">
        <v>0</v>
      </c>
      <c r="V96" s="43">
        <v>0</v>
      </c>
      <c r="W96" s="89">
        <f t="shared" si="6"/>
        <v>2.5</v>
      </c>
      <c r="X96" s="44">
        <v>7</v>
      </c>
    </row>
    <row r="97" spans="1:24" ht="19.5">
      <c r="A97" s="121">
        <v>9</v>
      </c>
      <c r="B97" s="96">
        <v>4</v>
      </c>
      <c r="C97" s="122" t="s">
        <v>114</v>
      </c>
      <c r="D97" s="118">
        <v>2.25</v>
      </c>
      <c r="E97" s="89">
        <v>0</v>
      </c>
      <c r="F97" s="89">
        <v>0</v>
      </c>
      <c r="G97" s="89">
        <v>0</v>
      </c>
      <c r="H97" s="89">
        <v>0</v>
      </c>
      <c r="I97" s="89">
        <v>0</v>
      </c>
      <c r="J97" s="89">
        <v>0</v>
      </c>
      <c r="K97" s="89">
        <v>0</v>
      </c>
      <c r="L97" s="89">
        <v>0</v>
      </c>
      <c r="M97" s="89">
        <v>0</v>
      </c>
      <c r="N97" s="89">
        <v>0</v>
      </c>
      <c r="O97" s="89">
        <v>0</v>
      </c>
      <c r="P97" s="89">
        <v>0</v>
      </c>
      <c r="Q97" s="89">
        <v>0</v>
      </c>
      <c r="R97" s="89">
        <v>0</v>
      </c>
      <c r="S97" s="89">
        <v>0</v>
      </c>
      <c r="T97" s="89">
        <v>0</v>
      </c>
      <c r="U97" s="89">
        <v>0</v>
      </c>
      <c r="V97" s="89">
        <v>0</v>
      </c>
      <c r="W97" s="89">
        <f t="shared" si="6"/>
        <v>0</v>
      </c>
      <c r="X97" s="109">
        <v>7</v>
      </c>
    </row>
    <row r="98" spans="1:24" ht="20.25" thickBot="1">
      <c r="A98" s="75">
        <v>10</v>
      </c>
      <c r="B98" s="123">
        <v>4</v>
      </c>
      <c r="C98" s="104" t="s">
        <v>471</v>
      </c>
      <c r="D98" s="113">
        <v>0.75</v>
      </c>
      <c r="E98" s="41">
        <v>0</v>
      </c>
      <c r="F98" s="41">
        <v>0</v>
      </c>
      <c r="G98" s="41">
        <v>0</v>
      </c>
      <c r="H98" s="41">
        <v>0</v>
      </c>
      <c r="I98" s="41">
        <v>0</v>
      </c>
      <c r="J98" s="41">
        <v>0</v>
      </c>
      <c r="K98" s="41">
        <v>0</v>
      </c>
      <c r="L98" s="41">
        <v>0</v>
      </c>
      <c r="M98" s="41">
        <v>0</v>
      </c>
      <c r="N98" s="41">
        <v>0</v>
      </c>
      <c r="O98" s="41">
        <v>0</v>
      </c>
      <c r="P98" s="41">
        <v>0</v>
      </c>
      <c r="Q98" s="41">
        <v>0</v>
      </c>
      <c r="R98" s="41">
        <v>0</v>
      </c>
      <c r="S98" s="41">
        <v>0</v>
      </c>
      <c r="T98" s="41">
        <v>0</v>
      </c>
      <c r="U98" s="41">
        <v>0</v>
      </c>
      <c r="V98" s="41">
        <v>0</v>
      </c>
      <c r="W98" s="52">
        <f t="shared" si="6"/>
        <v>0</v>
      </c>
      <c r="X98" s="42">
        <v>7</v>
      </c>
    </row>
    <row r="99" ht="15.75"/>
    <row r="100" spans="1:24" ht="15.75">
      <c r="A100" s="67"/>
      <c r="B100" s="68"/>
      <c r="C100" s="71"/>
      <c r="D100" s="633" t="s">
        <v>799</v>
      </c>
      <c r="E100" s="634"/>
      <c r="F100" s="634"/>
      <c r="G100" s="634"/>
      <c r="H100" s="634"/>
      <c r="I100" s="634"/>
      <c r="J100" s="634"/>
      <c r="K100" s="634"/>
      <c r="L100" s="634"/>
      <c r="M100" s="634"/>
      <c r="N100" s="634"/>
      <c r="O100" s="634"/>
      <c r="P100" s="634"/>
      <c r="Q100" s="634"/>
      <c r="R100" s="634"/>
      <c r="S100" s="634"/>
      <c r="T100" s="634"/>
      <c r="U100" s="634"/>
      <c r="V100" s="634"/>
      <c r="W100" s="634"/>
      <c r="X100" s="634"/>
    </row>
    <row r="101" spans="1:24" ht="15.75">
      <c r="A101" s="67"/>
      <c r="B101" s="68"/>
      <c r="C101" s="71"/>
      <c r="D101" s="634"/>
      <c r="E101" s="634"/>
      <c r="F101" s="634"/>
      <c r="G101" s="634"/>
      <c r="H101" s="634"/>
      <c r="I101" s="634"/>
      <c r="J101" s="634"/>
      <c r="K101" s="634"/>
      <c r="L101" s="634"/>
      <c r="M101" s="634"/>
      <c r="N101" s="634"/>
      <c r="O101" s="634"/>
      <c r="P101" s="634"/>
      <c r="Q101" s="634"/>
      <c r="R101" s="634"/>
      <c r="S101" s="634"/>
      <c r="T101" s="634"/>
      <c r="U101" s="634"/>
      <c r="V101" s="634"/>
      <c r="W101" s="634"/>
      <c r="X101" s="634"/>
    </row>
    <row r="102" spans="1:24" ht="15.75">
      <c r="A102" s="67"/>
      <c r="B102" s="68"/>
      <c r="C102" s="71"/>
      <c r="D102" s="72" t="s">
        <v>286</v>
      </c>
      <c r="E102" s="30">
        <v>1</v>
      </c>
      <c r="F102" s="30">
        <v>2</v>
      </c>
      <c r="G102" s="30">
        <v>3</v>
      </c>
      <c r="H102" s="30">
        <v>4</v>
      </c>
      <c r="I102" s="30">
        <v>5</v>
      </c>
      <c r="J102" s="30">
        <v>6</v>
      </c>
      <c r="K102" s="30">
        <v>7</v>
      </c>
      <c r="L102" s="30">
        <v>8</v>
      </c>
      <c r="M102" s="30">
        <v>9</v>
      </c>
      <c r="N102" s="30">
        <v>10</v>
      </c>
      <c r="O102" s="30">
        <v>11</v>
      </c>
      <c r="P102" s="30">
        <v>12</v>
      </c>
      <c r="Q102" s="30">
        <v>13</v>
      </c>
      <c r="R102" s="30">
        <v>14</v>
      </c>
      <c r="S102" s="30">
        <v>15</v>
      </c>
      <c r="T102" s="30">
        <v>16</v>
      </c>
      <c r="U102" s="30">
        <v>17</v>
      </c>
      <c r="V102" s="30">
        <v>18</v>
      </c>
      <c r="W102" s="73" t="s">
        <v>267</v>
      </c>
      <c r="X102" s="74"/>
    </row>
    <row r="103" spans="1:24" ht="16.5" thickBot="1">
      <c r="A103" s="75"/>
      <c r="B103" s="76"/>
      <c r="C103" s="77"/>
      <c r="D103" s="78" t="s">
        <v>288</v>
      </c>
      <c r="E103" s="79">
        <v>0.75</v>
      </c>
      <c r="F103" s="79">
        <v>0.25</v>
      </c>
      <c r="G103" s="79">
        <v>3</v>
      </c>
      <c r="H103" s="79">
        <v>2</v>
      </c>
      <c r="I103" s="79">
        <v>0.75</v>
      </c>
      <c r="J103" s="79">
        <v>-3</v>
      </c>
      <c r="K103" s="79">
        <v>-4</v>
      </c>
      <c r="L103" s="79">
        <v>20</v>
      </c>
      <c r="M103" s="79">
        <v>10</v>
      </c>
      <c r="N103" s="79">
        <v>5</v>
      </c>
      <c r="O103" s="79">
        <v>3</v>
      </c>
      <c r="P103" s="79">
        <v>5</v>
      </c>
      <c r="Q103" s="79">
        <v>7</v>
      </c>
      <c r="R103" s="79">
        <v>3</v>
      </c>
      <c r="S103" s="79">
        <v>3</v>
      </c>
      <c r="T103" s="79">
        <v>3</v>
      </c>
      <c r="U103" s="79">
        <v>8.25</v>
      </c>
      <c r="V103" s="79">
        <v>16</v>
      </c>
      <c r="W103" s="80" t="s">
        <v>287</v>
      </c>
      <c r="X103" s="81" t="s">
        <v>267</v>
      </c>
    </row>
    <row r="104" spans="1:24" ht="19.5">
      <c r="A104" s="82">
        <v>1</v>
      </c>
      <c r="B104" s="535">
        <v>5</v>
      </c>
      <c r="C104" s="84" t="s">
        <v>290</v>
      </c>
      <c r="D104" s="106">
        <v>156.5</v>
      </c>
      <c r="E104" s="51">
        <v>2.25</v>
      </c>
      <c r="F104" s="51">
        <v>4.5</v>
      </c>
      <c r="G104" s="51">
        <v>3</v>
      </c>
      <c r="H104" s="51">
        <v>0</v>
      </c>
      <c r="I104" s="51">
        <v>0.75</v>
      </c>
      <c r="J104" s="51">
        <v>0</v>
      </c>
      <c r="K104" s="51">
        <v>0</v>
      </c>
      <c r="L104" s="51">
        <v>20</v>
      </c>
      <c r="M104" s="51">
        <v>0</v>
      </c>
      <c r="N104" s="51">
        <v>0</v>
      </c>
      <c r="O104" s="51">
        <v>3</v>
      </c>
      <c r="P104" s="51">
        <v>5</v>
      </c>
      <c r="Q104" s="51">
        <v>7</v>
      </c>
      <c r="R104" s="51">
        <v>3</v>
      </c>
      <c r="S104" s="51">
        <v>0</v>
      </c>
      <c r="T104" s="51">
        <v>0</v>
      </c>
      <c r="U104" s="51">
        <v>0</v>
      </c>
      <c r="V104" s="51">
        <v>0</v>
      </c>
      <c r="W104" s="51">
        <f aca="true" t="shared" si="7" ref="W104:W113">SUM(E104:V104)</f>
        <v>48.5</v>
      </c>
      <c r="X104" s="86">
        <v>8</v>
      </c>
    </row>
    <row r="105" spans="1:24" ht="19.5">
      <c r="A105" s="45">
        <v>2</v>
      </c>
      <c r="B105" s="119">
        <v>6</v>
      </c>
      <c r="C105" s="125" t="s">
        <v>12</v>
      </c>
      <c r="D105" s="106">
        <v>150</v>
      </c>
      <c r="E105" s="51">
        <v>1.5</v>
      </c>
      <c r="F105" s="51">
        <v>1.5</v>
      </c>
      <c r="G105" s="51">
        <v>0</v>
      </c>
      <c r="H105" s="51">
        <v>2</v>
      </c>
      <c r="I105" s="51">
        <v>0</v>
      </c>
      <c r="J105" s="51">
        <v>0</v>
      </c>
      <c r="K105" s="51">
        <v>0</v>
      </c>
      <c r="L105" s="51">
        <v>0</v>
      </c>
      <c r="M105" s="51">
        <v>0</v>
      </c>
      <c r="N105" s="51">
        <v>0</v>
      </c>
      <c r="O105" s="51">
        <v>0</v>
      </c>
      <c r="P105" s="51">
        <v>0</v>
      </c>
      <c r="Q105" s="51">
        <v>0</v>
      </c>
      <c r="R105" s="51">
        <v>0</v>
      </c>
      <c r="S105" s="51">
        <v>0</v>
      </c>
      <c r="T105" s="51">
        <v>3</v>
      </c>
      <c r="U105" s="51">
        <v>0</v>
      </c>
      <c r="V105" s="51">
        <v>0</v>
      </c>
      <c r="W105" s="51">
        <f>SUM(E105:V105)</f>
        <v>8</v>
      </c>
      <c r="X105" s="86">
        <v>8</v>
      </c>
    </row>
    <row r="106" spans="1:24" ht="19.5">
      <c r="A106" s="82">
        <v>3</v>
      </c>
      <c r="B106" s="96">
        <v>4</v>
      </c>
      <c r="C106" s="97" t="s">
        <v>8</v>
      </c>
      <c r="D106" s="106">
        <v>75.75</v>
      </c>
      <c r="E106" s="51">
        <v>1.5</v>
      </c>
      <c r="F106" s="51">
        <v>0</v>
      </c>
      <c r="G106" s="51">
        <v>0</v>
      </c>
      <c r="H106" s="51">
        <v>2</v>
      </c>
      <c r="I106" s="51">
        <v>0</v>
      </c>
      <c r="J106" s="51">
        <v>0</v>
      </c>
      <c r="K106" s="51">
        <v>0</v>
      </c>
      <c r="L106" s="51">
        <v>0</v>
      </c>
      <c r="M106" s="51">
        <v>0</v>
      </c>
      <c r="N106" s="51">
        <v>0</v>
      </c>
      <c r="O106" s="51">
        <v>0</v>
      </c>
      <c r="P106" s="51">
        <v>0</v>
      </c>
      <c r="Q106" s="51">
        <v>0</v>
      </c>
      <c r="R106" s="51">
        <v>0</v>
      </c>
      <c r="S106" s="51">
        <v>3</v>
      </c>
      <c r="T106" s="51">
        <v>0</v>
      </c>
      <c r="U106" s="51">
        <v>0</v>
      </c>
      <c r="V106" s="51">
        <v>0</v>
      </c>
      <c r="W106" s="51">
        <f t="shared" si="7"/>
        <v>6.5</v>
      </c>
      <c r="X106" s="86">
        <v>8</v>
      </c>
    </row>
    <row r="107" spans="1:24" ht="19.5">
      <c r="A107" s="45">
        <v>4</v>
      </c>
      <c r="B107" s="102">
        <v>4</v>
      </c>
      <c r="C107" s="116" t="s">
        <v>10</v>
      </c>
      <c r="D107" s="106">
        <v>51</v>
      </c>
      <c r="E107" s="37">
        <v>0</v>
      </c>
      <c r="F107" s="37">
        <v>1.25</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51">
        <f t="shared" si="7"/>
        <v>1.25</v>
      </c>
      <c r="X107" s="86">
        <v>8</v>
      </c>
    </row>
    <row r="108" spans="1:24" ht="19.5">
      <c r="A108" s="82">
        <v>5</v>
      </c>
      <c r="B108" s="96">
        <v>4</v>
      </c>
      <c r="C108" s="97" t="s">
        <v>53</v>
      </c>
      <c r="D108" s="106">
        <v>30</v>
      </c>
      <c r="E108" s="51">
        <v>1.5</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f t="shared" si="7"/>
        <v>1.5</v>
      </c>
      <c r="X108" s="86">
        <v>8</v>
      </c>
    </row>
    <row r="109" spans="1:24" ht="19.5">
      <c r="A109" s="67">
        <v>6</v>
      </c>
      <c r="B109" s="102">
        <v>4</v>
      </c>
      <c r="C109" s="99" t="s">
        <v>52</v>
      </c>
      <c r="D109" s="106">
        <v>23</v>
      </c>
      <c r="E109" s="51">
        <v>2.25</v>
      </c>
      <c r="F109" s="51">
        <v>0.5</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f t="shared" si="7"/>
        <v>2.75</v>
      </c>
      <c r="X109" s="86">
        <v>8</v>
      </c>
    </row>
    <row r="110" spans="1:24" ht="19.5">
      <c r="A110" s="82">
        <v>7</v>
      </c>
      <c r="B110" s="96">
        <v>4</v>
      </c>
      <c r="C110" s="97" t="s">
        <v>289</v>
      </c>
      <c r="D110" s="106">
        <v>11.5</v>
      </c>
      <c r="E110" s="51">
        <v>0</v>
      </c>
      <c r="F110" s="51">
        <v>0.75</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f t="shared" si="7"/>
        <v>0.75</v>
      </c>
      <c r="X110" s="86">
        <v>8</v>
      </c>
    </row>
    <row r="111" spans="1:24" ht="19.5">
      <c r="A111" s="117">
        <v>8</v>
      </c>
      <c r="B111" s="102">
        <v>4</v>
      </c>
      <c r="C111" s="108" t="s">
        <v>324</v>
      </c>
      <c r="D111" s="118">
        <v>6.25</v>
      </c>
      <c r="E111" s="43">
        <v>0</v>
      </c>
      <c r="F111" s="43">
        <v>0.75</v>
      </c>
      <c r="G111" s="43">
        <v>0</v>
      </c>
      <c r="H111" s="43">
        <v>0</v>
      </c>
      <c r="I111" s="43">
        <v>0</v>
      </c>
      <c r="J111" s="43">
        <v>0</v>
      </c>
      <c r="K111" s="43">
        <v>0</v>
      </c>
      <c r="L111" s="43">
        <v>0</v>
      </c>
      <c r="M111" s="43">
        <v>0</v>
      </c>
      <c r="N111" s="43">
        <v>0</v>
      </c>
      <c r="O111" s="43">
        <v>0</v>
      </c>
      <c r="P111" s="43">
        <v>0</v>
      </c>
      <c r="Q111" s="43">
        <v>0</v>
      </c>
      <c r="R111" s="43">
        <v>0</v>
      </c>
      <c r="S111" s="43">
        <v>0</v>
      </c>
      <c r="T111" s="43">
        <v>0</v>
      </c>
      <c r="U111" s="43">
        <v>0</v>
      </c>
      <c r="V111" s="43">
        <v>0</v>
      </c>
      <c r="W111" s="89">
        <f t="shared" si="7"/>
        <v>0.75</v>
      </c>
      <c r="X111" s="44">
        <v>8</v>
      </c>
    </row>
    <row r="112" spans="1:24" ht="19.5">
      <c r="A112" s="121">
        <v>9</v>
      </c>
      <c r="B112" s="96">
        <v>4</v>
      </c>
      <c r="C112" s="122" t="s">
        <v>114</v>
      </c>
      <c r="D112" s="118">
        <v>2.25</v>
      </c>
      <c r="E112" s="89">
        <v>0</v>
      </c>
      <c r="F112" s="89">
        <v>0</v>
      </c>
      <c r="G112" s="89">
        <v>0</v>
      </c>
      <c r="H112" s="89">
        <v>0</v>
      </c>
      <c r="I112" s="89">
        <v>0</v>
      </c>
      <c r="J112" s="89">
        <v>0</v>
      </c>
      <c r="K112" s="89">
        <v>0</v>
      </c>
      <c r="L112" s="89">
        <v>0</v>
      </c>
      <c r="M112" s="89">
        <v>0</v>
      </c>
      <c r="N112" s="89">
        <v>0</v>
      </c>
      <c r="O112" s="89">
        <v>0</v>
      </c>
      <c r="P112" s="89">
        <v>0</v>
      </c>
      <c r="Q112" s="89">
        <v>0</v>
      </c>
      <c r="R112" s="89">
        <v>0</v>
      </c>
      <c r="S112" s="89">
        <v>0</v>
      </c>
      <c r="T112" s="89">
        <v>0</v>
      </c>
      <c r="U112" s="89">
        <v>0</v>
      </c>
      <c r="V112" s="89">
        <v>0</v>
      </c>
      <c r="W112" s="89">
        <f t="shared" si="7"/>
        <v>0</v>
      </c>
      <c r="X112" s="109">
        <v>8</v>
      </c>
    </row>
    <row r="113" spans="1:24" ht="20.25" thickBot="1">
      <c r="A113" s="75">
        <v>10</v>
      </c>
      <c r="B113" s="123">
        <v>4</v>
      </c>
      <c r="C113" s="104" t="s">
        <v>471</v>
      </c>
      <c r="D113" s="113">
        <v>0.75</v>
      </c>
      <c r="E113" s="41">
        <v>0</v>
      </c>
      <c r="F113" s="41">
        <v>0</v>
      </c>
      <c r="G113" s="41">
        <v>0</v>
      </c>
      <c r="H113" s="41">
        <v>0</v>
      </c>
      <c r="I113" s="41">
        <v>0</v>
      </c>
      <c r="J113" s="41">
        <v>0</v>
      </c>
      <c r="K113" s="41">
        <v>0</v>
      </c>
      <c r="L113" s="41">
        <v>0</v>
      </c>
      <c r="M113" s="41">
        <v>0</v>
      </c>
      <c r="N113" s="41">
        <v>0</v>
      </c>
      <c r="O113" s="41">
        <v>0</v>
      </c>
      <c r="P113" s="41">
        <v>0</v>
      </c>
      <c r="Q113" s="41">
        <v>0</v>
      </c>
      <c r="R113" s="41">
        <v>0</v>
      </c>
      <c r="S113" s="41">
        <v>0</v>
      </c>
      <c r="T113" s="41">
        <v>0</v>
      </c>
      <c r="U113" s="41">
        <v>0</v>
      </c>
      <c r="V113" s="41">
        <v>0</v>
      </c>
      <c r="W113" s="52">
        <f t="shared" si="7"/>
        <v>0</v>
      </c>
      <c r="X113" s="42">
        <v>8</v>
      </c>
    </row>
    <row r="114" ht="15.75"/>
    <row r="115" spans="1:24" ht="15.75">
      <c r="A115" s="67"/>
      <c r="B115" s="68"/>
      <c r="C115" s="71"/>
      <c r="D115" s="633" t="s">
        <v>800</v>
      </c>
      <c r="E115" s="634"/>
      <c r="F115" s="634"/>
      <c r="G115" s="634"/>
      <c r="H115" s="634"/>
      <c r="I115" s="634"/>
      <c r="J115" s="634"/>
      <c r="K115" s="634"/>
      <c r="L115" s="634"/>
      <c r="M115" s="634"/>
      <c r="N115" s="634"/>
      <c r="O115" s="634"/>
      <c r="P115" s="634"/>
      <c r="Q115" s="634"/>
      <c r="R115" s="634"/>
      <c r="S115" s="634"/>
      <c r="T115" s="634"/>
      <c r="U115" s="634"/>
      <c r="V115" s="634"/>
      <c r="W115" s="634"/>
      <c r="X115" s="634"/>
    </row>
    <row r="116" spans="1:24" ht="15.75">
      <c r="A116" s="67"/>
      <c r="B116" s="68"/>
      <c r="C116" s="71"/>
      <c r="D116" s="634"/>
      <c r="E116" s="634"/>
      <c r="F116" s="634"/>
      <c r="G116" s="634"/>
      <c r="H116" s="634"/>
      <c r="I116" s="634"/>
      <c r="J116" s="634"/>
      <c r="K116" s="634"/>
      <c r="L116" s="634"/>
      <c r="M116" s="634"/>
      <c r="N116" s="634"/>
      <c r="O116" s="634"/>
      <c r="P116" s="634"/>
      <c r="Q116" s="634"/>
      <c r="R116" s="634"/>
      <c r="S116" s="634"/>
      <c r="T116" s="634"/>
      <c r="U116" s="634"/>
      <c r="V116" s="634"/>
      <c r="W116" s="634"/>
      <c r="X116" s="634"/>
    </row>
    <row r="117" spans="1:24" ht="15.75">
      <c r="A117" s="67"/>
      <c r="B117" s="68"/>
      <c r="C117" s="71"/>
      <c r="D117" s="72" t="s">
        <v>286</v>
      </c>
      <c r="E117" s="30">
        <v>1</v>
      </c>
      <c r="F117" s="30">
        <v>2</v>
      </c>
      <c r="G117" s="30">
        <v>3</v>
      </c>
      <c r="H117" s="30">
        <v>4</v>
      </c>
      <c r="I117" s="30">
        <v>5</v>
      </c>
      <c r="J117" s="30">
        <v>6</v>
      </c>
      <c r="K117" s="30">
        <v>7</v>
      </c>
      <c r="L117" s="30">
        <v>8</v>
      </c>
      <c r="M117" s="30">
        <v>9</v>
      </c>
      <c r="N117" s="30">
        <v>10</v>
      </c>
      <c r="O117" s="30">
        <v>11</v>
      </c>
      <c r="P117" s="30">
        <v>12</v>
      </c>
      <c r="Q117" s="30">
        <v>13</v>
      </c>
      <c r="R117" s="30">
        <v>14</v>
      </c>
      <c r="S117" s="30">
        <v>15</v>
      </c>
      <c r="T117" s="30">
        <v>16</v>
      </c>
      <c r="U117" s="30">
        <v>17</v>
      </c>
      <c r="V117" s="30">
        <v>18</v>
      </c>
      <c r="W117" s="73" t="s">
        <v>267</v>
      </c>
      <c r="X117" s="74"/>
    </row>
    <row r="118" spans="1:24" ht="16.5" thickBot="1">
      <c r="A118" s="75"/>
      <c r="B118" s="76"/>
      <c r="C118" s="77"/>
      <c r="D118" s="78" t="s">
        <v>288</v>
      </c>
      <c r="E118" s="79">
        <v>0.75</v>
      </c>
      <c r="F118" s="79">
        <v>0.25</v>
      </c>
      <c r="G118" s="79">
        <v>3</v>
      </c>
      <c r="H118" s="79">
        <v>2</v>
      </c>
      <c r="I118" s="79">
        <v>0.75</v>
      </c>
      <c r="J118" s="79">
        <v>-3</v>
      </c>
      <c r="K118" s="79">
        <v>-4</v>
      </c>
      <c r="L118" s="79">
        <v>20</v>
      </c>
      <c r="M118" s="79">
        <v>10</v>
      </c>
      <c r="N118" s="79">
        <v>5</v>
      </c>
      <c r="O118" s="79">
        <v>3</v>
      </c>
      <c r="P118" s="79">
        <v>5</v>
      </c>
      <c r="Q118" s="79">
        <v>7</v>
      </c>
      <c r="R118" s="79">
        <v>3</v>
      </c>
      <c r="S118" s="79">
        <v>3</v>
      </c>
      <c r="T118" s="79">
        <v>3</v>
      </c>
      <c r="U118" s="79">
        <v>8.25</v>
      </c>
      <c r="V118" s="79">
        <v>16</v>
      </c>
      <c r="W118" s="80" t="s">
        <v>287</v>
      </c>
      <c r="X118" s="81" t="s">
        <v>267</v>
      </c>
    </row>
    <row r="119" spans="1:24" ht="19.5">
      <c r="A119" s="82">
        <v>1</v>
      </c>
      <c r="B119" s="96">
        <v>4</v>
      </c>
      <c r="C119" s="84" t="s">
        <v>290</v>
      </c>
      <c r="D119" s="106">
        <v>206</v>
      </c>
      <c r="E119" s="51">
        <v>4.5</v>
      </c>
      <c r="F119" s="51">
        <v>4.25</v>
      </c>
      <c r="G119" s="51">
        <v>0</v>
      </c>
      <c r="H119" s="51">
        <v>2</v>
      </c>
      <c r="I119" s="51">
        <v>0.75</v>
      </c>
      <c r="J119" s="51">
        <v>0</v>
      </c>
      <c r="K119" s="51">
        <v>0</v>
      </c>
      <c r="L119" s="51">
        <v>20</v>
      </c>
      <c r="M119" s="51">
        <v>0</v>
      </c>
      <c r="N119" s="51">
        <v>0</v>
      </c>
      <c r="O119" s="51">
        <v>3</v>
      </c>
      <c r="P119" s="51">
        <v>5</v>
      </c>
      <c r="Q119" s="51">
        <v>7</v>
      </c>
      <c r="R119" s="51">
        <v>3</v>
      </c>
      <c r="S119" s="51">
        <v>0</v>
      </c>
      <c r="T119" s="51">
        <v>0</v>
      </c>
      <c r="U119" s="51">
        <v>0</v>
      </c>
      <c r="V119" s="51">
        <v>0</v>
      </c>
      <c r="W119" s="51">
        <f>SUM(E119:V119)</f>
        <v>49.5</v>
      </c>
      <c r="X119" s="86">
        <v>9</v>
      </c>
    </row>
    <row r="120" spans="1:24" ht="19.5">
      <c r="A120" s="45">
        <v>2</v>
      </c>
      <c r="B120" s="102">
        <v>4</v>
      </c>
      <c r="C120" s="125" t="s">
        <v>12</v>
      </c>
      <c r="D120" s="106">
        <v>156</v>
      </c>
      <c r="E120" s="51">
        <v>1.5</v>
      </c>
      <c r="F120" s="51">
        <v>1.5</v>
      </c>
      <c r="G120" s="51">
        <v>0</v>
      </c>
      <c r="H120" s="51">
        <v>0</v>
      </c>
      <c r="I120" s="51">
        <v>0</v>
      </c>
      <c r="J120" s="51">
        <v>0</v>
      </c>
      <c r="K120" s="51">
        <v>0</v>
      </c>
      <c r="L120" s="51">
        <v>0</v>
      </c>
      <c r="M120" s="51">
        <v>0</v>
      </c>
      <c r="N120" s="51">
        <v>0</v>
      </c>
      <c r="O120" s="51">
        <v>0</v>
      </c>
      <c r="P120" s="51">
        <v>0</v>
      </c>
      <c r="Q120" s="51">
        <v>0</v>
      </c>
      <c r="R120" s="51">
        <v>0</v>
      </c>
      <c r="S120" s="51">
        <v>0</v>
      </c>
      <c r="T120" s="51">
        <v>3</v>
      </c>
      <c r="U120" s="51">
        <v>0</v>
      </c>
      <c r="V120" s="51">
        <v>0</v>
      </c>
      <c r="W120" s="51">
        <f aca="true" t="shared" si="8" ref="W120:W128">SUM(E120:V120)</f>
        <v>6</v>
      </c>
      <c r="X120" s="86">
        <v>9</v>
      </c>
    </row>
    <row r="121" spans="1:24" ht="19.5">
      <c r="A121" s="82">
        <v>3</v>
      </c>
      <c r="B121" s="96">
        <v>4</v>
      </c>
      <c r="C121" s="97" t="s">
        <v>8</v>
      </c>
      <c r="D121" s="106">
        <v>80</v>
      </c>
      <c r="E121" s="51">
        <v>0.75</v>
      </c>
      <c r="F121" s="51">
        <v>0.5</v>
      </c>
      <c r="G121" s="51">
        <v>0</v>
      </c>
      <c r="H121" s="51">
        <v>0</v>
      </c>
      <c r="I121" s="51">
        <v>0</v>
      </c>
      <c r="J121" s="51">
        <v>0</v>
      </c>
      <c r="K121" s="51">
        <v>0</v>
      </c>
      <c r="L121" s="51">
        <v>0</v>
      </c>
      <c r="M121" s="51">
        <v>0</v>
      </c>
      <c r="N121" s="51">
        <v>0</v>
      </c>
      <c r="O121" s="51">
        <v>0</v>
      </c>
      <c r="P121" s="51">
        <v>0</v>
      </c>
      <c r="Q121" s="51">
        <v>0</v>
      </c>
      <c r="R121" s="51">
        <v>0</v>
      </c>
      <c r="S121" s="51">
        <v>3</v>
      </c>
      <c r="T121" s="51">
        <v>0</v>
      </c>
      <c r="U121" s="51">
        <v>0</v>
      </c>
      <c r="V121" s="51">
        <v>0</v>
      </c>
      <c r="W121" s="51">
        <f t="shared" si="8"/>
        <v>4.25</v>
      </c>
      <c r="X121" s="86">
        <v>9</v>
      </c>
    </row>
    <row r="122" spans="1:24" ht="19.5">
      <c r="A122" s="45">
        <v>4</v>
      </c>
      <c r="B122" s="102">
        <v>4</v>
      </c>
      <c r="C122" s="116" t="s">
        <v>10</v>
      </c>
      <c r="D122" s="106">
        <v>52</v>
      </c>
      <c r="E122" s="37">
        <v>0</v>
      </c>
      <c r="F122" s="37">
        <v>1</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51">
        <f t="shared" si="8"/>
        <v>1</v>
      </c>
      <c r="X122" s="86">
        <v>9</v>
      </c>
    </row>
    <row r="123" spans="1:24" ht="19.5">
      <c r="A123" s="82">
        <v>5</v>
      </c>
      <c r="B123" s="96">
        <v>4</v>
      </c>
      <c r="C123" s="97" t="s">
        <v>53</v>
      </c>
      <c r="D123" s="106">
        <v>31</v>
      </c>
      <c r="E123" s="51">
        <v>0.75</v>
      </c>
      <c r="F123" s="51">
        <v>0.25</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f t="shared" si="8"/>
        <v>1</v>
      </c>
      <c r="X123" s="86">
        <v>9</v>
      </c>
    </row>
    <row r="124" spans="1:24" ht="19.5">
      <c r="A124" s="67">
        <v>6</v>
      </c>
      <c r="B124" s="102">
        <v>4</v>
      </c>
      <c r="C124" s="99" t="s">
        <v>52</v>
      </c>
      <c r="D124" s="106">
        <v>24.5</v>
      </c>
      <c r="E124" s="51">
        <v>1.5</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f t="shared" si="8"/>
        <v>1.5</v>
      </c>
      <c r="X124" s="86">
        <v>9</v>
      </c>
    </row>
    <row r="125" spans="1:24" ht="19.5">
      <c r="A125" s="82">
        <v>7</v>
      </c>
      <c r="B125" s="96">
        <v>4</v>
      </c>
      <c r="C125" s="97" t="s">
        <v>289</v>
      </c>
      <c r="D125" s="106">
        <v>12.75</v>
      </c>
      <c r="E125" s="51">
        <v>0</v>
      </c>
      <c r="F125" s="51">
        <v>1.25</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f t="shared" si="8"/>
        <v>1.25</v>
      </c>
      <c r="X125" s="86">
        <v>9</v>
      </c>
    </row>
    <row r="126" spans="1:24" ht="19.5">
      <c r="A126" s="117">
        <v>8</v>
      </c>
      <c r="B126" s="102">
        <v>4</v>
      </c>
      <c r="C126" s="108" t="s">
        <v>324</v>
      </c>
      <c r="D126" s="118">
        <v>6.5</v>
      </c>
      <c r="E126" s="43">
        <v>0</v>
      </c>
      <c r="F126" s="43">
        <v>0.25</v>
      </c>
      <c r="G126" s="43">
        <v>0</v>
      </c>
      <c r="H126" s="43">
        <v>0</v>
      </c>
      <c r="I126" s="43">
        <v>0</v>
      </c>
      <c r="J126" s="43">
        <v>0</v>
      </c>
      <c r="K126" s="43">
        <v>0</v>
      </c>
      <c r="L126" s="43">
        <v>0</v>
      </c>
      <c r="M126" s="43">
        <v>0</v>
      </c>
      <c r="N126" s="43">
        <v>0</v>
      </c>
      <c r="O126" s="43">
        <v>0</v>
      </c>
      <c r="P126" s="43">
        <v>0</v>
      </c>
      <c r="Q126" s="43">
        <v>0</v>
      </c>
      <c r="R126" s="43">
        <v>0</v>
      </c>
      <c r="S126" s="43">
        <v>0</v>
      </c>
      <c r="T126" s="43">
        <v>0</v>
      </c>
      <c r="U126" s="43">
        <v>0</v>
      </c>
      <c r="V126" s="43">
        <v>0</v>
      </c>
      <c r="W126" s="89">
        <f t="shared" si="8"/>
        <v>0.25</v>
      </c>
      <c r="X126" s="44">
        <v>9</v>
      </c>
    </row>
    <row r="127" spans="1:24" ht="19.5">
      <c r="A127" s="121">
        <v>9</v>
      </c>
      <c r="B127" s="96">
        <v>4</v>
      </c>
      <c r="C127" s="122" t="s">
        <v>114</v>
      </c>
      <c r="D127" s="118">
        <v>2.25</v>
      </c>
      <c r="E127" s="89">
        <v>0</v>
      </c>
      <c r="F127" s="89">
        <v>0</v>
      </c>
      <c r="G127" s="89">
        <v>0</v>
      </c>
      <c r="H127" s="89">
        <v>0</v>
      </c>
      <c r="I127" s="89">
        <v>0</v>
      </c>
      <c r="J127" s="89">
        <v>0</v>
      </c>
      <c r="K127" s="89">
        <v>0</v>
      </c>
      <c r="L127" s="89">
        <v>0</v>
      </c>
      <c r="M127" s="89">
        <v>0</v>
      </c>
      <c r="N127" s="89">
        <v>0</v>
      </c>
      <c r="O127" s="89">
        <v>0</v>
      </c>
      <c r="P127" s="89">
        <v>0</v>
      </c>
      <c r="Q127" s="89">
        <v>0</v>
      </c>
      <c r="R127" s="89">
        <v>0</v>
      </c>
      <c r="S127" s="89">
        <v>0</v>
      </c>
      <c r="T127" s="89">
        <v>0</v>
      </c>
      <c r="U127" s="89">
        <v>0</v>
      </c>
      <c r="V127" s="89">
        <v>0</v>
      </c>
      <c r="W127" s="89">
        <f t="shared" si="8"/>
        <v>0</v>
      </c>
      <c r="X127" s="109">
        <v>9</v>
      </c>
    </row>
    <row r="128" spans="1:24" ht="20.25" thickBot="1">
      <c r="A128" s="75">
        <v>10</v>
      </c>
      <c r="B128" s="123">
        <v>4</v>
      </c>
      <c r="C128" s="104" t="s">
        <v>471</v>
      </c>
      <c r="D128" s="113">
        <v>0.75</v>
      </c>
      <c r="E128" s="41">
        <v>0</v>
      </c>
      <c r="F128" s="41">
        <v>0</v>
      </c>
      <c r="G128" s="41">
        <v>0</v>
      </c>
      <c r="H128" s="41">
        <v>0</v>
      </c>
      <c r="I128" s="41">
        <v>0</v>
      </c>
      <c r="J128" s="41">
        <v>0</v>
      </c>
      <c r="K128" s="41">
        <v>0</v>
      </c>
      <c r="L128" s="41">
        <v>0</v>
      </c>
      <c r="M128" s="41">
        <v>0</v>
      </c>
      <c r="N128" s="41">
        <v>0</v>
      </c>
      <c r="O128" s="41">
        <v>0</v>
      </c>
      <c r="P128" s="41">
        <v>0</v>
      </c>
      <c r="Q128" s="41">
        <v>0</v>
      </c>
      <c r="R128" s="41">
        <v>0</v>
      </c>
      <c r="S128" s="41">
        <v>0</v>
      </c>
      <c r="T128" s="41">
        <v>0</v>
      </c>
      <c r="U128" s="41">
        <v>0</v>
      </c>
      <c r="V128" s="41">
        <v>0</v>
      </c>
      <c r="W128" s="52">
        <f t="shared" si="8"/>
        <v>0</v>
      </c>
      <c r="X128" s="42">
        <v>9</v>
      </c>
    </row>
    <row r="129" ht="15.75"/>
    <row r="130" spans="1:24" ht="15.75">
      <c r="A130" s="67"/>
      <c r="B130" s="68"/>
      <c r="C130" s="71"/>
      <c r="D130" s="633" t="s">
        <v>801</v>
      </c>
      <c r="E130" s="634"/>
      <c r="F130" s="634"/>
      <c r="G130" s="634"/>
      <c r="H130" s="634"/>
      <c r="I130" s="634"/>
      <c r="J130" s="634"/>
      <c r="K130" s="634"/>
      <c r="L130" s="634"/>
      <c r="M130" s="634"/>
      <c r="N130" s="634"/>
      <c r="O130" s="634"/>
      <c r="P130" s="634"/>
      <c r="Q130" s="634"/>
      <c r="R130" s="634"/>
      <c r="S130" s="634"/>
      <c r="T130" s="634"/>
      <c r="U130" s="634"/>
      <c r="V130" s="634"/>
      <c r="W130" s="634"/>
      <c r="X130" s="634"/>
    </row>
    <row r="131" spans="1:24" ht="15.75">
      <c r="A131" s="67"/>
      <c r="B131" s="68"/>
      <c r="C131" s="71"/>
      <c r="D131" s="634"/>
      <c r="E131" s="634"/>
      <c r="F131" s="634"/>
      <c r="G131" s="634"/>
      <c r="H131" s="634"/>
      <c r="I131" s="634"/>
      <c r="J131" s="634"/>
      <c r="K131" s="634"/>
      <c r="L131" s="634"/>
      <c r="M131" s="634"/>
      <c r="N131" s="634"/>
      <c r="O131" s="634"/>
      <c r="P131" s="634"/>
      <c r="Q131" s="634"/>
      <c r="R131" s="634"/>
      <c r="S131" s="634"/>
      <c r="T131" s="634"/>
      <c r="U131" s="634"/>
      <c r="V131" s="634"/>
      <c r="W131" s="634"/>
      <c r="X131" s="634"/>
    </row>
    <row r="132" spans="1:24" ht="15.75">
      <c r="A132" s="67"/>
      <c r="B132" s="68"/>
      <c r="C132" s="71"/>
      <c r="D132" s="72" t="s">
        <v>286</v>
      </c>
      <c r="E132" s="30">
        <v>1</v>
      </c>
      <c r="F132" s="30">
        <v>2</v>
      </c>
      <c r="G132" s="30">
        <v>3</v>
      </c>
      <c r="H132" s="30">
        <v>4</v>
      </c>
      <c r="I132" s="30">
        <v>5</v>
      </c>
      <c r="J132" s="30">
        <v>6</v>
      </c>
      <c r="K132" s="30">
        <v>7</v>
      </c>
      <c r="L132" s="30">
        <v>8</v>
      </c>
      <c r="M132" s="30">
        <v>9</v>
      </c>
      <c r="N132" s="30">
        <v>10</v>
      </c>
      <c r="O132" s="30">
        <v>11</v>
      </c>
      <c r="P132" s="30">
        <v>12</v>
      </c>
      <c r="Q132" s="30">
        <v>13</v>
      </c>
      <c r="R132" s="30">
        <v>14</v>
      </c>
      <c r="S132" s="30">
        <v>15</v>
      </c>
      <c r="T132" s="30">
        <v>16</v>
      </c>
      <c r="U132" s="30">
        <v>17</v>
      </c>
      <c r="V132" s="30">
        <v>18</v>
      </c>
      <c r="W132" s="73" t="s">
        <v>267</v>
      </c>
      <c r="X132" s="74"/>
    </row>
    <row r="133" spans="1:24" ht="16.5" thickBot="1">
      <c r="A133" s="75"/>
      <c r="B133" s="76"/>
      <c r="C133" s="77"/>
      <c r="D133" s="78" t="s">
        <v>288</v>
      </c>
      <c r="E133" s="79">
        <v>0.75</v>
      </c>
      <c r="F133" s="79">
        <v>0.25</v>
      </c>
      <c r="G133" s="79">
        <v>3</v>
      </c>
      <c r="H133" s="79">
        <v>2</v>
      </c>
      <c r="I133" s="79">
        <v>0.75</v>
      </c>
      <c r="J133" s="79">
        <v>-3</v>
      </c>
      <c r="K133" s="79">
        <v>-4</v>
      </c>
      <c r="L133" s="79">
        <v>20</v>
      </c>
      <c r="M133" s="79">
        <v>10</v>
      </c>
      <c r="N133" s="79">
        <v>5</v>
      </c>
      <c r="O133" s="79">
        <v>3</v>
      </c>
      <c r="P133" s="79">
        <v>5</v>
      </c>
      <c r="Q133" s="79">
        <v>7</v>
      </c>
      <c r="R133" s="79">
        <v>3</v>
      </c>
      <c r="S133" s="79">
        <v>3</v>
      </c>
      <c r="T133" s="79">
        <v>3</v>
      </c>
      <c r="U133" s="79">
        <v>8.25</v>
      </c>
      <c r="V133" s="79">
        <v>16</v>
      </c>
      <c r="W133" s="80" t="s">
        <v>287</v>
      </c>
      <c r="X133" s="81" t="s">
        <v>267</v>
      </c>
    </row>
    <row r="134" spans="1:24" ht="19.5">
      <c r="A134" s="82">
        <v>1</v>
      </c>
      <c r="B134" s="96">
        <v>4</v>
      </c>
      <c r="C134" s="84" t="s">
        <v>290</v>
      </c>
      <c r="D134" s="106">
        <v>243.75</v>
      </c>
      <c r="E134" s="51">
        <v>3.75</v>
      </c>
      <c r="F134" s="51">
        <v>3.25</v>
      </c>
      <c r="G134" s="51">
        <v>0</v>
      </c>
      <c r="H134" s="51">
        <v>2</v>
      </c>
      <c r="I134" s="51">
        <v>0.75</v>
      </c>
      <c r="J134" s="51">
        <v>0</v>
      </c>
      <c r="K134" s="51">
        <v>0</v>
      </c>
      <c r="L134" s="51">
        <v>0</v>
      </c>
      <c r="M134" s="51">
        <v>10</v>
      </c>
      <c r="N134" s="51">
        <v>0</v>
      </c>
      <c r="O134" s="51">
        <v>3</v>
      </c>
      <c r="P134" s="51">
        <v>5</v>
      </c>
      <c r="Q134" s="51">
        <v>7</v>
      </c>
      <c r="R134" s="51">
        <v>3</v>
      </c>
      <c r="S134" s="51">
        <v>0</v>
      </c>
      <c r="T134" s="51">
        <v>0</v>
      </c>
      <c r="U134" s="51">
        <v>0</v>
      </c>
      <c r="V134" s="51">
        <v>0</v>
      </c>
      <c r="W134" s="51">
        <f>SUM(E134:V134)</f>
        <v>37.75</v>
      </c>
      <c r="X134" s="86">
        <v>10</v>
      </c>
    </row>
    <row r="135" spans="1:24" ht="19.5">
      <c r="A135" s="45">
        <v>2</v>
      </c>
      <c r="B135" s="102">
        <v>4</v>
      </c>
      <c r="C135" s="125" t="s">
        <v>12</v>
      </c>
      <c r="D135" s="106">
        <v>175.75</v>
      </c>
      <c r="E135" s="51">
        <v>2.25</v>
      </c>
      <c r="F135" s="51">
        <v>1.5</v>
      </c>
      <c r="G135" s="51">
        <v>3</v>
      </c>
      <c r="H135" s="51">
        <v>0</v>
      </c>
      <c r="I135" s="51">
        <v>0</v>
      </c>
      <c r="J135" s="51">
        <v>0</v>
      </c>
      <c r="K135" s="51">
        <v>0</v>
      </c>
      <c r="L135" s="51">
        <v>0</v>
      </c>
      <c r="M135" s="51">
        <v>10</v>
      </c>
      <c r="N135" s="51">
        <v>0</v>
      </c>
      <c r="O135" s="51">
        <v>0</v>
      </c>
      <c r="P135" s="51">
        <v>0</v>
      </c>
      <c r="Q135" s="51">
        <v>0</v>
      </c>
      <c r="R135" s="51">
        <v>0</v>
      </c>
      <c r="S135" s="51">
        <v>3</v>
      </c>
      <c r="T135" s="51">
        <v>0</v>
      </c>
      <c r="U135" s="51">
        <v>0</v>
      </c>
      <c r="V135" s="51">
        <v>0</v>
      </c>
      <c r="W135" s="51">
        <f aca="true" t="shared" si="9" ref="W135:W143">SUM(E135:V135)</f>
        <v>19.75</v>
      </c>
      <c r="X135" s="86">
        <v>10</v>
      </c>
    </row>
    <row r="136" spans="1:24" ht="19.5">
      <c r="A136" s="82">
        <v>3</v>
      </c>
      <c r="B136" s="96">
        <v>4</v>
      </c>
      <c r="C136" s="97" t="s">
        <v>8</v>
      </c>
      <c r="D136" s="106">
        <v>84.25</v>
      </c>
      <c r="E136" s="51">
        <v>0.75</v>
      </c>
      <c r="F136" s="51">
        <v>0.5</v>
      </c>
      <c r="G136" s="51">
        <v>0</v>
      </c>
      <c r="H136" s="51">
        <v>0</v>
      </c>
      <c r="I136" s="51">
        <v>0</v>
      </c>
      <c r="J136" s="51">
        <v>0</v>
      </c>
      <c r="K136" s="51">
        <v>0</v>
      </c>
      <c r="L136" s="51">
        <v>0</v>
      </c>
      <c r="M136" s="51">
        <v>0</v>
      </c>
      <c r="N136" s="51">
        <v>0</v>
      </c>
      <c r="O136" s="51">
        <v>0</v>
      </c>
      <c r="P136" s="51">
        <v>0</v>
      </c>
      <c r="Q136" s="51">
        <v>0</v>
      </c>
      <c r="R136" s="51">
        <v>0</v>
      </c>
      <c r="S136" s="51">
        <v>0</v>
      </c>
      <c r="T136" s="51">
        <v>3</v>
      </c>
      <c r="U136" s="51">
        <v>0</v>
      </c>
      <c r="V136" s="51">
        <v>0</v>
      </c>
      <c r="W136" s="51">
        <f t="shared" si="9"/>
        <v>4.25</v>
      </c>
      <c r="X136" s="86">
        <v>10</v>
      </c>
    </row>
    <row r="137" spans="1:24" ht="19.5">
      <c r="A137" s="45">
        <v>4</v>
      </c>
      <c r="B137" s="102">
        <v>4</v>
      </c>
      <c r="C137" s="116" t="s">
        <v>10</v>
      </c>
      <c r="D137" s="106">
        <v>54</v>
      </c>
      <c r="E137" s="37">
        <v>0</v>
      </c>
      <c r="F137" s="37">
        <v>0</v>
      </c>
      <c r="G137" s="37">
        <v>0</v>
      </c>
      <c r="H137" s="37">
        <v>2</v>
      </c>
      <c r="I137" s="37">
        <v>0</v>
      </c>
      <c r="J137" s="37">
        <v>0</v>
      </c>
      <c r="K137" s="37">
        <v>0</v>
      </c>
      <c r="L137" s="37">
        <v>0</v>
      </c>
      <c r="M137" s="37">
        <v>0</v>
      </c>
      <c r="N137" s="37">
        <v>0</v>
      </c>
      <c r="O137" s="37">
        <v>0</v>
      </c>
      <c r="P137" s="37">
        <v>0</v>
      </c>
      <c r="Q137" s="37">
        <v>0</v>
      </c>
      <c r="R137" s="37">
        <v>0</v>
      </c>
      <c r="S137" s="37">
        <v>0</v>
      </c>
      <c r="T137" s="37">
        <v>0</v>
      </c>
      <c r="U137" s="37">
        <v>0</v>
      </c>
      <c r="V137" s="37">
        <v>0</v>
      </c>
      <c r="W137" s="51">
        <f t="shared" si="9"/>
        <v>2</v>
      </c>
      <c r="X137" s="86">
        <v>10</v>
      </c>
    </row>
    <row r="138" spans="1:24" ht="19.5">
      <c r="A138" s="82">
        <v>5</v>
      </c>
      <c r="B138" s="96">
        <v>4</v>
      </c>
      <c r="C138" s="97" t="s">
        <v>53</v>
      </c>
      <c r="D138" s="106">
        <v>33.25</v>
      </c>
      <c r="E138" s="51">
        <v>2.25</v>
      </c>
      <c r="F138" s="51">
        <v>0</v>
      </c>
      <c r="G138" s="51">
        <v>0</v>
      </c>
      <c r="H138" s="51">
        <v>0</v>
      </c>
      <c r="I138" s="51">
        <v>0</v>
      </c>
      <c r="J138" s="51">
        <v>0</v>
      </c>
      <c r="K138" s="51">
        <v>0</v>
      </c>
      <c r="L138" s="51">
        <v>0</v>
      </c>
      <c r="M138" s="51">
        <v>0</v>
      </c>
      <c r="N138" s="51">
        <v>0</v>
      </c>
      <c r="O138" s="51">
        <v>0</v>
      </c>
      <c r="P138" s="51">
        <v>0</v>
      </c>
      <c r="Q138" s="51">
        <v>0</v>
      </c>
      <c r="R138" s="51">
        <v>0</v>
      </c>
      <c r="S138" s="51">
        <v>0</v>
      </c>
      <c r="T138" s="51">
        <v>0</v>
      </c>
      <c r="U138" s="51">
        <v>0</v>
      </c>
      <c r="V138" s="51">
        <v>0</v>
      </c>
      <c r="W138" s="51">
        <f t="shared" si="9"/>
        <v>2.25</v>
      </c>
      <c r="X138" s="86">
        <v>10</v>
      </c>
    </row>
    <row r="139" spans="1:24" ht="19.5">
      <c r="A139" s="67">
        <v>6</v>
      </c>
      <c r="B139" s="102">
        <v>4</v>
      </c>
      <c r="C139" s="99" t="s">
        <v>52</v>
      </c>
      <c r="D139" s="106">
        <v>24.5</v>
      </c>
      <c r="E139" s="51">
        <v>0</v>
      </c>
      <c r="F139" s="51">
        <v>0</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f t="shared" si="9"/>
        <v>0</v>
      </c>
      <c r="X139" s="86">
        <v>10</v>
      </c>
    </row>
    <row r="140" spans="1:24" ht="19.5">
      <c r="A140" s="82">
        <v>7</v>
      </c>
      <c r="B140" s="96">
        <v>4</v>
      </c>
      <c r="C140" s="97" t="s">
        <v>289</v>
      </c>
      <c r="D140" s="106">
        <v>13.75</v>
      </c>
      <c r="E140" s="51">
        <v>0</v>
      </c>
      <c r="F140" s="51">
        <v>1</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f t="shared" si="9"/>
        <v>1</v>
      </c>
      <c r="X140" s="86">
        <v>10</v>
      </c>
    </row>
    <row r="141" spans="1:24" ht="19.5">
      <c r="A141" s="117">
        <v>8</v>
      </c>
      <c r="B141" s="102">
        <v>4</v>
      </c>
      <c r="C141" s="108" t="s">
        <v>324</v>
      </c>
      <c r="D141" s="118">
        <v>7.25</v>
      </c>
      <c r="E141" s="43">
        <v>0</v>
      </c>
      <c r="F141" s="43">
        <v>0.75</v>
      </c>
      <c r="G141" s="43">
        <v>0</v>
      </c>
      <c r="H141" s="43">
        <v>0</v>
      </c>
      <c r="I141" s="43">
        <v>0</v>
      </c>
      <c r="J141" s="43">
        <v>0</v>
      </c>
      <c r="K141" s="43">
        <v>0</v>
      </c>
      <c r="L141" s="43">
        <v>0</v>
      </c>
      <c r="M141" s="43">
        <v>0</v>
      </c>
      <c r="N141" s="43">
        <v>0</v>
      </c>
      <c r="O141" s="43">
        <v>0</v>
      </c>
      <c r="P141" s="43">
        <v>0</v>
      </c>
      <c r="Q141" s="43">
        <v>0</v>
      </c>
      <c r="R141" s="43">
        <v>0</v>
      </c>
      <c r="S141" s="43">
        <v>0</v>
      </c>
      <c r="T141" s="43">
        <v>0</v>
      </c>
      <c r="U141" s="43">
        <v>0</v>
      </c>
      <c r="V141" s="43">
        <v>0</v>
      </c>
      <c r="W141" s="89">
        <f t="shared" si="9"/>
        <v>0.75</v>
      </c>
      <c r="X141" s="44">
        <v>10</v>
      </c>
    </row>
    <row r="142" spans="1:24" ht="19.5">
      <c r="A142" s="121">
        <v>9</v>
      </c>
      <c r="B142" s="96">
        <v>4</v>
      </c>
      <c r="C142" s="122" t="s">
        <v>114</v>
      </c>
      <c r="D142" s="118">
        <v>2.25</v>
      </c>
      <c r="E142" s="89">
        <v>0</v>
      </c>
      <c r="F142" s="89">
        <v>0</v>
      </c>
      <c r="G142" s="89">
        <v>0</v>
      </c>
      <c r="H142" s="89">
        <v>0</v>
      </c>
      <c r="I142" s="89">
        <v>0</v>
      </c>
      <c r="J142" s="89">
        <v>0</v>
      </c>
      <c r="K142" s="89">
        <v>0</v>
      </c>
      <c r="L142" s="89">
        <v>0</v>
      </c>
      <c r="M142" s="89">
        <v>0</v>
      </c>
      <c r="N142" s="89">
        <v>0</v>
      </c>
      <c r="O142" s="89">
        <v>0</v>
      </c>
      <c r="P142" s="89">
        <v>0</v>
      </c>
      <c r="Q142" s="89">
        <v>0</v>
      </c>
      <c r="R142" s="89">
        <v>0</v>
      </c>
      <c r="S142" s="89">
        <v>0</v>
      </c>
      <c r="T142" s="89">
        <v>0</v>
      </c>
      <c r="U142" s="89">
        <v>0</v>
      </c>
      <c r="V142" s="89">
        <v>0</v>
      </c>
      <c r="W142" s="89">
        <f t="shared" si="9"/>
        <v>0</v>
      </c>
      <c r="X142" s="109">
        <v>10</v>
      </c>
    </row>
    <row r="143" spans="1:24" ht="20.25" thickBot="1">
      <c r="A143" s="75">
        <v>10</v>
      </c>
      <c r="B143" s="123">
        <v>4</v>
      </c>
      <c r="C143" s="104" t="s">
        <v>471</v>
      </c>
      <c r="D143" s="113">
        <v>0.75</v>
      </c>
      <c r="E143" s="41">
        <v>0</v>
      </c>
      <c r="F143" s="41">
        <v>0</v>
      </c>
      <c r="G143" s="41">
        <v>0</v>
      </c>
      <c r="H143" s="41">
        <v>0</v>
      </c>
      <c r="I143" s="41">
        <v>0</v>
      </c>
      <c r="J143" s="41">
        <v>0</v>
      </c>
      <c r="K143" s="41">
        <v>0</v>
      </c>
      <c r="L143" s="41">
        <v>0</v>
      </c>
      <c r="M143" s="41">
        <v>0</v>
      </c>
      <c r="N143" s="41">
        <v>0</v>
      </c>
      <c r="O143" s="41">
        <v>0</v>
      </c>
      <c r="P143" s="41">
        <v>0</v>
      </c>
      <c r="Q143" s="41">
        <v>0</v>
      </c>
      <c r="R143" s="41">
        <v>0</v>
      </c>
      <c r="S143" s="41">
        <v>0</v>
      </c>
      <c r="T143" s="41">
        <v>0</v>
      </c>
      <c r="U143" s="41">
        <v>0</v>
      </c>
      <c r="V143" s="41">
        <v>0</v>
      </c>
      <c r="W143" s="52">
        <f t="shared" si="9"/>
        <v>0</v>
      </c>
      <c r="X143" s="42">
        <v>10</v>
      </c>
    </row>
    <row r="144" ht="15.75"/>
    <row r="145" spans="1:24" ht="15.75">
      <c r="A145" s="67"/>
      <c r="B145" s="68"/>
      <c r="C145" s="71"/>
      <c r="D145" s="633" t="s">
        <v>802</v>
      </c>
      <c r="E145" s="634"/>
      <c r="F145" s="634"/>
      <c r="G145" s="634"/>
      <c r="H145" s="634"/>
      <c r="I145" s="634"/>
      <c r="J145" s="634"/>
      <c r="K145" s="634"/>
      <c r="L145" s="634"/>
      <c r="M145" s="634"/>
      <c r="N145" s="634"/>
      <c r="O145" s="634"/>
      <c r="P145" s="634"/>
      <c r="Q145" s="634"/>
      <c r="R145" s="634"/>
      <c r="S145" s="634"/>
      <c r="T145" s="634"/>
      <c r="U145" s="634"/>
      <c r="V145" s="634"/>
      <c r="W145" s="634"/>
      <c r="X145" s="634"/>
    </row>
    <row r="146" spans="1:24" ht="15.75">
      <c r="A146" s="67"/>
      <c r="B146" s="68"/>
      <c r="C146" s="71"/>
      <c r="D146" s="634"/>
      <c r="E146" s="634"/>
      <c r="F146" s="634"/>
      <c r="G146" s="634"/>
      <c r="H146" s="634"/>
      <c r="I146" s="634"/>
      <c r="J146" s="634"/>
      <c r="K146" s="634"/>
      <c r="L146" s="634"/>
      <c r="M146" s="634"/>
      <c r="N146" s="634"/>
      <c r="O146" s="634"/>
      <c r="P146" s="634"/>
      <c r="Q146" s="634"/>
      <c r="R146" s="634"/>
      <c r="S146" s="634"/>
      <c r="T146" s="634"/>
      <c r="U146" s="634"/>
      <c r="V146" s="634"/>
      <c r="W146" s="634"/>
      <c r="X146" s="634"/>
    </row>
    <row r="147" spans="1:24" ht="15.75">
      <c r="A147" s="67"/>
      <c r="B147" s="68"/>
      <c r="C147" s="71"/>
      <c r="D147" s="72" t="s">
        <v>286</v>
      </c>
      <c r="E147" s="30">
        <v>1</v>
      </c>
      <c r="F147" s="30">
        <v>2</v>
      </c>
      <c r="G147" s="30">
        <v>3</v>
      </c>
      <c r="H147" s="30">
        <v>4</v>
      </c>
      <c r="I147" s="30">
        <v>5</v>
      </c>
      <c r="J147" s="30">
        <v>6</v>
      </c>
      <c r="K147" s="30">
        <v>7</v>
      </c>
      <c r="L147" s="30">
        <v>8</v>
      </c>
      <c r="M147" s="30">
        <v>9</v>
      </c>
      <c r="N147" s="30">
        <v>10</v>
      </c>
      <c r="O147" s="30">
        <v>11</v>
      </c>
      <c r="P147" s="30">
        <v>12</v>
      </c>
      <c r="Q147" s="30">
        <v>13</v>
      </c>
      <c r="R147" s="30">
        <v>14</v>
      </c>
      <c r="S147" s="30">
        <v>15</v>
      </c>
      <c r="T147" s="30">
        <v>16</v>
      </c>
      <c r="U147" s="30">
        <v>17</v>
      </c>
      <c r="V147" s="30">
        <v>18</v>
      </c>
      <c r="W147" s="73" t="s">
        <v>267</v>
      </c>
      <c r="X147" s="74"/>
    </row>
    <row r="148" spans="1:24" ht="16.5" thickBot="1">
      <c r="A148" s="75"/>
      <c r="B148" s="76"/>
      <c r="C148" s="77"/>
      <c r="D148" s="78" t="s">
        <v>288</v>
      </c>
      <c r="E148" s="79">
        <v>0.75</v>
      </c>
      <c r="F148" s="79">
        <v>0.25</v>
      </c>
      <c r="G148" s="79">
        <v>3</v>
      </c>
      <c r="H148" s="79">
        <v>2</v>
      </c>
      <c r="I148" s="79">
        <v>0.75</v>
      </c>
      <c r="J148" s="79">
        <v>-3</v>
      </c>
      <c r="K148" s="79">
        <v>-4</v>
      </c>
      <c r="L148" s="79">
        <v>20</v>
      </c>
      <c r="M148" s="79">
        <v>10</v>
      </c>
      <c r="N148" s="79">
        <v>5</v>
      </c>
      <c r="O148" s="79">
        <v>3</v>
      </c>
      <c r="P148" s="79">
        <v>5</v>
      </c>
      <c r="Q148" s="79">
        <v>7</v>
      </c>
      <c r="R148" s="79">
        <v>3</v>
      </c>
      <c r="S148" s="79">
        <v>3</v>
      </c>
      <c r="T148" s="79">
        <v>3</v>
      </c>
      <c r="U148" s="79">
        <v>8.25</v>
      </c>
      <c r="V148" s="79">
        <v>16</v>
      </c>
      <c r="W148" s="80" t="s">
        <v>287</v>
      </c>
      <c r="X148" s="81" t="s">
        <v>267</v>
      </c>
    </row>
    <row r="149" spans="1:24" ht="19.5">
      <c r="A149" s="82">
        <v>1</v>
      </c>
      <c r="B149" s="96">
        <v>4</v>
      </c>
      <c r="C149" s="84" t="s">
        <v>290</v>
      </c>
      <c r="D149" s="106">
        <v>281.5</v>
      </c>
      <c r="E149" s="51">
        <v>0.75</v>
      </c>
      <c r="F149" s="51">
        <v>1.25</v>
      </c>
      <c r="G149" s="51">
        <v>0</v>
      </c>
      <c r="H149" s="51">
        <v>4</v>
      </c>
      <c r="I149" s="51">
        <v>0.75</v>
      </c>
      <c r="J149" s="51">
        <v>0</v>
      </c>
      <c r="K149" s="51">
        <v>0</v>
      </c>
      <c r="L149" s="51">
        <v>0</v>
      </c>
      <c r="M149" s="51">
        <v>10</v>
      </c>
      <c r="N149" s="51">
        <v>0</v>
      </c>
      <c r="O149" s="51">
        <v>3</v>
      </c>
      <c r="P149" s="51">
        <v>5</v>
      </c>
      <c r="Q149" s="51">
        <v>7</v>
      </c>
      <c r="R149" s="51">
        <v>3</v>
      </c>
      <c r="S149" s="51">
        <v>0</v>
      </c>
      <c r="T149" s="51">
        <v>3</v>
      </c>
      <c r="U149" s="51">
        <v>0</v>
      </c>
      <c r="V149" s="51">
        <v>0</v>
      </c>
      <c r="W149" s="51">
        <f>SUM(E149:V149)</f>
        <v>37.75</v>
      </c>
      <c r="X149" s="86">
        <v>11</v>
      </c>
    </row>
    <row r="150" spans="1:24" ht="19.5">
      <c r="A150" s="45">
        <v>2</v>
      </c>
      <c r="B150" s="102">
        <v>4</v>
      </c>
      <c r="C150" s="125" t="s">
        <v>12</v>
      </c>
      <c r="D150" s="106">
        <v>189.75</v>
      </c>
      <c r="E150" s="51">
        <v>2.25</v>
      </c>
      <c r="F150" s="51">
        <v>1.75</v>
      </c>
      <c r="G150" s="51">
        <v>0</v>
      </c>
      <c r="H150" s="51">
        <v>2</v>
      </c>
      <c r="I150" s="51">
        <v>0</v>
      </c>
      <c r="J150" s="51">
        <v>0</v>
      </c>
      <c r="K150" s="51">
        <v>0</v>
      </c>
      <c r="L150" s="51">
        <v>0</v>
      </c>
      <c r="M150" s="51">
        <v>0</v>
      </c>
      <c r="N150" s="51">
        <v>5</v>
      </c>
      <c r="O150" s="51">
        <v>0</v>
      </c>
      <c r="P150" s="51">
        <v>0</v>
      </c>
      <c r="Q150" s="51">
        <v>0</v>
      </c>
      <c r="R150" s="51">
        <v>0</v>
      </c>
      <c r="S150" s="51">
        <v>3</v>
      </c>
      <c r="T150" s="51">
        <v>0</v>
      </c>
      <c r="U150" s="51">
        <v>0</v>
      </c>
      <c r="V150" s="51">
        <v>0</v>
      </c>
      <c r="W150" s="51">
        <f aca="true" t="shared" si="10" ref="W150:W158">SUM(E150:V150)</f>
        <v>14</v>
      </c>
      <c r="X150" s="86">
        <v>11</v>
      </c>
    </row>
    <row r="151" spans="1:24" ht="19.5">
      <c r="A151" s="82">
        <v>3</v>
      </c>
      <c r="B151" s="96">
        <v>4</v>
      </c>
      <c r="C151" s="97" t="s">
        <v>8</v>
      </c>
      <c r="D151" s="106">
        <v>87.25</v>
      </c>
      <c r="E151" s="51">
        <v>0.75</v>
      </c>
      <c r="F151" s="51">
        <v>0.25</v>
      </c>
      <c r="G151" s="51">
        <v>0</v>
      </c>
      <c r="H151" s="51">
        <v>2</v>
      </c>
      <c r="I151" s="51">
        <v>0</v>
      </c>
      <c r="J151" s="51">
        <v>0</v>
      </c>
      <c r="K151" s="51">
        <v>0</v>
      </c>
      <c r="L151" s="51">
        <v>0</v>
      </c>
      <c r="M151" s="51">
        <v>0</v>
      </c>
      <c r="N151" s="51">
        <v>0</v>
      </c>
      <c r="O151" s="51">
        <v>0</v>
      </c>
      <c r="P151" s="51">
        <v>0</v>
      </c>
      <c r="Q151" s="51">
        <v>0</v>
      </c>
      <c r="R151" s="51">
        <v>0</v>
      </c>
      <c r="S151" s="51">
        <v>0</v>
      </c>
      <c r="T151" s="51">
        <v>0</v>
      </c>
      <c r="U151" s="51">
        <v>0</v>
      </c>
      <c r="V151" s="51">
        <v>0</v>
      </c>
      <c r="W151" s="51">
        <f t="shared" si="10"/>
        <v>3</v>
      </c>
      <c r="X151" s="86">
        <v>11</v>
      </c>
    </row>
    <row r="152" spans="1:24" ht="19.5">
      <c r="A152" s="45">
        <v>4</v>
      </c>
      <c r="B152" s="102">
        <v>4</v>
      </c>
      <c r="C152" s="116" t="s">
        <v>10</v>
      </c>
      <c r="D152" s="106">
        <v>57</v>
      </c>
      <c r="E152" s="37">
        <v>0</v>
      </c>
      <c r="F152" s="37">
        <v>1</v>
      </c>
      <c r="G152" s="37">
        <v>0</v>
      </c>
      <c r="H152" s="37">
        <v>2</v>
      </c>
      <c r="I152" s="37">
        <v>0</v>
      </c>
      <c r="J152" s="37">
        <v>0</v>
      </c>
      <c r="K152" s="37">
        <v>0</v>
      </c>
      <c r="L152" s="37">
        <v>0</v>
      </c>
      <c r="M152" s="37">
        <v>0</v>
      </c>
      <c r="N152" s="37">
        <v>0</v>
      </c>
      <c r="O152" s="37">
        <v>0</v>
      </c>
      <c r="P152" s="37">
        <v>0</v>
      </c>
      <c r="Q152" s="37">
        <v>0</v>
      </c>
      <c r="R152" s="37">
        <v>0</v>
      </c>
      <c r="S152" s="37">
        <v>0</v>
      </c>
      <c r="T152" s="37">
        <v>0</v>
      </c>
      <c r="U152" s="37">
        <v>0</v>
      </c>
      <c r="V152" s="37">
        <v>0</v>
      </c>
      <c r="W152" s="51">
        <f t="shared" si="10"/>
        <v>3</v>
      </c>
      <c r="X152" s="86">
        <v>11</v>
      </c>
    </row>
    <row r="153" spans="1:24" ht="19.5">
      <c r="A153" s="82">
        <v>5</v>
      </c>
      <c r="B153" s="96">
        <v>4</v>
      </c>
      <c r="C153" s="97" t="s">
        <v>53</v>
      </c>
      <c r="D153" s="106">
        <v>37</v>
      </c>
      <c r="E153" s="51">
        <v>0.75</v>
      </c>
      <c r="F153" s="51">
        <v>0</v>
      </c>
      <c r="G153" s="51">
        <v>3</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f t="shared" si="10"/>
        <v>3.75</v>
      </c>
      <c r="X153" s="86">
        <v>11</v>
      </c>
    </row>
    <row r="154" spans="1:24" ht="19.5">
      <c r="A154" s="67">
        <v>6</v>
      </c>
      <c r="B154" s="102">
        <v>4</v>
      </c>
      <c r="C154" s="99" t="s">
        <v>52</v>
      </c>
      <c r="D154" s="106">
        <v>25.25</v>
      </c>
      <c r="E154" s="51">
        <v>0.75</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f t="shared" si="10"/>
        <v>0.75</v>
      </c>
      <c r="X154" s="86">
        <v>11</v>
      </c>
    </row>
    <row r="155" spans="1:24" ht="19.5">
      <c r="A155" s="82">
        <v>7</v>
      </c>
      <c r="B155" s="96">
        <v>4</v>
      </c>
      <c r="C155" s="97" t="s">
        <v>289</v>
      </c>
      <c r="D155" s="106">
        <v>13.5</v>
      </c>
      <c r="E155" s="51">
        <v>0</v>
      </c>
      <c r="F155" s="51">
        <v>0.75</v>
      </c>
      <c r="G155" s="51">
        <v>0</v>
      </c>
      <c r="H155" s="51">
        <v>2</v>
      </c>
      <c r="I155" s="51">
        <v>0</v>
      </c>
      <c r="J155" s="51">
        <v>-3</v>
      </c>
      <c r="K155" s="51">
        <v>0</v>
      </c>
      <c r="L155" s="51">
        <v>0</v>
      </c>
      <c r="M155" s="51">
        <v>0</v>
      </c>
      <c r="N155" s="51">
        <v>0</v>
      </c>
      <c r="O155" s="51">
        <v>0</v>
      </c>
      <c r="P155" s="51">
        <v>0</v>
      </c>
      <c r="Q155" s="51">
        <v>0</v>
      </c>
      <c r="R155" s="51">
        <v>0</v>
      </c>
      <c r="S155" s="51">
        <v>0</v>
      </c>
      <c r="T155" s="51">
        <v>0</v>
      </c>
      <c r="U155" s="51">
        <v>0</v>
      </c>
      <c r="V155" s="51">
        <v>0</v>
      </c>
      <c r="W155" s="51">
        <f t="shared" si="10"/>
        <v>-0.25</v>
      </c>
      <c r="X155" s="86">
        <v>11</v>
      </c>
    </row>
    <row r="156" spans="1:24" ht="19.5">
      <c r="A156" s="117">
        <v>8</v>
      </c>
      <c r="B156" s="102">
        <v>4</v>
      </c>
      <c r="C156" s="108" t="s">
        <v>324</v>
      </c>
      <c r="D156" s="118">
        <v>7.75</v>
      </c>
      <c r="E156" s="43">
        <v>0</v>
      </c>
      <c r="F156" s="43">
        <v>0.5</v>
      </c>
      <c r="G156" s="43">
        <v>0</v>
      </c>
      <c r="H156" s="43">
        <v>0</v>
      </c>
      <c r="I156" s="43">
        <v>0</v>
      </c>
      <c r="J156" s="43">
        <v>0</v>
      </c>
      <c r="K156" s="43">
        <v>0</v>
      </c>
      <c r="L156" s="43">
        <v>0</v>
      </c>
      <c r="M156" s="43">
        <v>0</v>
      </c>
      <c r="N156" s="43">
        <v>0</v>
      </c>
      <c r="O156" s="43">
        <v>0</v>
      </c>
      <c r="P156" s="43">
        <v>0</v>
      </c>
      <c r="Q156" s="43">
        <v>0</v>
      </c>
      <c r="R156" s="43">
        <v>0</v>
      </c>
      <c r="S156" s="43">
        <v>0</v>
      </c>
      <c r="T156" s="43">
        <v>0</v>
      </c>
      <c r="U156" s="43">
        <v>0</v>
      </c>
      <c r="V156" s="43">
        <v>0</v>
      </c>
      <c r="W156" s="89">
        <f t="shared" si="10"/>
        <v>0.5</v>
      </c>
      <c r="X156" s="44">
        <v>11</v>
      </c>
    </row>
    <row r="157" spans="1:24" ht="19.5">
      <c r="A157" s="121">
        <v>9</v>
      </c>
      <c r="B157" s="96">
        <v>4</v>
      </c>
      <c r="C157" s="122" t="s">
        <v>114</v>
      </c>
      <c r="D157" s="118">
        <v>2.25</v>
      </c>
      <c r="E157" s="89">
        <v>0</v>
      </c>
      <c r="F157" s="89">
        <v>0</v>
      </c>
      <c r="G157" s="89">
        <v>0</v>
      </c>
      <c r="H157" s="89">
        <v>0</v>
      </c>
      <c r="I157" s="89">
        <v>0</v>
      </c>
      <c r="J157" s="89">
        <v>0</v>
      </c>
      <c r="K157" s="89">
        <v>0</v>
      </c>
      <c r="L157" s="89">
        <v>0</v>
      </c>
      <c r="M157" s="89">
        <v>0</v>
      </c>
      <c r="N157" s="89">
        <v>0</v>
      </c>
      <c r="O157" s="89">
        <v>0</v>
      </c>
      <c r="P157" s="89">
        <v>0</v>
      </c>
      <c r="Q157" s="89">
        <v>0</v>
      </c>
      <c r="R157" s="89">
        <v>0</v>
      </c>
      <c r="S157" s="89">
        <v>0</v>
      </c>
      <c r="T157" s="89">
        <v>0</v>
      </c>
      <c r="U157" s="89">
        <v>0</v>
      </c>
      <c r="V157" s="89">
        <v>0</v>
      </c>
      <c r="W157" s="89">
        <f t="shared" si="10"/>
        <v>0</v>
      </c>
      <c r="X157" s="109">
        <v>11</v>
      </c>
    </row>
    <row r="158" spans="1:24" ht="20.25" thickBot="1">
      <c r="A158" s="75">
        <v>10</v>
      </c>
      <c r="B158" s="123">
        <v>4</v>
      </c>
      <c r="C158" s="104" t="s">
        <v>471</v>
      </c>
      <c r="D158" s="113">
        <v>0.75</v>
      </c>
      <c r="E158" s="41">
        <v>0</v>
      </c>
      <c r="F158" s="41">
        <v>0</v>
      </c>
      <c r="G158" s="41">
        <v>0</v>
      </c>
      <c r="H158" s="41">
        <v>0</v>
      </c>
      <c r="I158" s="41">
        <v>0</v>
      </c>
      <c r="J158" s="41">
        <v>0</v>
      </c>
      <c r="K158" s="41">
        <v>0</v>
      </c>
      <c r="L158" s="41">
        <v>0</v>
      </c>
      <c r="M158" s="41">
        <v>0</v>
      </c>
      <c r="N158" s="41">
        <v>0</v>
      </c>
      <c r="O158" s="41">
        <v>0</v>
      </c>
      <c r="P158" s="41">
        <v>0</v>
      </c>
      <c r="Q158" s="41">
        <v>0</v>
      </c>
      <c r="R158" s="41">
        <v>0</v>
      </c>
      <c r="S158" s="41">
        <v>0</v>
      </c>
      <c r="T158" s="41">
        <v>0</v>
      </c>
      <c r="U158" s="41">
        <v>0</v>
      </c>
      <c r="V158" s="41">
        <v>0</v>
      </c>
      <c r="W158" s="52">
        <f t="shared" si="10"/>
        <v>0</v>
      </c>
      <c r="X158" s="42">
        <v>11</v>
      </c>
    </row>
    <row r="159" ht="15.75"/>
    <row r="160" spans="1:24" ht="15.75">
      <c r="A160" s="67"/>
      <c r="B160" s="68"/>
      <c r="C160" s="71"/>
      <c r="D160" s="633" t="s">
        <v>803</v>
      </c>
      <c r="E160" s="634"/>
      <c r="F160" s="634"/>
      <c r="G160" s="634"/>
      <c r="H160" s="634"/>
      <c r="I160" s="634"/>
      <c r="J160" s="634"/>
      <c r="K160" s="634"/>
      <c r="L160" s="634"/>
      <c r="M160" s="634"/>
      <c r="N160" s="634"/>
      <c r="O160" s="634"/>
      <c r="P160" s="634"/>
      <c r="Q160" s="634"/>
      <c r="R160" s="634"/>
      <c r="S160" s="634"/>
      <c r="T160" s="634"/>
      <c r="U160" s="634"/>
      <c r="V160" s="634"/>
      <c r="W160" s="634"/>
      <c r="X160" s="634"/>
    </row>
    <row r="161" spans="1:24" ht="15.75">
      <c r="A161" s="67"/>
      <c r="B161" s="68"/>
      <c r="C161" s="71"/>
      <c r="D161" s="634"/>
      <c r="E161" s="634"/>
      <c r="F161" s="634"/>
      <c r="G161" s="634"/>
      <c r="H161" s="634"/>
      <c r="I161" s="634"/>
      <c r="J161" s="634"/>
      <c r="K161" s="634"/>
      <c r="L161" s="634"/>
      <c r="M161" s="634"/>
      <c r="N161" s="634"/>
      <c r="O161" s="634"/>
      <c r="P161" s="634"/>
      <c r="Q161" s="634"/>
      <c r="R161" s="634"/>
      <c r="S161" s="634"/>
      <c r="T161" s="634"/>
      <c r="U161" s="634"/>
      <c r="V161" s="634"/>
      <c r="W161" s="634"/>
      <c r="X161" s="634"/>
    </row>
    <row r="162" spans="1:24" ht="15.75">
      <c r="A162" s="67"/>
      <c r="B162" s="68"/>
      <c r="C162" s="71"/>
      <c r="D162" s="72" t="s">
        <v>286</v>
      </c>
      <c r="E162" s="30">
        <v>1</v>
      </c>
      <c r="F162" s="30">
        <v>2</v>
      </c>
      <c r="G162" s="30">
        <v>3</v>
      </c>
      <c r="H162" s="30">
        <v>4</v>
      </c>
      <c r="I162" s="30">
        <v>5</v>
      </c>
      <c r="J162" s="30">
        <v>6</v>
      </c>
      <c r="K162" s="30">
        <v>7</v>
      </c>
      <c r="L162" s="30">
        <v>8</v>
      </c>
      <c r="M162" s="30">
        <v>9</v>
      </c>
      <c r="N162" s="30">
        <v>10</v>
      </c>
      <c r="O162" s="30">
        <v>11</v>
      </c>
      <c r="P162" s="30">
        <v>12</v>
      </c>
      <c r="Q162" s="30">
        <v>13</v>
      </c>
      <c r="R162" s="30">
        <v>14</v>
      </c>
      <c r="S162" s="30">
        <v>15</v>
      </c>
      <c r="T162" s="30">
        <v>16</v>
      </c>
      <c r="U162" s="30">
        <v>17</v>
      </c>
      <c r="V162" s="30">
        <v>18</v>
      </c>
      <c r="W162" s="73" t="s">
        <v>267</v>
      </c>
      <c r="X162" s="74"/>
    </row>
    <row r="163" spans="1:24" ht="16.5" thickBot="1">
      <c r="A163" s="75"/>
      <c r="B163" s="76"/>
      <c r="C163" s="77"/>
      <c r="D163" s="78" t="s">
        <v>288</v>
      </c>
      <c r="E163" s="79">
        <v>0.75</v>
      </c>
      <c r="F163" s="79">
        <v>0.25</v>
      </c>
      <c r="G163" s="79">
        <v>3</v>
      </c>
      <c r="H163" s="79">
        <v>2</v>
      </c>
      <c r="I163" s="79">
        <v>0.75</v>
      </c>
      <c r="J163" s="79">
        <v>-3</v>
      </c>
      <c r="K163" s="79">
        <v>-4</v>
      </c>
      <c r="L163" s="79">
        <v>20</v>
      </c>
      <c r="M163" s="79">
        <v>10</v>
      </c>
      <c r="N163" s="79">
        <v>5</v>
      </c>
      <c r="O163" s="79">
        <v>3</v>
      </c>
      <c r="P163" s="79">
        <v>5</v>
      </c>
      <c r="Q163" s="79">
        <v>7</v>
      </c>
      <c r="R163" s="79">
        <v>3</v>
      </c>
      <c r="S163" s="79">
        <v>3</v>
      </c>
      <c r="T163" s="79">
        <v>3</v>
      </c>
      <c r="U163" s="79">
        <v>8.25</v>
      </c>
      <c r="V163" s="79">
        <v>16</v>
      </c>
      <c r="W163" s="80" t="s">
        <v>287</v>
      </c>
      <c r="X163" s="81" t="s">
        <v>267</v>
      </c>
    </row>
    <row r="164" spans="1:24" ht="19.5">
      <c r="A164" s="82">
        <v>1</v>
      </c>
      <c r="B164" s="96">
        <v>4</v>
      </c>
      <c r="C164" s="84" t="s">
        <v>290</v>
      </c>
      <c r="D164" s="106">
        <v>313</v>
      </c>
      <c r="E164" s="51">
        <v>1.5</v>
      </c>
      <c r="F164" s="51">
        <v>3.25</v>
      </c>
      <c r="G164" s="51">
        <v>0</v>
      </c>
      <c r="H164" s="51">
        <v>0</v>
      </c>
      <c r="I164" s="51">
        <v>0.75</v>
      </c>
      <c r="J164" s="51">
        <v>0</v>
      </c>
      <c r="K164" s="51">
        <v>0</v>
      </c>
      <c r="L164" s="51">
        <v>0</v>
      </c>
      <c r="M164" s="51">
        <v>0</v>
      </c>
      <c r="N164" s="51">
        <v>5</v>
      </c>
      <c r="O164" s="51">
        <v>3</v>
      </c>
      <c r="P164" s="51">
        <v>5</v>
      </c>
      <c r="Q164" s="51">
        <v>7</v>
      </c>
      <c r="R164" s="51">
        <v>3</v>
      </c>
      <c r="S164" s="51">
        <v>0</v>
      </c>
      <c r="T164" s="51">
        <v>3</v>
      </c>
      <c r="U164" s="51">
        <v>0</v>
      </c>
      <c r="V164" s="51">
        <v>0</v>
      </c>
      <c r="W164" s="51">
        <f>SUM(E164:V164)</f>
        <v>31.5</v>
      </c>
      <c r="X164" s="86">
        <v>12</v>
      </c>
    </row>
    <row r="165" spans="1:24" ht="19.5">
      <c r="A165" s="45">
        <v>2</v>
      </c>
      <c r="B165" s="102">
        <v>4</v>
      </c>
      <c r="C165" s="125" t="s">
        <v>12</v>
      </c>
      <c r="D165" s="106">
        <v>201.5</v>
      </c>
      <c r="E165" s="51">
        <v>2.25</v>
      </c>
      <c r="F165" s="51">
        <v>1.5</v>
      </c>
      <c r="G165" s="51">
        <v>3</v>
      </c>
      <c r="H165" s="51">
        <v>2</v>
      </c>
      <c r="I165" s="51">
        <v>0</v>
      </c>
      <c r="J165" s="51">
        <v>0</v>
      </c>
      <c r="K165" s="51">
        <v>0</v>
      </c>
      <c r="L165" s="51">
        <v>0</v>
      </c>
      <c r="M165" s="51">
        <v>0</v>
      </c>
      <c r="N165" s="51">
        <v>0</v>
      </c>
      <c r="O165" s="51">
        <v>0</v>
      </c>
      <c r="P165" s="51">
        <v>0</v>
      </c>
      <c r="Q165" s="51">
        <v>0</v>
      </c>
      <c r="R165" s="51">
        <v>0</v>
      </c>
      <c r="S165" s="51">
        <v>3</v>
      </c>
      <c r="T165" s="51">
        <v>0</v>
      </c>
      <c r="U165" s="51">
        <v>0</v>
      </c>
      <c r="V165" s="51">
        <v>0</v>
      </c>
      <c r="W165" s="51">
        <f aca="true" t="shared" si="11" ref="W165:W174">SUM(E165:V165)</f>
        <v>11.75</v>
      </c>
      <c r="X165" s="86">
        <v>12</v>
      </c>
    </row>
    <row r="166" spans="1:24" ht="19.5">
      <c r="A166" s="82">
        <v>3</v>
      </c>
      <c r="B166" s="96">
        <v>4</v>
      </c>
      <c r="C166" s="97" t="s">
        <v>8</v>
      </c>
      <c r="D166" s="106">
        <v>89</v>
      </c>
      <c r="E166" s="51">
        <v>0.75</v>
      </c>
      <c r="F166" s="51">
        <v>1</v>
      </c>
      <c r="G166" s="51">
        <v>0</v>
      </c>
      <c r="H166" s="51">
        <v>0</v>
      </c>
      <c r="I166" s="51">
        <v>0</v>
      </c>
      <c r="J166" s="51">
        <v>0</v>
      </c>
      <c r="K166" s="51">
        <v>0</v>
      </c>
      <c r="L166" s="51">
        <v>0</v>
      </c>
      <c r="M166" s="51">
        <v>0</v>
      </c>
      <c r="N166" s="51">
        <v>0</v>
      </c>
      <c r="O166" s="51">
        <v>0</v>
      </c>
      <c r="P166" s="51">
        <v>0</v>
      </c>
      <c r="Q166" s="51">
        <v>0</v>
      </c>
      <c r="R166" s="51">
        <v>0</v>
      </c>
      <c r="S166" s="51">
        <v>0</v>
      </c>
      <c r="T166" s="51">
        <v>0</v>
      </c>
      <c r="U166" s="51">
        <v>0</v>
      </c>
      <c r="V166" s="51">
        <v>0</v>
      </c>
      <c r="W166" s="51">
        <f t="shared" si="11"/>
        <v>1.75</v>
      </c>
      <c r="X166" s="86">
        <v>12</v>
      </c>
    </row>
    <row r="167" spans="1:24" ht="19.5">
      <c r="A167" s="45">
        <v>4</v>
      </c>
      <c r="B167" s="102">
        <v>4</v>
      </c>
      <c r="C167" s="116" t="s">
        <v>10</v>
      </c>
      <c r="D167" s="106">
        <v>59.25</v>
      </c>
      <c r="E167" s="37">
        <v>0</v>
      </c>
      <c r="F167" s="37">
        <v>0.25</v>
      </c>
      <c r="G167" s="37">
        <v>0</v>
      </c>
      <c r="H167" s="37">
        <v>2</v>
      </c>
      <c r="I167" s="37">
        <v>0</v>
      </c>
      <c r="J167" s="37">
        <v>0</v>
      </c>
      <c r="K167" s="37">
        <v>0</v>
      </c>
      <c r="L167" s="37">
        <v>0</v>
      </c>
      <c r="M167" s="37">
        <v>0</v>
      </c>
      <c r="N167" s="37">
        <v>0</v>
      </c>
      <c r="O167" s="37">
        <v>0</v>
      </c>
      <c r="P167" s="37">
        <v>0</v>
      </c>
      <c r="Q167" s="37">
        <v>0</v>
      </c>
      <c r="R167" s="37">
        <v>0</v>
      </c>
      <c r="S167" s="37">
        <v>0</v>
      </c>
      <c r="T167" s="37">
        <v>0</v>
      </c>
      <c r="U167" s="37">
        <v>0</v>
      </c>
      <c r="V167" s="37">
        <v>0</v>
      </c>
      <c r="W167" s="51">
        <f t="shared" si="11"/>
        <v>2.25</v>
      </c>
      <c r="X167" s="86">
        <v>12</v>
      </c>
    </row>
    <row r="168" spans="1:24" ht="19.5">
      <c r="A168" s="82">
        <v>5</v>
      </c>
      <c r="B168" s="96">
        <v>4</v>
      </c>
      <c r="C168" s="97" t="s">
        <v>53</v>
      </c>
      <c r="D168" s="106">
        <v>39.75</v>
      </c>
      <c r="E168" s="51">
        <v>0.75</v>
      </c>
      <c r="F168" s="51">
        <v>0</v>
      </c>
      <c r="G168" s="51">
        <v>0</v>
      </c>
      <c r="H168" s="51">
        <v>2</v>
      </c>
      <c r="I168" s="51">
        <v>0</v>
      </c>
      <c r="J168" s="51">
        <v>0</v>
      </c>
      <c r="K168" s="51">
        <v>0</v>
      </c>
      <c r="L168" s="51">
        <v>0</v>
      </c>
      <c r="M168" s="51">
        <v>0</v>
      </c>
      <c r="N168" s="51">
        <v>0</v>
      </c>
      <c r="O168" s="51">
        <v>0</v>
      </c>
      <c r="P168" s="51">
        <v>0</v>
      </c>
      <c r="Q168" s="51">
        <v>0</v>
      </c>
      <c r="R168" s="51">
        <v>0</v>
      </c>
      <c r="S168" s="51">
        <v>0</v>
      </c>
      <c r="T168" s="51">
        <v>0</v>
      </c>
      <c r="U168" s="51">
        <v>0</v>
      </c>
      <c r="V168" s="51">
        <v>0</v>
      </c>
      <c r="W168" s="51">
        <f t="shared" si="11"/>
        <v>2.75</v>
      </c>
      <c r="X168" s="86">
        <v>12</v>
      </c>
    </row>
    <row r="169" spans="1:24" ht="19.5">
      <c r="A169" s="67">
        <v>6</v>
      </c>
      <c r="B169" s="102">
        <v>4</v>
      </c>
      <c r="C169" s="99" t="s">
        <v>52</v>
      </c>
      <c r="D169" s="106">
        <v>28.25</v>
      </c>
      <c r="E169" s="51">
        <v>0</v>
      </c>
      <c r="F169" s="51">
        <v>0</v>
      </c>
      <c r="G169" s="51">
        <v>3</v>
      </c>
      <c r="H169" s="51">
        <v>0</v>
      </c>
      <c r="I169" s="51">
        <v>0</v>
      </c>
      <c r="J169" s="51">
        <v>0</v>
      </c>
      <c r="K169" s="51">
        <v>0</v>
      </c>
      <c r="L169" s="51">
        <v>0</v>
      </c>
      <c r="M169" s="51">
        <v>0</v>
      </c>
      <c r="N169" s="51">
        <v>0</v>
      </c>
      <c r="O169" s="51">
        <v>0</v>
      </c>
      <c r="P169" s="51">
        <v>0</v>
      </c>
      <c r="Q169" s="51">
        <v>0</v>
      </c>
      <c r="R169" s="51">
        <v>0</v>
      </c>
      <c r="S169" s="51">
        <v>0</v>
      </c>
      <c r="T169" s="51">
        <v>0</v>
      </c>
      <c r="U169" s="51">
        <v>0</v>
      </c>
      <c r="V169" s="51">
        <v>0</v>
      </c>
      <c r="W169" s="51">
        <f t="shared" si="11"/>
        <v>3</v>
      </c>
      <c r="X169" s="86">
        <v>12</v>
      </c>
    </row>
    <row r="170" spans="1:24" ht="19.5">
      <c r="A170" s="82">
        <v>7</v>
      </c>
      <c r="B170" s="96">
        <v>4</v>
      </c>
      <c r="C170" s="97" t="s">
        <v>289</v>
      </c>
      <c r="D170" s="106">
        <v>14</v>
      </c>
      <c r="E170" s="51">
        <v>0</v>
      </c>
      <c r="F170" s="51">
        <v>1.5</v>
      </c>
      <c r="G170" s="51">
        <v>0</v>
      </c>
      <c r="H170" s="51">
        <v>2</v>
      </c>
      <c r="I170" s="51">
        <v>0</v>
      </c>
      <c r="J170" s="51">
        <v>-3</v>
      </c>
      <c r="K170" s="51">
        <v>0</v>
      </c>
      <c r="L170" s="51">
        <v>0</v>
      </c>
      <c r="M170" s="51">
        <v>0</v>
      </c>
      <c r="N170" s="51">
        <v>0</v>
      </c>
      <c r="O170" s="51">
        <v>0</v>
      </c>
      <c r="P170" s="51">
        <v>0</v>
      </c>
      <c r="Q170" s="51">
        <v>0</v>
      </c>
      <c r="R170" s="51">
        <v>0</v>
      </c>
      <c r="S170" s="51">
        <v>0</v>
      </c>
      <c r="T170" s="51">
        <v>0</v>
      </c>
      <c r="U170" s="51">
        <v>0</v>
      </c>
      <c r="V170" s="51">
        <v>0</v>
      </c>
      <c r="W170" s="51">
        <f t="shared" si="11"/>
        <v>0.5</v>
      </c>
      <c r="X170" s="86">
        <v>12</v>
      </c>
    </row>
    <row r="171" spans="1:24" ht="19.5">
      <c r="A171" s="117">
        <v>8</v>
      </c>
      <c r="B171" s="102">
        <v>4</v>
      </c>
      <c r="C171" s="108" t="s">
        <v>324</v>
      </c>
      <c r="D171" s="118">
        <v>8</v>
      </c>
      <c r="E171" s="43">
        <v>0</v>
      </c>
      <c r="F171" s="43">
        <v>0.25</v>
      </c>
      <c r="G171" s="43">
        <v>0</v>
      </c>
      <c r="H171" s="43">
        <v>0</v>
      </c>
      <c r="I171" s="43">
        <v>0</v>
      </c>
      <c r="J171" s="43">
        <v>0</v>
      </c>
      <c r="K171" s="43">
        <v>0</v>
      </c>
      <c r="L171" s="43">
        <v>0</v>
      </c>
      <c r="M171" s="43">
        <v>0</v>
      </c>
      <c r="N171" s="43">
        <v>0</v>
      </c>
      <c r="O171" s="43">
        <v>0</v>
      </c>
      <c r="P171" s="43">
        <v>0</v>
      </c>
      <c r="Q171" s="43">
        <v>0</v>
      </c>
      <c r="R171" s="43">
        <v>0</v>
      </c>
      <c r="S171" s="43">
        <v>0</v>
      </c>
      <c r="T171" s="43">
        <v>0</v>
      </c>
      <c r="U171" s="43">
        <v>0</v>
      </c>
      <c r="V171" s="43">
        <v>0</v>
      </c>
      <c r="W171" s="89">
        <f t="shared" si="11"/>
        <v>0.25</v>
      </c>
      <c r="X171" s="44">
        <v>12</v>
      </c>
    </row>
    <row r="172" spans="1:24" ht="19.5">
      <c r="A172" s="121">
        <v>9</v>
      </c>
      <c r="B172" s="96">
        <v>4</v>
      </c>
      <c r="C172" s="122" t="s">
        <v>114</v>
      </c>
      <c r="D172" s="118">
        <v>2.25</v>
      </c>
      <c r="E172" s="89">
        <v>0</v>
      </c>
      <c r="F172" s="89">
        <v>0</v>
      </c>
      <c r="G172" s="89">
        <v>0</v>
      </c>
      <c r="H172" s="89">
        <v>0</v>
      </c>
      <c r="I172" s="89">
        <v>0</v>
      </c>
      <c r="J172" s="89">
        <v>0</v>
      </c>
      <c r="K172" s="89">
        <v>0</v>
      </c>
      <c r="L172" s="89">
        <v>0</v>
      </c>
      <c r="M172" s="89">
        <v>0</v>
      </c>
      <c r="N172" s="89">
        <v>0</v>
      </c>
      <c r="O172" s="89">
        <v>0</v>
      </c>
      <c r="P172" s="89">
        <v>0</v>
      </c>
      <c r="Q172" s="89">
        <v>0</v>
      </c>
      <c r="R172" s="89">
        <v>0</v>
      </c>
      <c r="S172" s="89">
        <v>0</v>
      </c>
      <c r="T172" s="89">
        <v>0</v>
      </c>
      <c r="U172" s="89">
        <v>0</v>
      </c>
      <c r="V172" s="89">
        <v>0</v>
      </c>
      <c r="W172" s="89">
        <f t="shared" si="11"/>
        <v>0</v>
      </c>
      <c r="X172" s="109">
        <v>12</v>
      </c>
    </row>
    <row r="173" spans="1:24" ht="19.5">
      <c r="A173" s="50">
        <v>10</v>
      </c>
      <c r="B173" s="102">
        <v>4</v>
      </c>
      <c r="C173" s="126" t="s">
        <v>471</v>
      </c>
      <c r="D173" s="118">
        <v>0.75</v>
      </c>
      <c r="E173" s="89">
        <v>0</v>
      </c>
      <c r="F173" s="89">
        <v>0</v>
      </c>
      <c r="G173" s="89">
        <v>0</v>
      </c>
      <c r="H173" s="89">
        <v>0</v>
      </c>
      <c r="I173" s="89">
        <v>0</v>
      </c>
      <c r="J173" s="89">
        <v>0</v>
      </c>
      <c r="K173" s="89">
        <v>0</v>
      </c>
      <c r="L173" s="89">
        <v>0</v>
      </c>
      <c r="M173" s="89">
        <v>0</v>
      </c>
      <c r="N173" s="89">
        <v>0</v>
      </c>
      <c r="O173" s="89">
        <v>0</v>
      </c>
      <c r="P173" s="89">
        <v>0</v>
      </c>
      <c r="Q173" s="89">
        <v>0</v>
      </c>
      <c r="R173" s="89">
        <v>0</v>
      </c>
      <c r="S173" s="89">
        <v>0</v>
      </c>
      <c r="T173" s="89">
        <v>0</v>
      </c>
      <c r="U173" s="89">
        <v>0</v>
      </c>
      <c r="V173" s="89">
        <v>0</v>
      </c>
      <c r="W173" s="89">
        <v>0</v>
      </c>
      <c r="X173" s="109">
        <v>12</v>
      </c>
    </row>
    <row r="174" spans="1:24" ht="20.25" thickBot="1">
      <c r="A174" s="110">
        <v>11</v>
      </c>
      <c r="B174" s="111"/>
      <c r="C174" s="112" t="s">
        <v>622</v>
      </c>
      <c r="D174" s="113">
        <v>0</v>
      </c>
      <c r="E174" s="41">
        <v>0</v>
      </c>
      <c r="F174" s="41">
        <v>0</v>
      </c>
      <c r="G174" s="41">
        <v>0</v>
      </c>
      <c r="H174" s="41">
        <v>0</v>
      </c>
      <c r="I174" s="41">
        <v>0</v>
      </c>
      <c r="J174" s="41">
        <v>0</v>
      </c>
      <c r="K174" s="41">
        <v>0</v>
      </c>
      <c r="L174" s="41">
        <v>0</v>
      </c>
      <c r="M174" s="41">
        <v>0</v>
      </c>
      <c r="N174" s="41">
        <v>0</v>
      </c>
      <c r="O174" s="41">
        <v>0</v>
      </c>
      <c r="P174" s="41">
        <v>0</v>
      </c>
      <c r="Q174" s="41">
        <v>0</v>
      </c>
      <c r="R174" s="41">
        <v>0</v>
      </c>
      <c r="S174" s="41">
        <v>0</v>
      </c>
      <c r="T174" s="41">
        <v>0</v>
      </c>
      <c r="U174" s="41">
        <v>0</v>
      </c>
      <c r="V174" s="41">
        <v>0</v>
      </c>
      <c r="W174" s="52">
        <f t="shared" si="11"/>
        <v>0</v>
      </c>
      <c r="X174" s="42">
        <v>12</v>
      </c>
    </row>
    <row r="175" ht="15.75"/>
    <row r="176" spans="1:24" ht="15.75">
      <c r="A176" s="67"/>
      <c r="B176" s="68"/>
      <c r="C176" s="71"/>
      <c r="D176" s="633" t="s">
        <v>804</v>
      </c>
      <c r="E176" s="634"/>
      <c r="F176" s="634"/>
      <c r="G176" s="634"/>
      <c r="H176" s="634"/>
      <c r="I176" s="634"/>
      <c r="J176" s="634"/>
      <c r="K176" s="634"/>
      <c r="L176" s="634"/>
      <c r="M176" s="634"/>
      <c r="N176" s="634"/>
      <c r="O176" s="634"/>
      <c r="P176" s="634"/>
      <c r="Q176" s="634"/>
      <c r="R176" s="634"/>
      <c r="S176" s="634"/>
      <c r="T176" s="634"/>
      <c r="U176" s="634"/>
      <c r="V176" s="634"/>
      <c r="W176" s="634"/>
      <c r="X176" s="634"/>
    </row>
    <row r="177" spans="1:24" ht="15.75">
      <c r="A177" s="67"/>
      <c r="B177" s="68"/>
      <c r="C177" s="71"/>
      <c r="D177" s="634"/>
      <c r="E177" s="634"/>
      <c r="F177" s="634"/>
      <c r="G177" s="634"/>
      <c r="H177" s="634"/>
      <c r="I177" s="634"/>
      <c r="J177" s="634"/>
      <c r="K177" s="634"/>
      <c r="L177" s="634"/>
      <c r="M177" s="634"/>
      <c r="N177" s="634"/>
      <c r="O177" s="634"/>
      <c r="P177" s="634"/>
      <c r="Q177" s="634"/>
      <c r="R177" s="634"/>
      <c r="S177" s="634"/>
      <c r="T177" s="634"/>
      <c r="U177" s="634"/>
      <c r="V177" s="634"/>
      <c r="W177" s="634"/>
      <c r="X177" s="634"/>
    </row>
    <row r="178" spans="1:24" ht="15.75">
      <c r="A178" s="67"/>
      <c r="B178" s="68"/>
      <c r="C178" s="71"/>
      <c r="D178" s="72" t="s">
        <v>286</v>
      </c>
      <c r="E178" s="30">
        <v>1</v>
      </c>
      <c r="F178" s="30">
        <v>2</v>
      </c>
      <c r="G178" s="30">
        <v>3</v>
      </c>
      <c r="H178" s="30">
        <v>4</v>
      </c>
      <c r="I178" s="30">
        <v>5</v>
      </c>
      <c r="J178" s="30">
        <v>6</v>
      </c>
      <c r="K178" s="30">
        <v>7</v>
      </c>
      <c r="L178" s="30">
        <v>8</v>
      </c>
      <c r="M178" s="30">
        <v>9</v>
      </c>
      <c r="N178" s="30">
        <v>10</v>
      </c>
      <c r="O178" s="30">
        <v>11</v>
      </c>
      <c r="P178" s="30">
        <v>12</v>
      </c>
      <c r="Q178" s="30">
        <v>13</v>
      </c>
      <c r="R178" s="30">
        <v>14</v>
      </c>
      <c r="S178" s="30">
        <v>15</v>
      </c>
      <c r="T178" s="30">
        <v>16</v>
      </c>
      <c r="U178" s="30">
        <v>17</v>
      </c>
      <c r="V178" s="30">
        <v>18</v>
      </c>
      <c r="W178" s="73" t="s">
        <v>267</v>
      </c>
      <c r="X178" s="74"/>
    </row>
    <row r="179" spans="1:24" ht="16.5" thickBot="1">
      <c r="A179" s="75"/>
      <c r="B179" s="76"/>
      <c r="C179" s="77"/>
      <c r="D179" s="78" t="s">
        <v>288</v>
      </c>
      <c r="E179" s="79">
        <v>0.75</v>
      </c>
      <c r="F179" s="79">
        <v>0.25</v>
      </c>
      <c r="G179" s="79">
        <v>3</v>
      </c>
      <c r="H179" s="79">
        <v>2</v>
      </c>
      <c r="I179" s="79">
        <v>0.75</v>
      </c>
      <c r="J179" s="79">
        <v>-3</v>
      </c>
      <c r="K179" s="79">
        <v>-4</v>
      </c>
      <c r="L179" s="79">
        <v>20</v>
      </c>
      <c r="M179" s="79">
        <v>10</v>
      </c>
      <c r="N179" s="79">
        <v>5</v>
      </c>
      <c r="O179" s="79">
        <v>3</v>
      </c>
      <c r="P179" s="79">
        <v>5</v>
      </c>
      <c r="Q179" s="79">
        <v>7</v>
      </c>
      <c r="R179" s="79">
        <v>3</v>
      </c>
      <c r="S179" s="79">
        <v>3</v>
      </c>
      <c r="T179" s="79">
        <v>3</v>
      </c>
      <c r="U179" s="79">
        <v>8.25</v>
      </c>
      <c r="V179" s="79">
        <v>16</v>
      </c>
      <c r="W179" s="80" t="s">
        <v>287</v>
      </c>
      <c r="X179" s="81" t="s">
        <v>267</v>
      </c>
    </row>
    <row r="180" spans="1:24" ht="19.5">
      <c r="A180" s="82">
        <v>1</v>
      </c>
      <c r="B180" s="96">
        <v>4</v>
      </c>
      <c r="C180" s="84" t="s">
        <v>290</v>
      </c>
      <c r="D180" s="106">
        <v>342</v>
      </c>
      <c r="E180" s="51">
        <v>0.75</v>
      </c>
      <c r="F180" s="51">
        <v>1.5</v>
      </c>
      <c r="G180" s="51">
        <v>3</v>
      </c>
      <c r="H180" s="51">
        <v>2</v>
      </c>
      <c r="I180" s="51">
        <v>0.75</v>
      </c>
      <c r="J180" s="51">
        <v>0</v>
      </c>
      <c r="K180" s="51">
        <v>0</v>
      </c>
      <c r="L180" s="51">
        <v>0</v>
      </c>
      <c r="M180" s="51">
        <v>0</v>
      </c>
      <c r="N180" s="51">
        <v>0</v>
      </c>
      <c r="O180" s="51">
        <v>3</v>
      </c>
      <c r="P180" s="51">
        <v>5</v>
      </c>
      <c r="Q180" s="51">
        <v>7</v>
      </c>
      <c r="R180" s="51">
        <v>3</v>
      </c>
      <c r="S180" s="51">
        <v>0</v>
      </c>
      <c r="T180" s="51">
        <v>3</v>
      </c>
      <c r="U180" s="51">
        <v>0</v>
      </c>
      <c r="V180" s="51">
        <v>0</v>
      </c>
      <c r="W180" s="51">
        <f>SUM(E180:V180)</f>
        <v>29</v>
      </c>
      <c r="X180" s="86">
        <v>13</v>
      </c>
    </row>
    <row r="181" spans="1:24" ht="19.5">
      <c r="A181" s="45">
        <v>2</v>
      </c>
      <c r="B181" s="102">
        <v>4</v>
      </c>
      <c r="C181" s="125" t="s">
        <v>12</v>
      </c>
      <c r="D181" s="106">
        <v>207.75</v>
      </c>
      <c r="E181" s="51">
        <v>1.5</v>
      </c>
      <c r="F181" s="51">
        <v>1.75</v>
      </c>
      <c r="G181" s="51">
        <v>0</v>
      </c>
      <c r="H181" s="51">
        <v>0</v>
      </c>
      <c r="I181" s="51">
        <v>0</v>
      </c>
      <c r="J181" s="51">
        <v>0</v>
      </c>
      <c r="K181" s="51">
        <v>0</v>
      </c>
      <c r="L181" s="51">
        <v>0</v>
      </c>
      <c r="M181" s="51">
        <v>0</v>
      </c>
      <c r="N181" s="51">
        <v>0</v>
      </c>
      <c r="O181" s="51">
        <v>0</v>
      </c>
      <c r="P181" s="51">
        <v>0</v>
      </c>
      <c r="Q181" s="51">
        <v>0</v>
      </c>
      <c r="R181" s="51">
        <v>0</v>
      </c>
      <c r="S181" s="51">
        <v>3</v>
      </c>
      <c r="T181" s="51">
        <v>0</v>
      </c>
      <c r="U181" s="51">
        <v>0</v>
      </c>
      <c r="V181" s="51">
        <v>0</v>
      </c>
      <c r="W181" s="51">
        <f aca="true" t="shared" si="12" ref="W181:W188">SUM(E181:V181)</f>
        <v>6.25</v>
      </c>
      <c r="X181" s="86">
        <v>13</v>
      </c>
    </row>
    <row r="182" spans="1:24" ht="19.5">
      <c r="A182" s="82">
        <v>3</v>
      </c>
      <c r="B182" s="96">
        <v>4</v>
      </c>
      <c r="C182" s="97" t="s">
        <v>8</v>
      </c>
      <c r="D182" s="106">
        <v>92</v>
      </c>
      <c r="E182" s="51">
        <v>0</v>
      </c>
      <c r="F182" s="51">
        <v>1</v>
      </c>
      <c r="G182" s="51">
        <v>0</v>
      </c>
      <c r="H182" s="51">
        <v>2</v>
      </c>
      <c r="I182" s="51">
        <v>0</v>
      </c>
      <c r="J182" s="51">
        <v>0</v>
      </c>
      <c r="K182" s="51">
        <v>0</v>
      </c>
      <c r="L182" s="51">
        <v>0</v>
      </c>
      <c r="M182" s="51">
        <v>0</v>
      </c>
      <c r="N182" s="51">
        <v>0</v>
      </c>
      <c r="O182" s="51">
        <v>0</v>
      </c>
      <c r="P182" s="51">
        <v>0</v>
      </c>
      <c r="Q182" s="51">
        <v>0</v>
      </c>
      <c r="R182" s="51">
        <v>0</v>
      </c>
      <c r="S182" s="51">
        <v>0</v>
      </c>
      <c r="T182" s="51">
        <v>0</v>
      </c>
      <c r="U182" s="51">
        <v>0</v>
      </c>
      <c r="V182" s="51">
        <v>0</v>
      </c>
      <c r="W182" s="51">
        <f t="shared" si="12"/>
        <v>3</v>
      </c>
      <c r="X182" s="86">
        <v>13</v>
      </c>
    </row>
    <row r="183" spans="1:24" ht="19.5">
      <c r="A183" s="45">
        <v>4</v>
      </c>
      <c r="B183" s="102">
        <v>4</v>
      </c>
      <c r="C183" s="116" t="s">
        <v>10</v>
      </c>
      <c r="D183" s="106">
        <v>60.25</v>
      </c>
      <c r="E183" s="37">
        <v>0</v>
      </c>
      <c r="F183" s="37">
        <v>1</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51">
        <f t="shared" si="12"/>
        <v>1</v>
      </c>
      <c r="X183" s="86">
        <v>13</v>
      </c>
    </row>
    <row r="184" spans="1:24" ht="19.5">
      <c r="A184" s="82">
        <v>5</v>
      </c>
      <c r="B184" s="96">
        <v>4</v>
      </c>
      <c r="C184" s="97" t="s">
        <v>53</v>
      </c>
      <c r="D184" s="106">
        <v>42.25</v>
      </c>
      <c r="E184" s="51">
        <v>2.25</v>
      </c>
      <c r="F184" s="51">
        <v>0.25</v>
      </c>
      <c r="G184" s="51">
        <v>0</v>
      </c>
      <c r="H184" s="51">
        <v>0</v>
      </c>
      <c r="I184" s="51">
        <v>0</v>
      </c>
      <c r="J184" s="51">
        <v>0</v>
      </c>
      <c r="K184" s="51">
        <v>0</v>
      </c>
      <c r="L184" s="51">
        <v>0</v>
      </c>
      <c r="M184" s="51">
        <v>0</v>
      </c>
      <c r="N184" s="51">
        <v>0</v>
      </c>
      <c r="O184" s="51">
        <v>0</v>
      </c>
      <c r="P184" s="51">
        <v>0</v>
      </c>
      <c r="Q184" s="51">
        <v>0</v>
      </c>
      <c r="R184" s="51">
        <v>0</v>
      </c>
      <c r="S184" s="51">
        <v>0</v>
      </c>
      <c r="T184" s="51">
        <v>0</v>
      </c>
      <c r="U184" s="51">
        <v>0</v>
      </c>
      <c r="V184" s="51">
        <v>0</v>
      </c>
      <c r="W184" s="51">
        <f t="shared" si="12"/>
        <v>2.5</v>
      </c>
      <c r="X184" s="86">
        <v>13</v>
      </c>
    </row>
    <row r="185" spans="1:24" ht="19.5">
      <c r="A185" s="67">
        <v>6</v>
      </c>
      <c r="B185" s="102">
        <v>4</v>
      </c>
      <c r="C185" s="99" t="s">
        <v>52</v>
      </c>
      <c r="D185" s="106">
        <v>32.25</v>
      </c>
      <c r="E185" s="51">
        <v>0.75</v>
      </c>
      <c r="F185" s="51">
        <v>0.25</v>
      </c>
      <c r="G185" s="51">
        <v>3</v>
      </c>
      <c r="H185" s="51">
        <v>0</v>
      </c>
      <c r="I185" s="51">
        <v>0</v>
      </c>
      <c r="J185" s="51">
        <v>0</v>
      </c>
      <c r="K185" s="51">
        <v>0</v>
      </c>
      <c r="L185" s="51">
        <v>0</v>
      </c>
      <c r="M185" s="51">
        <v>0</v>
      </c>
      <c r="N185" s="51">
        <v>0</v>
      </c>
      <c r="O185" s="51">
        <v>0</v>
      </c>
      <c r="P185" s="51">
        <v>0</v>
      </c>
      <c r="Q185" s="51">
        <v>0</v>
      </c>
      <c r="R185" s="51">
        <v>0</v>
      </c>
      <c r="S185" s="51">
        <v>0</v>
      </c>
      <c r="T185" s="51">
        <v>0</v>
      </c>
      <c r="U185" s="51">
        <v>0</v>
      </c>
      <c r="V185" s="51">
        <v>0</v>
      </c>
      <c r="W185" s="51">
        <f t="shared" si="12"/>
        <v>4</v>
      </c>
      <c r="X185" s="86">
        <v>13</v>
      </c>
    </row>
    <row r="186" spans="1:24" ht="19.5">
      <c r="A186" s="82">
        <v>7</v>
      </c>
      <c r="B186" s="96">
        <v>4</v>
      </c>
      <c r="C186" s="97" t="s">
        <v>289</v>
      </c>
      <c r="D186" s="106">
        <v>14.25</v>
      </c>
      <c r="E186" s="51">
        <v>0</v>
      </c>
      <c r="F186" s="51">
        <v>1.25</v>
      </c>
      <c r="G186" s="51">
        <v>0</v>
      </c>
      <c r="H186" s="51">
        <v>2</v>
      </c>
      <c r="I186" s="51">
        <v>0</v>
      </c>
      <c r="J186" s="51">
        <v>-3</v>
      </c>
      <c r="K186" s="51">
        <v>0</v>
      </c>
      <c r="L186" s="51">
        <v>0</v>
      </c>
      <c r="M186" s="51">
        <v>0</v>
      </c>
      <c r="N186" s="51">
        <v>0</v>
      </c>
      <c r="O186" s="51">
        <v>0</v>
      </c>
      <c r="P186" s="51">
        <v>0</v>
      </c>
      <c r="Q186" s="51">
        <v>0</v>
      </c>
      <c r="R186" s="51">
        <v>0</v>
      </c>
      <c r="S186" s="51">
        <v>0</v>
      </c>
      <c r="T186" s="51">
        <v>0</v>
      </c>
      <c r="U186" s="51">
        <v>0</v>
      </c>
      <c r="V186" s="51">
        <v>0</v>
      </c>
      <c r="W186" s="51">
        <f t="shared" si="12"/>
        <v>0.25</v>
      </c>
      <c r="X186" s="86">
        <v>13</v>
      </c>
    </row>
    <row r="187" spans="1:24" ht="19.5">
      <c r="A187" s="117">
        <v>8</v>
      </c>
      <c r="B187" s="102">
        <v>4</v>
      </c>
      <c r="C187" s="108" t="s">
        <v>324</v>
      </c>
      <c r="D187" s="118">
        <v>10.5</v>
      </c>
      <c r="E187" s="43">
        <v>0</v>
      </c>
      <c r="F187" s="43">
        <v>0.5</v>
      </c>
      <c r="G187" s="43">
        <v>0</v>
      </c>
      <c r="H187" s="43">
        <v>2</v>
      </c>
      <c r="I187" s="43">
        <v>0</v>
      </c>
      <c r="J187" s="43">
        <v>0</v>
      </c>
      <c r="K187" s="43">
        <v>0</v>
      </c>
      <c r="L187" s="43">
        <v>0</v>
      </c>
      <c r="M187" s="43">
        <v>0</v>
      </c>
      <c r="N187" s="43">
        <v>0</v>
      </c>
      <c r="O187" s="43">
        <v>0</v>
      </c>
      <c r="P187" s="43">
        <v>0</v>
      </c>
      <c r="Q187" s="43">
        <v>0</v>
      </c>
      <c r="R187" s="43">
        <v>0</v>
      </c>
      <c r="S187" s="43">
        <v>0</v>
      </c>
      <c r="T187" s="43">
        <v>0</v>
      </c>
      <c r="U187" s="43">
        <v>0</v>
      </c>
      <c r="V187" s="43">
        <v>0</v>
      </c>
      <c r="W187" s="89">
        <f t="shared" si="12"/>
        <v>2.5</v>
      </c>
      <c r="X187" s="86">
        <v>13</v>
      </c>
    </row>
    <row r="188" spans="1:24" ht="19.5">
      <c r="A188" s="121">
        <v>9</v>
      </c>
      <c r="B188" s="96">
        <v>4</v>
      </c>
      <c r="C188" s="122" t="s">
        <v>114</v>
      </c>
      <c r="D188" s="118">
        <v>2.25</v>
      </c>
      <c r="E188" s="89">
        <v>0</v>
      </c>
      <c r="F188" s="89">
        <v>0</v>
      </c>
      <c r="G188" s="89">
        <v>0</v>
      </c>
      <c r="H188" s="89">
        <v>0</v>
      </c>
      <c r="I188" s="89">
        <v>0</v>
      </c>
      <c r="J188" s="89">
        <v>0</v>
      </c>
      <c r="K188" s="89">
        <v>0</v>
      </c>
      <c r="L188" s="89">
        <v>0</v>
      </c>
      <c r="M188" s="89">
        <v>0</v>
      </c>
      <c r="N188" s="89">
        <v>0</v>
      </c>
      <c r="O188" s="89">
        <v>0</v>
      </c>
      <c r="P188" s="89">
        <v>0</v>
      </c>
      <c r="Q188" s="89">
        <v>0</v>
      </c>
      <c r="R188" s="89">
        <v>0</v>
      </c>
      <c r="S188" s="89">
        <v>0</v>
      </c>
      <c r="T188" s="89">
        <v>0</v>
      </c>
      <c r="U188" s="89">
        <v>0</v>
      </c>
      <c r="V188" s="89">
        <v>0</v>
      </c>
      <c r="W188" s="89">
        <f t="shared" si="12"/>
        <v>0</v>
      </c>
      <c r="X188" s="86">
        <v>13</v>
      </c>
    </row>
    <row r="189" spans="1:24" ht="19.5">
      <c r="A189" s="50">
        <v>10</v>
      </c>
      <c r="B189" s="102">
        <v>4</v>
      </c>
      <c r="C189" s="126" t="s">
        <v>471</v>
      </c>
      <c r="D189" s="118">
        <v>0.75</v>
      </c>
      <c r="E189" s="51">
        <v>0</v>
      </c>
      <c r="F189" s="51">
        <v>0</v>
      </c>
      <c r="G189" s="51">
        <v>0</v>
      </c>
      <c r="H189" s="51">
        <v>0</v>
      </c>
      <c r="I189" s="51">
        <v>0</v>
      </c>
      <c r="J189" s="51">
        <v>0</v>
      </c>
      <c r="K189" s="51">
        <v>0</v>
      </c>
      <c r="L189" s="89">
        <v>0</v>
      </c>
      <c r="M189" s="89">
        <v>0</v>
      </c>
      <c r="N189" s="89">
        <v>0</v>
      </c>
      <c r="O189" s="89">
        <v>0</v>
      </c>
      <c r="P189" s="89">
        <v>0</v>
      </c>
      <c r="Q189" s="89">
        <v>0</v>
      </c>
      <c r="R189" s="89">
        <v>0</v>
      </c>
      <c r="S189" s="89">
        <v>0</v>
      </c>
      <c r="T189" s="89">
        <v>0</v>
      </c>
      <c r="U189" s="89">
        <v>0</v>
      </c>
      <c r="V189" s="89">
        <v>0</v>
      </c>
      <c r="W189" s="89">
        <v>0</v>
      </c>
      <c r="X189" s="86">
        <v>13</v>
      </c>
    </row>
    <row r="190" spans="1:24" ht="20.25" thickBot="1">
      <c r="A190" s="110">
        <v>11</v>
      </c>
      <c r="B190" s="111">
        <v>4</v>
      </c>
      <c r="C190" s="112" t="s">
        <v>622</v>
      </c>
      <c r="D190" s="113">
        <v>0</v>
      </c>
      <c r="E190" s="52">
        <v>0</v>
      </c>
      <c r="F190" s="52">
        <v>0</v>
      </c>
      <c r="G190" s="52">
        <v>0</v>
      </c>
      <c r="H190" s="52">
        <v>0</v>
      </c>
      <c r="I190" s="52">
        <v>0</v>
      </c>
      <c r="J190" s="52">
        <v>0</v>
      </c>
      <c r="K190" s="52">
        <v>0</v>
      </c>
      <c r="L190" s="41">
        <v>0</v>
      </c>
      <c r="M190" s="41">
        <v>0</v>
      </c>
      <c r="N190" s="41">
        <v>0</v>
      </c>
      <c r="O190" s="41">
        <v>0</v>
      </c>
      <c r="P190" s="41">
        <v>0</v>
      </c>
      <c r="Q190" s="41">
        <v>0</v>
      </c>
      <c r="R190" s="41">
        <v>0</v>
      </c>
      <c r="S190" s="41">
        <v>0</v>
      </c>
      <c r="T190" s="41">
        <v>0</v>
      </c>
      <c r="U190" s="41">
        <v>0</v>
      </c>
      <c r="V190" s="41">
        <v>0</v>
      </c>
      <c r="W190" s="52">
        <f>SUM(E190:V190)</f>
        <v>0</v>
      </c>
      <c r="X190" s="94">
        <v>13</v>
      </c>
    </row>
    <row r="191" ht="15.75"/>
    <row r="192" spans="1:24" ht="15.75">
      <c r="A192" s="67"/>
      <c r="B192" s="68"/>
      <c r="C192" s="71"/>
      <c r="D192" s="633" t="s">
        <v>805</v>
      </c>
      <c r="E192" s="634"/>
      <c r="F192" s="634"/>
      <c r="G192" s="634"/>
      <c r="H192" s="634"/>
      <c r="I192" s="634"/>
      <c r="J192" s="634"/>
      <c r="K192" s="634"/>
      <c r="L192" s="634"/>
      <c r="M192" s="634"/>
      <c r="N192" s="634"/>
      <c r="O192" s="634"/>
      <c r="P192" s="634"/>
      <c r="Q192" s="634"/>
      <c r="R192" s="634"/>
      <c r="S192" s="634"/>
      <c r="T192" s="634"/>
      <c r="U192" s="634"/>
      <c r="V192" s="634"/>
      <c r="W192" s="634"/>
      <c r="X192" s="634"/>
    </row>
    <row r="193" spans="1:24" ht="15.75">
      <c r="A193" s="67"/>
      <c r="B193" s="68"/>
      <c r="C193" s="71"/>
      <c r="D193" s="634"/>
      <c r="E193" s="634"/>
      <c r="F193" s="634"/>
      <c r="G193" s="634"/>
      <c r="H193" s="634"/>
      <c r="I193" s="634"/>
      <c r="J193" s="634"/>
      <c r="K193" s="634"/>
      <c r="L193" s="634"/>
      <c r="M193" s="634"/>
      <c r="N193" s="634"/>
      <c r="O193" s="634"/>
      <c r="P193" s="634"/>
      <c r="Q193" s="634"/>
      <c r="R193" s="634"/>
      <c r="S193" s="634"/>
      <c r="T193" s="634"/>
      <c r="U193" s="634"/>
      <c r="V193" s="634"/>
      <c r="W193" s="634"/>
      <c r="X193" s="634"/>
    </row>
    <row r="194" spans="1:24" ht="15.75">
      <c r="A194" s="67"/>
      <c r="B194" s="68"/>
      <c r="C194" s="71"/>
      <c r="D194" s="72" t="s">
        <v>286</v>
      </c>
      <c r="E194" s="30">
        <v>1</v>
      </c>
      <c r="F194" s="30">
        <v>2</v>
      </c>
      <c r="G194" s="30">
        <v>3</v>
      </c>
      <c r="H194" s="30">
        <v>4</v>
      </c>
      <c r="I194" s="30">
        <v>5</v>
      </c>
      <c r="J194" s="30">
        <v>6</v>
      </c>
      <c r="K194" s="30">
        <v>7</v>
      </c>
      <c r="L194" s="30">
        <v>8</v>
      </c>
      <c r="M194" s="30">
        <v>9</v>
      </c>
      <c r="N194" s="30">
        <v>10</v>
      </c>
      <c r="O194" s="30">
        <v>11</v>
      </c>
      <c r="P194" s="30">
        <v>12</v>
      </c>
      <c r="Q194" s="30">
        <v>13</v>
      </c>
      <c r="R194" s="30">
        <v>14</v>
      </c>
      <c r="S194" s="30">
        <v>15</v>
      </c>
      <c r="T194" s="30">
        <v>16</v>
      </c>
      <c r="U194" s="30">
        <v>17</v>
      </c>
      <c r="V194" s="30">
        <v>18</v>
      </c>
      <c r="W194" s="73" t="s">
        <v>267</v>
      </c>
      <c r="X194" s="74"/>
    </row>
    <row r="195" spans="1:24" ht="16.5" thickBot="1">
      <c r="A195" s="75"/>
      <c r="B195" s="76"/>
      <c r="C195" s="77"/>
      <c r="D195" s="78" t="s">
        <v>288</v>
      </c>
      <c r="E195" s="79">
        <v>0.75</v>
      </c>
      <c r="F195" s="79">
        <v>0.25</v>
      </c>
      <c r="G195" s="79">
        <v>3</v>
      </c>
      <c r="H195" s="79">
        <v>2</v>
      </c>
      <c r="I195" s="79">
        <v>0.75</v>
      </c>
      <c r="J195" s="79">
        <v>-3</v>
      </c>
      <c r="K195" s="79">
        <v>-4</v>
      </c>
      <c r="L195" s="79">
        <v>20</v>
      </c>
      <c r="M195" s="79">
        <v>10</v>
      </c>
      <c r="N195" s="79">
        <v>5</v>
      </c>
      <c r="O195" s="79">
        <v>3</v>
      </c>
      <c r="P195" s="79">
        <v>5</v>
      </c>
      <c r="Q195" s="79">
        <v>7</v>
      </c>
      <c r="R195" s="79">
        <v>3</v>
      </c>
      <c r="S195" s="79">
        <v>3</v>
      </c>
      <c r="T195" s="79">
        <v>3</v>
      </c>
      <c r="U195" s="79">
        <v>8.25</v>
      </c>
      <c r="V195" s="79">
        <v>16</v>
      </c>
      <c r="W195" s="80" t="s">
        <v>287</v>
      </c>
      <c r="X195" s="81" t="s">
        <v>267</v>
      </c>
    </row>
    <row r="196" spans="1:24" ht="19.5">
      <c r="A196" s="82">
        <v>1</v>
      </c>
      <c r="B196" s="96">
        <v>4</v>
      </c>
      <c r="C196" s="84" t="s">
        <v>290</v>
      </c>
      <c r="D196" s="106">
        <v>366.25</v>
      </c>
      <c r="E196" s="51">
        <v>3</v>
      </c>
      <c r="F196" s="51">
        <v>3.5</v>
      </c>
      <c r="G196" s="51">
        <v>3</v>
      </c>
      <c r="H196" s="51">
        <v>0</v>
      </c>
      <c r="I196" s="51">
        <v>0.75</v>
      </c>
      <c r="J196" s="51">
        <v>0</v>
      </c>
      <c r="K196" s="51">
        <v>0</v>
      </c>
      <c r="L196" s="51">
        <v>0</v>
      </c>
      <c r="M196" s="51">
        <v>0</v>
      </c>
      <c r="N196" s="51">
        <v>0</v>
      </c>
      <c r="O196" s="51">
        <v>3</v>
      </c>
      <c r="P196" s="51">
        <v>5</v>
      </c>
      <c r="Q196" s="51">
        <v>0</v>
      </c>
      <c r="R196" s="51">
        <v>0</v>
      </c>
      <c r="S196" s="51">
        <v>3</v>
      </c>
      <c r="T196" s="51">
        <v>3</v>
      </c>
      <c r="U196" s="51">
        <v>0</v>
      </c>
      <c r="V196" s="51">
        <v>0</v>
      </c>
      <c r="W196" s="51">
        <f>SUM(E196:V196)</f>
        <v>24.25</v>
      </c>
      <c r="X196" s="86">
        <v>14</v>
      </c>
    </row>
    <row r="197" spans="1:24" ht="19.5">
      <c r="A197" s="45">
        <v>2</v>
      </c>
      <c r="B197" s="102">
        <v>4</v>
      </c>
      <c r="C197" s="125" t="s">
        <v>12</v>
      </c>
      <c r="D197" s="106">
        <v>213</v>
      </c>
      <c r="E197" s="51">
        <v>1.5</v>
      </c>
      <c r="F197" s="51">
        <v>1.75</v>
      </c>
      <c r="G197" s="51">
        <v>0</v>
      </c>
      <c r="H197" s="51">
        <v>2</v>
      </c>
      <c r="I197" s="51">
        <v>0</v>
      </c>
      <c r="J197" s="51">
        <v>0</v>
      </c>
      <c r="K197" s="51">
        <v>0</v>
      </c>
      <c r="L197" s="51">
        <v>0</v>
      </c>
      <c r="M197" s="51">
        <v>0</v>
      </c>
      <c r="N197" s="51">
        <v>0</v>
      </c>
      <c r="O197" s="51">
        <v>0</v>
      </c>
      <c r="P197" s="51">
        <v>0</v>
      </c>
      <c r="Q197" s="51">
        <v>0</v>
      </c>
      <c r="R197" s="51">
        <v>0</v>
      </c>
      <c r="S197" s="51">
        <v>0</v>
      </c>
      <c r="T197" s="51">
        <v>0</v>
      </c>
      <c r="U197" s="51">
        <v>0</v>
      </c>
      <c r="V197" s="51">
        <v>0</v>
      </c>
      <c r="W197" s="51">
        <f aca="true" t="shared" si="13" ref="W197:W204">SUM(E197:V197)</f>
        <v>5.25</v>
      </c>
      <c r="X197" s="86">
        <v>14</v>
      </c>
    </row>
    <row r="198" spans="1:24" ht="19.5">
      <c r="A198" s="82">
        <v>3</v>
      </c>
      <c r="B198" s="96">
        <v>4</v>
      </c>
      <c r="C198" s="97" t="s">
        <v>8</v>
      </c>
      <c r="D198" s="106">
        <v>97</v>
      </c>
      <c r="E198" s="51">
        <v>0</v>
      </c>
      <c r="F198" s="51">
        <v>1</v>
      </c>
      <c r="G198" s="51">
        <v>0</v>
      </c>
      <c r="H198" s="51">
        <v>4</v>
      </c>
      <c r="I198" s="51">
        <v>0</v>
      </c>
      <c r="J198" s="51">
        <v>0</v>
      </c>
      <c r="K198" s="51">
        <v>0</v>
      </c>
      <c r="L198" s="51">
        <v>0</v>
      </c>
      <c r="M198" s="51">
        <v>0</v>
      </c>
      <c r="N198" s="51">
        <v>0</v>
      </c>
      <c r="O198" s="51">
        <v>0</v>
      </c>
      <c r="P198" s="51">
        <v>0</v>
      </c>
      <c r="Q198" s="51">
        <v>0</v>
      </c>
      <c r="R198" s="51">
        <v>0</v>
      </c>
      <c r="S198" s="51">
        <v>0</v>
      </c>
      <c r="T198" s="51">
        <v>0</v>
      </c>
      <c r="U198" s="51">
        <v>0</v>
      </c>
      <c r="V198" s="51">
        <v>0</v>
      </c>
      <c r="W198" s="51">
        <f t="shared" si="13"/>
        <v>5</v>
      </c>
      <c r="X198" s="86">
        <v>14</v>
      </c>
    </row>
    <row r="199" spans="1:24" ht="19.5">
      <c r="A199" s="45">
        <v>4</v>
      </c>
      <c r="B199" s="102">
        <v>4</v>
      </c>
      <c r="C199" s="116" t="s">
        <v>10</v>
      </c>
      <c r="D199" s="106">
        <v>73</v>
      </c>
      <c r="E199" s="37">
        <v>0</v>
      </c>
      <c r="F199" s="37">
        <v>0.75</v>
      </c>
      <c r="G199" s="37">
        <v>0</v>
      </c>
      <c r="H199" s="37">
        <v>2</v>
      </c>
      <c r="I199" s="37">
        <v>0</v>
      </c>
      <c r="J199" s="37">
        <v>0</v>
      </c>
      <c r="K199" s="37">
        <v>0</v>
      </c>
      <c r="L199" s="37">
        <v>0</v>
      </c>
      <c r="M199" s="37">
        <v>0</v>
      </c>
      <c r="N199" s="37">
        <v>0</v>
      </c>
      <c r="O199" s="37">
        <v>0</v>
      </c>
      <c r="P199" s="37">
        <v>0</v>
      </c>
      <c r="Q199" s="37">
        <v>7</v>
      </c>
      <c r="R199" s="37">
        <v>3</v>
      </c>
      <c r="S199" s="37">
        <v>0</v>
      </c>
      <c r="T199" s="37">
        <v>0</v>
      </c>
      <c r="U199" s="37">
        <v>0</v>
      </c>
      <c r="V199" s="37">
        <v>0</v>
      </c>
      <c r="W199" s="51">
        <f t="shared" si="13"/>
        <v>12.75</v>
      </c>
      <c r="X199" s="86">
        <v>14</v>
      </c>
    </row>
    <row r="200" spans="1:24" ht="19.5">
      <c r="A200" s="82">
        <v>5</v>
      </c>
      <c r="B200" s="96">
        <v>4</v>
      </c>
      <c r="C200" s="97" t="s">
        <v>53</v>
      </c>
      <c r="D200" s="106">
        <v>44.75</v>
      </c>
      <c r="E200" s="51">
        <v>2.25</v>
      </c>
      <c r="F200" s="51">
        <v>0.25</v>
      </c>
      <c r="G200" s="51">
        <v>0</v>
      </c>
      <c r="H200" s="51">
        <v>0</v>
      </c>
      <c r="I200" s="51">
        <v>0</v>
      </c>
      <c r="J200" s="51">
        <v>0</v>
      </c>
      <c r="K200" s="51">
        <v>0</v>
      </c>
      <c r="L200" s="51">
        <v>0</v>
      </c>
      <c r="M200" s="51">
        <v>0</v>
      </c>
      <c r="N200" s="51">
        <v>0</v>
      </c>
      <c r="O200" s="51">
        <v>0</v>
      </c>
      <c r="P200" s="51">
        <v>0</v>
      </c>
      <c r="Q200" s="51">
        <v>0</v>
      </c>
      <c r="R200" s="51">
        <v>0</v>
      </c>
      <c r="S200" s="51">
        <v>0</v>
      </c>
      <c r="T200" s="51">
        <v>0</v>
      </c>
      <c r="U200" s="51">
        <v>0</v>
      </c>
      <c r="V200" s="51">
        <v>0</v>
      </c>
      <c r="W200" s="51">
        <f t="shared" si="13"/>
        <v>2.5</v>
      </c>
      <c r="X200" s="86">
        <v>14</v>
      </c>
    </row>
    <row r="201" spans="1:24" ht="19.5">
      <c r="A201" s="67">
        <v>6</v>
      </c>
      <c r="B201" s="102">
        <v>4</v>
      </c>
      <c r="C201" s="99" t="s">
        <v>52</v>
      </c>
      <c r="D201" s="106">
        <v>34.75</v>
      </c>
      <c r="E201" s="51">
        <v>2.25</v>
      </c>
      <c r="F201" s="51">
        <v>0.25</v>
      </c>
      <c r="G201" s="51">
        <v>0</v>
      </c>
      <c r="H201" s="51">
        <v>0</v>
      </c>
      <c r="I201" s="51">
        <v>0</v>
      </c>
      <c r="J201" s="51">
        <v>0</v>
      </c>
      <c r="K201" s="51">
        <v>0</v>
      </c>
      <c r="L201" s="51">
        <v>0</v>
      </c>
      <c r="M201" s="51">
        <v>0</v>
      </c>
      <c r="N201" s="51">
        <v>0</v>
      </c>
      <c r="O201" s="51">
        <v>0</v>
      </c>
      <c r="P201" s="51">
        <v>0</v>
      </c>
      <c r="Q201" s="51">
        <v>0</v>
      </c>
      <c r="R201" s="51">
        <v>0</v>
      </c>
      <c r="S201" s="51">
        <v>0</v>
      </c>
      <c r="T201" s="51">
        <v>0</v>
      </c>
      <c r="U201" s="51">
        <v>0</v>
      </c>
      <c r="V201" s="51">
        <v>0</v>
      </c>
      <c r="W201" s="51">
        <f t="shared" si="13"/>
        <v>2.5</v>
      </c>
      <c r="X201" s="86">
        <v>14</v>
      </c>
    </row>
    <row r="202" spans="1:24" ht="19.5">
      <c r="A202" s="82">
        <v>7</v>
      </c>
      <c r="B202" s="96">
        <v>4</v>
      </c>
      <c r="C202" s="97" t="s">
        <v>289</v>
      </c>
      <c r="D202" s="106">
        <v>11.25</v>
      </c>
      <c r="E202" s="51">
        <v>0</v>
      </c>
      <c r="F202" s="51">
        <v>1</v>
      </c>
      <c r="G202" s="51">
        <v>0</v>
      </c>
      <c r="H202" s="51">
        <v>0</v>
      </c>
      <c r="I202" s="51">
        <v>0</v>
      </c>
      <c r="J202" s="51">
        <v>0</v>
      </c>
      <c r="K202" s="51">
        <v>-4</v>
      </c>
      <c r="L202" s="51">
        <v>0</v>
      </c>
      <c r="M202" s="51">
        <v>0</v>
      </c>
      <c r="N202" s="51">
        <v>0</v>
      </c>
      <c r="O202" s="51">
        <v>0</v>
      </c>
      <c r="P202" s="51">
        <v>0</v>
      </c>
      <c r="Q202" s="51">
        <v>0</v>
      </c>
      <c r="R202" s="51">
        <v>0</v>
      </c>
      <c r="S202" s="51">
        <v>0</v>
      </c>
      <c r="T202" s="51">
        <v>0</v>
      </c>
      <c r="U202" s="51">
        <v>0</v>
      </c>
      <c r="V202" s="51">
        <v>0</v>
      </c>
      <c r="W202" s="51">
        <f t="shared" si="13"/>
        <v>-3</v>
      </c>
      <c r="X202" s="86">
        <v>14</v>
      </c>
    </row>
    <row r="203" spans="1:24" ht="19.5">
      <c r="A203" s="117">
        <v>8</v>
      </c>
      <c r="B203" s="102">
        <v>4</v>
      </c>
      <c r="C203" s="108" t="s">
        <v>324</v>
      </c>
      <c r="D203" s="118">
        <v>11</v>
      </c>
      <c r="E203" s="43">
        <v>0</v>
      </c>
      <c r="F203" s="43">
        <v>0.5</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89">
        <f t="shared" si="13"/>
        <v>0.5</v>
      </c>
      <c r="X203" s="86">
        <v>14</v>
      </c>
    </row>
    <row r="204" spans="1:24" ht="19.5">
      <c r="A204" s="121">
        <v>9</v>
      </c>
      <c r="B204" s="96">
        <v>4</v>
      </c>
      <c r="C204" s="122" t="s">
        <v>114</v>
      </c>
      <c r="D204" s="118">
        <v>2.25</v>
      </c>
      <c r="E204" s="89">
        <v>0</v>
      </c>
      <c r="F204" s="89">
        <v>0</v>
      </c>
      <c r="G204" s="89">
        <v>0</v>
      </c>
      <c r="H204" s="89">
        <v>0</v>
      </c>
      <c r="I204" s="89">
        <v>0</v>
      </c>
      <c r="J204" s="89">
        <v>0</v>
      </c>
      <c r="K204" s="89">
        <v>0</v>
      </c>
      <c r="L204" s="89">
        <v>0</v>
      </c>
      <c r="M204" s="89">
        <v>0</v>
      </c>
      <c r="N204" s="89">
        <v>0</v>
      </c>
      <c r="O204" s="89">
        <v>0</v>
      </c>
      <c r="P204" s="89">
        <v>0</v>
      </c>
      <c r="Q204" s="89">
        <v>0</v>
      </c>
      <c r="R204" s="89">
        <v>0</v>
      </c>
      <c r="S204" s="89">
        <v>0</v>
      </c>
      <c r="T204" s="89">
        <v>0</v>
      </c>
      <c r="U204" s="89">
        <v>0</v>
      </c>
      <c r="V204" s="89">
        <v>0</v>
      </c>
      <c r="W204" s="89">
        <f t="shared" si="13"/>
        <v>0</v>
      </c>
      <c r="X204" s="86">
        <v>14</v>
      </c>
    </row>
    <row r="205" spans="1:24" ht="19.5">
      <c r="A205" s="50">
        <v>10</v>
      </c>
      <c r="B205" s="102">
        <v>4</v>
      </c>
      <c r="C205" s="126" t="s">
        <v>471</v>
      </c>
      <c r="D205" s="118">
        <v>0.75</v>
      </c>
      <c r="E205" s="51">
        <v>0</v>
      </c>
      <c r="F205" s="51">
        <v>0</v>
      </c>
      <c r="G205" s="51">
        <v>0</v>
      </c>
      <c r="H205" s="51">
        <v>0</v>
      </c>
      <c r="I205" s="51">
        <v>0</v>
      </c>
      <c r="J205" s="51">
        <v>0</v>
      </c>
      <c r="K205" s="51">
        <v>0</v>
      </c>
      <c r="L205" s="89">
        <v>0</v>
      </c>
      <c r="M205" s="89">
        <v>0</v>
      </c>
      <c r="N205" s="89">
        <v>0</v>
      </c>
      <c r="O205" s="89">
        <v>0</v>
      </c>
      <c r="P205" s="89">
        <v>0</v>
      </c>
      <c r="Q205" s="89">
        <v>0</v>
      </c>
      <c r="R205" s="89">
        <v>0</v>
      </c>
      <c r="S205" s="89">
        <v>0</v>
      </c>
      <c r="T205" s="89">
        <v>0</v>
      </c>
      <c r="U205" s="89">
        <v>0</v>
      </c>
      <c r="V205" s="89">
        <v>0</v>
      </c>
      <c r="W205" s="89">
        <v>0</v>
      </c>
      <c r="X205" s="86">
        <v>14</v>
      </c>
    </row>
    <row r="206" spans="1:24" ht="20.25" thickBot="1">
      <c r="A206" s="110">
        <v>11</v>
      </c>
      <c r="B206" s="111">
        <v>4</v>
      </c>
      <c r="C206" s="112" t="s">
        <v>622</v>
      </c>
      <c r="D206" s="113">
        <v>0</v>
      </c>
      <c r="E206" s="52">
        <v>0</v>
      </c>
      <c r="F206" s="52">
        <v>0</v>
      </c>
      <c r="G206" s="52">
        <v>0</v>
      </c>
      <c r="H206" s="52">
        <v>0</v>
      </c>
      <c r="I206" s="52">
        <v>0</v>
      </c>
      <c r="J206" s="52">
        <v>0</v>
      </c>
      <c r="K206" s="52">
        <v>0</v>
      </c>
      <c r="L206" s="41">
        <v>0</v>
      </c>
      <c r="M206" s="41">
        <v>0</v>
      </c>
      <c r="N206" s="41">
        <v>0</v>
      </c>
      <c r="O206" s="41">
        <v>0</v>
      </c>
      <c r="P206" s="41">
        <v>0</v>
      </c>
      <c r="Q206" s="41">
        <v>0</v>
      </c>
      <c r="R206" s="41">
        <v>0</v>
      </c>
      <c r="S206" s="41">
        <v>0</v>
      </c>
      <c r="T206" s="41">
        <v>0</v>
      </c>
      <c r="U206" s="41">
        <v>0</v>
      </c>
      <c r="V206" s="41">
        <v>0</v>
      </c>
      <c r="W206" s="52">
        <f>SUM(E206:V206)</f>
        <v>0</v>
      </c>
      <c r="X206" s="94">
        <v>14</v>
      </c>
    </row>
    <row r="207" ht="15.75"/>
    <row r="208" spans="1:24" ht="15.75">
      <c r="A208" s="67"/>
      <c r="B208" s="68"/>
      <c r="C208" s="71"/>
      <c r="D208" s="633" t="s">
        <v>806</v>
      </c>
      <c r="E208" s="634"/>
      <c r="F208" s="634"/>
      <c r="G208" s="634"/>
      <c r="H208" s="634"/>
      <c r="I208" s="634"/>
      <c r="J208" s="634"/>
      <c r="K208" s="634"/>
      <c r="L208" s="634"/>
      <c r="M208" s="634"/>
      <c r="N208" s="634"/>
      <c r="O208" s="634"/>
      <c r="P208" s="634"/>
      <c r="Q208" s="634"/>
      <c r="R208" s="634"/>
      <c r="S208" s="634"/>
      <c r="T208" s="634"/>
      <c r="U208" s="634"/>
      <c r="V208" s="634"/>
      <c r="W208" s="634"/>
      <c r="X208" s="634"/>
    </row>
    <row r="209" spans="1:24" ht="15.75">
      <c r="A209" s="67"/>
      <c r="B209" s="68"/>
      <c r="C209" s="71"/>
      <c r="D209" s="634"/>
      <c r="E209" s="634"/>
      <c r="F209" s="634"/>
      <c r="G209" s="634"/>
      <c r="H209" s="634"/>
      <c r="I209" s="634"/>
      <c r="J209" s="634"/>
      <c r="K209" s="634"/>
      <c r="L209" s="634"/>
      <c r="M209" s="634"/>
      <c r="N209" s="634"/>
      <c r="O209" s="634"/>
      <c r="P209" s="634"/>
      <c r="Q209" s="634"/>
      <c r="R209" s="634"/>
      <c r="S209" s="634"/>
      <c r="T209" s="634"/>
      <c r="U209" s="634"/>
      <c r="V209" s="634"/>
      <c r="W209" s="634"/>
      <c r="X209" s="634"/>
    </row>
    <row r="210" spans="1:24" ht="15.75">
      <c r="A210" s="67"/>
      <c r="B210" s="68"/>
      <c r="C210" s="71"/>
      <c r="D210" s="72" t="s">
        <v>286</v>
      </c>
      <c r="E210" s="30">
        <v>1</v>
      </c>
      <c r="F210" s="30">
        <v>2</v>
      </c>
      <c r="G210" s="30">
        <v>3</v>
      </c>
      <c r="H210" s="30">
        <v>4</v>
      </c>
      <c r="I210" s="30">
        <v>5</v>
      </c>
      <c r="J210" s="30">
        <v>6</v>
      </c>
      <c r="K210" s="30">
        <v>7</v>
      </c>
      <c r="L210" s="30">
        <v>8</v>
      </c>
      <c r="M210" s="30">
        <v>9</v>
      </c>
      <c r="N210" s="30">
        <v>10</v>
      </c>
      <c r="O210" s="30">
        <v>11</v>
      </c>
      <c r="P210" s="30">
        <v>12</v>
      </c>
      <c r="Q210" s="30">
        <v>13</v>
      </c>
      <c r="R210" s="30">
        <v>14</v>
      </c>
      <c r="S210" s="30">
        <v>15</v>
      </c>
      <c r="T210" s="30">
        <v>16</v>
      </c>
      <c r="U210" s="30">
        <v>17</v>
      </c>
      <c r="V210" s="30">
        <v>18</v>
      </c>
      <c r="W210" s="73" t="s">
        <v>267</v>
      </c>
      <c r="X210" s="74"/>
    </row>
    <row r="211" spans="1:24" ht="16.5" thickBot="1">
      <c r="A211" s="75"/>
      <c r="B211" s="76"/>
      <c r="C211" s="77"/>
      <c r="D211" s="78" t="s">
        <v>288</v>
      </c>
      <c r="E211" s="79">
        <v>0.75</v>
      </c>
      <c r="F211" s="79">
        <v>0.25</v>
      </c>
      <c r="G211" s="79">
        <v>3</v>
      </c>
      <c r="H211" s="79">
        <v>2</v>
      </c>
      <c r="I211" s="79">
        <v>0.75</v>
      </c>
      <c r="J211" s="79">
        <v>-3</v>
      </c>
      <c r="K211" s="79">
        <v>-4</v>
      </c>
      <c r="L211" s="79">
        <v>20</v>
      </c>
      <c r="M211" s="79">
        <v>10</v>
      </c>
      <c r="N211" s="79">
        <v>5</v>
      </c>
      <c r="O211" s="79">
        <v>3</v>
      </c>
      <c r="P211" s="79">
        <v>5</v>
      </c>
      <c r="Q211" s="79">
        <v>7</v>
      </c>
      <c r="R211" s="79">
        <v>3</v>
      </c>
      <c r="S211" s="79">
        <v>3</v>
      </c>
      <c r="T211" s="79">
        <v>3</v>
      </c>
      <c r="U211" s="79">
        <v>8.25</v>
      </c>
      <c r="V211" s="79">
        <v>16</v>
      </c>
      <c r="W211" s="80" t="s">
        <v>287</v>
      </c>
      <c r="X211" s="81" t="s">
        <v>267</v>
      </c>
    </row>
    <row r="212" spans="1:24" ht="19.5">
      <c r="A212" s="82">
        <v>1</v>
      </c>
      <c r="B212" s="96">
        <v>4</v>
      </c>
      <c r="C212" s="84" t="s">
        <v>290</v>
      </c>
      <c r="D212" s="106">
        <v>396.75</v>
      </c>
      <c r="E212" s="51">
        <v>5.25</v>
      </c>
      <c r="F212" s="51">
        <v>4.5</v>
      </c>
      <c r="G212" s="51">
        <v>0</v>
      </c>
      <c r="H212" s="51">
        <v>2</v>
      </c>
      <c r="I212" s="51">
        <v>0.75</v>
      </c>
      <c r="J212" s="51">
        <v>0</v>
      </c>
      <c r="K212" s="51">
        <v>0</v>
      </c>
      <c r="L212" s="51">
        <v>0</v>
      </c>
      <c r="M212" s="51">
        <v>0</v>
      </c>
      <c r="N212" s="51">
        <v>0</v>
      </c>
      <c r="O212" s="51">
        <v>3</v>
      </c>
      <c r="P212" s="51">
        <v>5</v>
      </c>
      <c r="Q212" s="51">
        <v>7</v>
      </c>
      <c r="R212" s="51">
        <v>0</v>
      </c>
      <c r="S212" s="51">
        <v>0</v>
      </c>
      <c r="T212" s="51">
        <v>3</v>
      </c>
      <c r="U212" s="51">
        <v>0</v>
      </c>
      <c r="V212" s="51">
        <v>0</v>
      </c>
      <c r="W212" s="51">
        <v>30.5</v>
      </c>
      <c r="X212" s="86">
        <v>15</v>
      </c>
    </row>
    <row r="213" spans="1:24" ht="19.5">
      <c r="A213" s="45">
        <v>2</v>
      </c>
      <c r="B213" s="102">
        <v>4</v>
      </c>
      <c r="C213" s="125" t="s">
        <v>12</v>
      </c>
      <c r="D213" s="106">
        <v>291</v>
      </c>
      <c r="E213" s="51">
        <v>2.25</v>
      </c>
      <c r="F213" s="51">
        <v>1.75</v>
      </c>
      <c r="G213" s="51">
        <v>0</v>
      </c>
      <c r="H213" s="51">
        <v>2</v>
      </c>
      <c r="I213" s="51">
        <v>0</v>
      </c>
      <c r="J213" s="51">
        <v>0</v>
      </c>
      <c r="K213" s="51">
        <v>0</v>
      </c>
      <c r="L213" s="51">
        <v>0</v>
      </c>
      <c r="M213" s="51">
        <v>0</v>
      </c>
      <c r="N213" s="51">
        <v>0</v>
      </c>
      <c r="O213" s="51">
        <v>0</v>
      </c>
      <c r="P213" s="51">
        <v>0</v>
      </c>
      <c r="Q213" s="51">
        <v>0</v>
      </c>
      <c r="R213" s="51">
        <v>0</v>
      </c>
      <c r="S213" s="51">
        <v>0</v>
      </c>
      <c r="T213" s="51">
        <v>0</v>
      </c>
      <c r="U213" s="51">
        <v>0</v>
      </c>
      <c r="V213" s="51">
        <v>0</v>
      </c>
      <c r="W213" s="51">
        <v>6</v>
      </c>
      <c r="X213" s="86">
        <v>15</v>
      </c>
    </row>
    <row r="214" spans="1:24" ht="19.5">
      <c r="A214" s="82">
        <v>3</v>
      </c>
      <c r="B214" s="96">
        <v>4</v>
      </c>
      <c r="C214" s="97" t="s">
        <v>8</v>
      </c>
      <c r="D214" s="106">
        <v>98.25</v>
      </c>
      <c r="E214" s="51">
        <v>0</v>
      </c>
      <c r="F214" s="51">
        <v>1.25</v>
      </c>
      <c r="G214" s="51">
        <v>0</v>
      </c>
      <c r="H214" s="51">
        <v>0</v>
      </c>
      <c r="I214" s="51">
        <v>0</v>
      </c>
      <c r="J214" s="51">
        <v>0</v>
      </c>
      <c r="K214" s="51">
        <v>0</v>
      </c>
      <c r="L214" s="51">
        <v>0</v>
      </c>
      <c r="M214" s="51">
        <v>0</v>
      </c>
      <c r="N214" s="51">
        <v>0</v>
      </c>
      <c r="O214" s="51">
        <v>0</v>
      </c>
      <c r="P214" s="51">
        <v>0</v>
      </c>
      <c r="Q214" s="51">
        <v>0</v>
      </c>
      <c r="R214" s="51">
        <v>0</v>
      </c>
      <c r="S214" s="51">
        <v>0</v>
      </c>
      <c r="T214" s="51">
        <v>0</v>
      </c>
      <c r="U214" s="51">
        <v>0</v>
      </c>
      <c r="V214" s="51">
        <v>0</v>
      </c>
      <c r="W214" s="51">
        <v>1.25</v>
      </c>
      <c r="X214" s="86">
        <v>15</v>
      </c>
    </row>
    <row r="215" spans="1:24" ht="19.5">
      <c r="A215" s="45">
        <v>4</v>
      </c>
      <c r="B215" s="102">
        <v>4</v>
      </c>
      <c r="C215" s="116" t="s">
        <v>10</v>
      </c>
      <c r="D215" s="106">
        <v>77</v>
      </c>
      <c r="E215" s="37">
        <v>0</v>
      </c>
      <c r="F215" s="37">
        <v>1</v>
      </c>
      <c r="G215" s="37">
        <v>0</v>
      </c>
      <c r="H215" s="37">
        <v>0</v>
      </c>
      <c r="I215" s="37">
        <v>0</v>
      </c>
      <c r="J215" s="37">
        <v>0</v>
      </c>
      <c r="K215" s="37">
        <v>0</v>
      </c>
      <c r="L215" s="37">
        <v>0</v>
      </c>
      <c r="M215" s="37">
        <v>0</v>
      </c>
      <c r="N215" s="37">
        <v>0</v>
      </c>
      <c r="O215" s="37">
        <v>0</v>
      </c>
      <c r="P215" s="37">
        <v>0</v>
      </c>
      <c r="Q215" s="37">
        <v>0</v>
      </c>
      <c r="R215" s="37">
        <v>3</v>
      </c>
      <c r="S215" s="37">
        <v>0</v>
      </c>
      <c r="T215" s="37">
        <v>0</v>
      </c>
      <c r="U215" s="37">
        <v>0</v>
      </c>
      <c r="V215" s="37">
        <v>0</v>
      </c>
      <c r="W215" s="51">
        <v>4</v>
      </c>
      <c r="X215" s="86">
        <v>15</v>
      </c>
    </row>
    <row r="216" spans="1:24" ht="19.5">
      <c r="A216" s="82">
        <v>5</v>
      </c>
      <c r="B216" s="96">
        <v>4</v>
      </c>
      <c r="C216" s="97" t="s">
        <v>53</v>
      </c>
      <c r="D216" s="106">
        <v>49.5</v>
      </c>
      <c r="E216" s="51">
        <v>1.5</v>
      </c>
      <c r="F216" s="51">
        <v>0.25</v>
      </c>
      <c r="G216" s="51">
        <v>3</v>
      </c>
      <c r="H216" s="51">
        <v>0</v>
      </c>
      <c r="I216" s="51">
        <v>0</v>
      </c>
      <c r="J216" s="51">
        <v>0</v>
      </c>
      <c r="K216" s="51">
        <v>0</v>
      </c>
      <c r="L216" s="51">
        <v>0</v>
      </c>
      <c r="M216" s="51">
        <v>0</v>
      </c>
      <c r="N216" s="51">
        <v>0</v>
      </c>
      <c r="O216" s="51">
        <v>0</v>
      </c>
      <c r="P216" s="51">
        <v>0</v>
      </c>
      <c r="Q216" s="51">
        <v>0</v>
      </c>
      <c r="R216" s="51">
        <v>0</v>
      </c>
      <c r="S216" s="51">
        <v>0</v>
      </c>
      <c r="T216" s="51">
        <v>0</v>
      </c>
      <c r="U216" s="51">
        <v>0</v>
      </c>
      <c r="V216" s="51">
        <v>0</v>
      </c>
      <c r="W216" s="51">
        <v>4.75</v>
      </c>
      <c r="X216" s="86">
        <v>15</v>
      </c>
    </row>
    <row r="217" spans="1:24" ht="19.5">
      <c r="A217" s="67">
        <v>6</v>
      </c>
      <c r="B217" s="102">
        <v>4</v>
      </c>
      <c r="C217" s="99" t="s">
        <v>52</v>
      </c>
      <c r="D217" s="106">
        <v>39.5</v>
      </c>
      <c r="E217" s="51">
        <v>1.5</v>
      </c>
      <c r="F217" s="51">
        <v>0.25</v>
      </c>
      <c r="G217" s="51">
        <v>3</v>
      </c>
      <c r="H217" s="51">
        <v>0</v>
      </c>
      <c r="I217" s="51">
        <v>0</v>
      </c>
      <c r="J217" s="51">
        <v>0</v>
      </c>
      <c r="K217" s="51">
        <v>0</v>
      </c>
      <c r="L217" s="51">
        <v>0</v>
      </c>
      <c r="M217" s="51">
        <v>0</v>
      </c>
      <c r="N217" s="51">
        <v>0</v>
      </c>
      <c r="O217" s="51">
        <v>0</v>
      </c>
      <c r="P217" s="51">
        <v>0</v>
      </c>
      <c r="Q217" s="51">
        <v>0</v>
      </c>
      <c r="R217" s="51">
        <v>0</v>
      </c>
      <c r="S217" s="51">
        <v>0</v>
      </c>
      <c r="T217" s="51">
        <v>0</v>
      </c>
      <c r="U217" s="51">
        <v>0</v>
      </c>
      <c r="V217" s="51">
        <v>0</v>
      </c>
      <c r="W217" s="51">
        <v>4.75</v>
      </c>
      <c r="X217" s="86">
        <v>15</v>
      </c>
    </row>
    <row r="218" spans="1:24" ht="19.5">
      <c r="A218" s="82">
        <v>7</v>
      </c>
      <c r="B218" s="96">
        <v>4</v>
      </c>
      <c r="C218" s="97" t="s">
        <v>289</v>
      </c>
      <c r="D218" s="106">
        <v>3.75</v>
      </c>
      <c r="E218" s="51">
        <v>0</v>
      </c>
      <c r="F218" s="51">
        <v>0.75</v>
      </c>
      <c r="G218" s="51">
        <v>0</v>
      </c>
      <c r="H218" s="51">
        <v>0</v>
      </c>
      <c r="I218" s="51">
        <v>0</v>
      </c>
      <c r="J218" s="51">
        <v>0</v>
      </c>
      <c r="K218" s="51">
        <v>0</v>
      </c>
      <c r="L218" s="51">
        <v>0</v>
      </c>
      <c r="M218" s="51">
        <v>0</v>
      </c>
      <c r="N218" s="51">
        <v>0</v>
      </c>
      <c r="O218" s="51">
        <v>0</v>
      </c>
      <c r="P218" s="51">
        <v>0</v>
      </c>
      <c r="Q218" s="51">
        <v>0</v>
      </c>
      <c r="R218" s="51">
        <v>0</v>
      </c>
      <c r="S218" s="51">
        <v>3</v>
      </c>
      <c r="T218" s="51">
        <v>0</v>
      </c>
      <c r="U218" s="51">
        <v>0</v>
      </c>
      <c r="V218" s="51">
        <v>0</v>
      </c>
      <c r="W218" s="51">
        <v>3.75</v>
      </c>
      <c r="X218" s="86">
        <v>15</v>
      </c>
    </row>
    <row r="219" spans="1:24" ht="19.5">
      <c r="A219" s="117">
        <v>8</v>
      </c>
      <c r="B219" s="102">
        <v>4</v>
      </c>
      <c r="C219" s="108" t="s">
        <v>324</v>
      </c>
      <c r="D219" s="118">
        <v>11.5</v>
      </c>
      <c r="E219" s="43">
        <v>0</v>
      </c>
      <c r="F219" s="43">
        <v>0.5</v>
      </c>
      <c r="G219" s="43">
        <v>0</v>
      </c>
      <c r="H219" s="43">
        <v>0</v>
      </c>
      <c r="I219" s="43">
        <v>0</v>
      </c>
      <c r="J219" s="43">
        <v>0</v>
      </c>
      <c r="K219" s="43">
        <v>0</v>
      </c>
      <c r="L219" s="43">
        <v>0</v>
      </c>
      <c r="M219" s="43">
        <v>0</v>
      </c>
      <c r="N219" s="43">
        <v>0</v>
      </c>
      <c r="O219" s="43">
        <v>0</v>
      </c>
      <c r="P219" s="43">
        <v>0</v>
      </c>
      <c r="Q219" s="43">
        <v>0</v>
      </c>
      <c r="R219" s="43">
        <v>0</v>
      </c>
      <c r="S219" s="43">
        <v>0</v>
      </c>
      <c r="T219" s="43">
        <v>0</v>
      </c>
      <c r="U219" s="43">
        <v>0</v>
      </c>
      <c r="V219" s="43">
        <v>0</v>
      </c>
      <c r="W219" s="89">
        <v>0.5</v>
      </c>
      <c r="X219" s="86">
        <v>15</v>
      </c>
    </row>
    <row r="220" spans="1:24" ht="19.5">
      <c r="A220" s="121">
        <v>9</v>
      </c>
      <c r="B220" s="96">
        <v>4</v>
      </c>
      <c r="C220" s="122" t="s">
        <v>114</v>
      </c>
      <c r="D220" s="118">
        <v>2.25</v>
      </c>
      <c r="E220" s="89">
        <v>0</v>
      </c>
      <c r="F220" s="89">
        <v>0</v>
      </c>
      <c r="G220" s="89">
        <v>0</v>
      </c>
      <c r="H220" s="89">
        <v>0</v>
      </c>
      <c r="I220" s="89">
        <v>0</v>
      </c>
      <c r="J220" s="89">
        <v>0</v>
      </c>
      <c r="K220" s="89">
        <v>0</v>
      </c>
      <c r="L220" s="89">
        <v>0</v>
      </c>
      <c r="M220" s="89">
        <v>0</v>
      </c>
      <c r="N220" s="89">
        <v>0</v>
      </c>
      <c r="O220" s="89">
        <v>0</v>
      </c>
      <c r="P220" s="89">
        <v>0</v>
      </c>
      <c r="Q220" s="89">
        <v>0</v>
      </c>
      <c r="R220" s="89">
        <v>0</v>
      </c>
      <c r="S220" s="89">
        <v>0</v>
      </c>
      <c r="T220" s="89">
        <v>0</v>
      </c>
      <c r="U220" s="89">
        <v>0</v>
      </c>
      <c r="V220" s="89">
        <v>0</v>
      </c>
      <c r="W220" s="89">
        <f>SUM(E220:V220)</f>
        <v>0</v>
      </c>
      <c r="X220" s="86">
        <v>15</v>
      </c>
    </row>
    <row r="221" spans="1:24" ht="19.5">
      <c r="A221" s="50">
        <v>10</v>
      </c>
      <c r="B221" s="102">
        <v>4</v>
      </c>
      <c r="C221" s="126" t="s">
        <v>471</v>
      </c>
      <c r="D221" s="118">
        <v>0.75</v>
      </c>
      <c r="E221" s="51">
        <v>0</v>
      </c>
      <c r="F221" s="51">
        <v>0</v>
      </c>
      <c r="G221" s="51">
        <v>0</v>
      </c>
      <c r="H221" s="51">
        <v>0</v>
      </c>
      <c r="I221" s="51">
        <v>0</v>
      </c>
      <c r="J221" s="51">
        <v>0</v>
      </c>
      <c r="K221" s="51">
        <v>0</v>
      </c>
      <c r="L221" s="89">
        <v>0</v>
      </c>
      <c r="M221" s="89">
        <v>0</v>
      </c>
      <c r="N221" s="89">
        <v>0</v>
      </c>
      <c r="O221" s="89">
        <v>0</v>
      </c>
      <c r="P221" s="89">
        <v>0</v>
      </c>
      <c r="Q221" s="89">
        <v>0</v>
      </c>
      <c r="R221" s="89">
        <v>0</v>
      </c>
      <c r="S221" s="89">
        <v>0</v>
      </c>
      <c r="T221" s="89">
        <v>0</v>
      </c>
      <c r="U221" s="89">
        <v>0</v>
      </c>
      <c r="V221" s="89">
        <v>0</v>
      </c>
      <c r="W221" s="89">
        <v>0</v>
      </c>
      <c r="X221" s="86">
        <v>15</v>
      </c>
    </row>
    <row r="222" spans="1:24" ht="20.25" thickBot="1">
      <c r="A222" s="110">
        <v>11</v>
      </c>
      <c r="B222" s="111">
        <v>4</v>
      </c>
      <c r="C222" s="112" t="s">
        <v>622</v>
      </c>
      <c r="D222" s="113">
        <v>0</v>
      </c>
      <c r="E222" s="52">
        <v>0</v>
      </c>
      <c r="F222" s="52">
        <v>0</v>
      </c>
      <c r="G222" s="52">
        <v>0</v>
      </c>
      <c r="H222" s="52">
        <v>0</v>
      </c>
      <c r="I222" s="52">
        <v>0</v>
      </c>
      <c r="J222" s="52">
        <v>0</v>
      </c>
      <c r="K222" s="52">
        <v>0</v>
      </c>
      <c r="L222" s="41">
        <v>0</v>
      </c>
      <c r="M222" s="41">
        <v>0</v>
      </c>
      <c r="N222" s="41">
        <v>0</v>
      </c>
      <c r="O222" s="41">
        <v>0</v>
      </c>
      <c r="P222" s="41">
        <v>0</v>
      </c>
      <c r="Q222" s="41">
        <v>0</v>
      </c>
      <c r="R222" s="41">
        <v>0</v>
      </c>
      <c r="S222" s="41">
        <v>0</v>
      </c>
      <c r="T222" s="41">
        <v>0</v>
      </c>
      <c r="U222" s="41">
        <v>0</v>
      </c>
      <c r="V222" s="41">
        <v>0</v>
      </c>
      <c r="W222" s="52">
        <f>SUM(E222:V222)</f>
        <v>0</v>
      </c>
      <c r="X222" s="94">
        <v>15</v>
      </c>
    </row>
    <row r="223" ht="15.75"/>
    <row r="224" spans="1:24" ht="15.75">
      <c r="A224" s="67"/>
      <c r="B224" s="68"/>
      <c r="C224" s="71"/>
      <c r="D224" s="633" t="s">
        <v>807</v>
      </c>
      <c r="E224" s="634"/>
      <c r="F224" s="634"/>
      <c r="G224" s="634"/>
      <c r="H224" s="634"/>
      <c r="I224" s="634"/>
      <c r="J224" s="634"/>
      <c r="K224" s="634"/>
      <c r="L224" s="634"/>
      <c r="M224" s="634"/>
      <c r="N224" s="634"/>
      <c r="O224" s="634"/>
      <c r="P224" s="634"/>
      <c r="Q224" s="634"/>
      <c r="R224" s="634"/>
      <c r="S224" s="634"/>
      <c r="T224" s="634"/>
      <c r="U224" s="634"/>
      <c r="V224" s="634"/>
      <c r="W224" s="634"/>
      <c r="X224" s="634"/>
    </row>
    <row r="225" spans="1:24" ht="15.75">
      <c r="A225" s="67"/>
      <c r="B225" s="68"/>
      <c r="C225" s="71"/>
      <c r="D225" s="634"/>
      <c r="E225" s="634"/>
      <c r="F225" s="634"/>
      <c r="G225" s="634"/>
      <c r="H225" s="634"/>
      <c r="I225" s="634"/>
      <c r="J225" s="634"/>
      <c r="K225" s="634"/>
      <c r="L225" s="634"/>
      <c r="M225" s="634"/>
      <c r="N225" s="634"/>
      <c r="O225" s="634"/>
      <c r="P225" s="634"/>
      <c r="Q225" s="634"/>
      <c r="R225" s="634"/>
      <c r="S225" s="634"/>
      <c r="T225" s="634"/>
      <c r="U225" s="634"/>
      <c r="V225" s="634"/>
      <c r="W225" s="634"/>
      <c r="X225" s="634"/>
    </row>
    <row r="226" spans="1:24" ht="15.75">
      <c r="A226" s="67"/>
      <c r="B226" s="68"/>
      <c r="C226" s="71"/>
      <c r="D226" s="72" t="s">
        <v>286</v>
      </c>
      <c r="E226" s="30">
        <v>1</v>
      </c>
      <c r="F226" s="30">
        <v>2</v>
      </c>
      <c r="G226" s="30">
        <v>3</v>
      </c>
      <c r="H226" s="30">
        <v>4</v>
      </c>
      <c r="I226" s="30">
        <v>5</v>
      </c>
      <c r="J226" s="30">
        <v>6</v>
      </c>
      <c r="K226" s="30">
        <v>7</v>
      </c>
      <c r="L226" s="30">
        <v>8</v>
      </c>
      <c r="M226" s="30">
        <v>9</v>
      </c>
      <c r="N226" s="30">
        <v>10</v>
      </c>
      <c r="O226" s="30">
        <v>11</v>
      </c>
      <c r="P226" s="30">
        <v>12</v>
      </c>
      <c r="Q226" s="30">
        <v>13</v>
      </c>
      <c r="R226" s="30">
        <v>14</v>
      </c>
      <c r="S226" s="30">
        <v>15</v>
      </c>
      <c r="T226" s="30">
        <v>16</v>
      </c>
      <c r="U226" s="30">
        <v>17</v>
      </c>
      <c r="V226" s="30">
        <v>18</v>
      </c>
      <c r="W226" s="73" t="s">
        <v>267</v>
      </c>
      <c r="X226" s="74"/>
    </row>
    <row r="227" spans="1:24" ht="16.5" thickBot="1">
      <c r="A227" s="75"/>
      <c r="B227" s="76"/>
      <c r="C227" s="77"/>
      <c r="D227" s="78" t="s">
        <v>288</v>
      </c>
      <c r="E227" s="79">
        <v>0.75</v>
      </c>
      <c r="F227" s="79">
        <v>0.25</v>
      </c>
      <c r="G227" s="79">
        <v>3</v>
      </c>
      <c r="H227" s="79">
        <v>2</v>
      </c>
      <c r="I227" s="79">
        <v>0.75</v>
      </c>
      <c r="J227" s="79">
        <v>-3</v>
      </c>
      <c r="K227" s="79">
        <v>-4</v>
      </c>
      <c r="L227" s="79">
        <v>20</v>
      </c>
      <c r="M227" s="79">
        <v>10</v>
      </c>
      <c r="N227" s="79">
        <v>5</v>
      </c>
      <c r="O227" s="79">
        <v>3</v>
      </c>
      <c r="P227" s="79">
        <v>5</v>
      </c>
      <c r="Q227" s="79">
        <v>7</v>
      </c>
      <c r="R227" s="79">
        <v>3</v>
      </c>
      <c r="S227" s="79">
        <v>3</v>
      </c>
      <c r="T227" s="79">
        <v>3</v>
      </c>
      <c r="U227" s="79">
        <v>8.25</v>
      </c>
      <c r="V227" s="79">
        <v>16</v>
      </c>
      <c r="W227" s="80" t="s">
        <v>287</v>
      </c>
      <c r="X227" s="81" t="s">
        <v>267</v>
      </c>
    </row>
    <row r="228" spans="1:24" ht="19.5">
      <c r="A228" s="82">
        <v>1</v>
      </c>
      <c r="B228" s="96">
        <v>4</v>
      </c>
      <c r="C228" s="84" t="s">
        <v>290</v>
      </c>
      <c r="D228" s="106">
        <v>428</v>
      </c>
      <c r="E228" s="51">
        <v>3.75</v>
      </c>
      <c r="F228" s="51">
        <v>3.75</v>
      </c>
      <c r="G228" s="51">
        <v>3</v>
      </c>
      <c r="H228" s="51">
        <v>2</v>
      </c>
      <c r="I228" s="51">
        <v>0.75</v>
      </c>
      <c r="J228" s="51">
        <v>0</v>
      </c>
      <c r="K228" s="51">
        <v>0</v>
      </c>
      <c r="L228" s="51">
        <v>0</v>
      </c>
      <c r="M228" s="51">
        <v>0</v>
      </c>
      <c r="N228" s="51">
        <v>0</v>
      </c>
      <c r="O228" s="51">
        <v>3</v>
      </c>
      <c r="P228" s="51">
        <v>5</v>
      </c>
      <c r="Q228" s="51">
        <v>7</v>
      </c>
      <c r="R228" s="51">
        <v>0</v>
      </c>
      <c r="S228" s="51">
        <v>3</v>
      </c>
      <c r="T228" s="51">
        <v>0</v>
      </c>
      <c r="U228" s="51">
        <v>0</v>
      </c>
      <c r="V228" s="51">
        <v>0</v>
      </c>
      <c r="W228" s="51">
        <v>31.25</v>
      </c>
      <c r="X228" s="86">
        <v>16</v>
      </c>
    </row>
    <row r="229" spans="1:24" ht="19.5">
      <c r="A229" s="45">
        <v>2</v>
      </c>
      <c r="B229" s="102">
        <v>4</v>
      </c>
      <c r="C229" s="125" t="s">
        <v>12</v>
      </c>
      <c r="D229" s="106">
        <v>227.25</v>
      </c>
      <c r="E229" s="51">
        <v>1.5</v>
      </c>
      <c r="F229" s="51">
        <v>1.75</v>
      </c>
      <c r="G229" s="51">
        <v>0</v>
      </c>
      <c r="H229" s="51">
        <v>2</v>
      </c>
      <c r="I229" s="51">
        <v>0</v>
      </c>
      <c r="J229" s="51">
        <v>0</v>
      </c>
      <c r="K229" s="51">
        <v>0</v>
      </c>
      <c r="L229" s="51">
        <v>0</v>
      </c>
      <c r="M229" s="51">
        <v>0</v>
      </c>
      <c r="N229" s="51">
        <v>0</v>
      </c>
      <c r="O229" s="51">
        <v>0</v>
      </c>
      <c r="P229" s="51">
        <v>0</v>
      </c>
      <c r="Q229" s="51">
        <v>0</v>
      </c>
      <c r="R229" s="51">
        <v>0</v>
      </c>
      <c r="S229" s="51">
        <v>0</v>
      </c>
      <c r="T229" s="51">
        <v>3</v>
      </c>
      <c r="U229" s="51">
        <v>0</v>
      </c>
      <c r="V229" s="51">
        <v>0</v>
      </c>
      <c r="W229" s="51">
        <v>5.25</v>
      </c>
      <c r="X229" s="86">
        <v>16</v>
      </c>
    </row>
    <row r="230" spans="1:24" ht="19.5">
      <c r="A230" s="82">
        <v>3</v>
      </c>
      <c r="B230" s="96">
        <v>4</v>
      </c>
      <c r="C230" s="97" t="s">
        <v>8</v>
      </c>
      <c r="D230" s="106">
        <v>101.5</v>
      </c>
      <c r="E230" s="51">
        <v>0</v>
      </c>
      <c r="F230" s="51">
        <v>1.25</v>
      </c>
      <c r="G230" s="51">
        <v>0</v>
      </c>
      <c r="H230" s="51">
        <v>2</v>
      </c>
      <c r="I230" s="51">
        <v>0</v>
      </c>
      <c r="J230" s="51">
        <v>0</v>
      </c>
      <c r="K230" s="51">
        <v>0</v>
      </c>
      <c r="L230" s="51">
        <v>0</v>
      </c>
      <c r="M230" s="51">
        <v>0</v>
      </c>
      <c r="N230" s="51">
        <v>0</v>
      </c>
      <c r="O230" s="51">
        <v>0</v>
      </c>
      <c r="P230" s="51">
        <v>0</v>
      </c>
      <c r="Q230" s="51">
        <v>0</v>
      </c>
      <c r="R230" s="51">
        <v>0</v>
      </c>
      <c r="S230" s="51">
        <v>0</v>
      </c>
      <c r="T230" s="51">
        <v>0</v>
      </c>
      <c r="U230" s="51">
        <v>0</v>
      </c>
      <c r="V230" s="51">
        <v>0</v>
      </c>
      <c r="W230" s="51">
        <v>3.25</v>
      </c>
      <c r="X230" s="86">
        <v>16</v>
      </c>
    </row>
    <row r="231" spans="1:24" ht="19.5">
      <c r="A231" s="45">
        <v>4</v>
      </c>
      <c r="B231" s="102">
        <v>4</v>
      </c>
      <c r="C231" s="116" t="s">
        <v>10</v>
      </c>
      <c r="D231" s="106">
        <v>83</v>
      </c>
      <c r="E231" s="37">
        <v>0</v>
      </c>
      <c r="F231" s="37">
        <v>1</v>
      </c>
      <c r="G231" s="37">
        <v>0</v>
      </c>
      <c r="H231" s="37">
        <v>2</v>
      </c>
      <c r="I231" s="37">
        <v>0</v>
      </c>
      <c r="J231" s="37">
        <v>0</v>
      </c>
      <c r="K231" s="37">
        <v>0</v>
      </c>
      <c r="L231" s="37">
        <v>0</v>
      </c>
      <c r="M231" s="37">
        <v>0</v>
      </c>
      <c r="N231" s="37">
        <v>0</v>
      </c>
      <c r="O231" s="37">
        <v>0</v>
      </c>
      <c r="P231" s="37">
        <v>0</v>
      </c>
      <c r="Q231" s="37">
        <v>0</v>
      </c>
      <c r="R231" s="37">
        <v>3</v>
      </c>
      <c r="S231" s="37">
        <v>0</v>
      </c>
      <c r="T231" s="37">
        <v>0</v>
      </c>
      <c r="U231" s="37">
        <v>0</v>
      </c>
      <c r="V231" s="37">
        <v>0</v>
      </c>
      <c r="W231" s="51">
        <v>6</v>
      </c>
      <c r="X231" s="86">
        <v>16</v>
      </c>
    </row>
    <row r="232" spans="1:24" ht="19.5">
      <c r="A232" s="82">
        <v>5</v>
      </c>
      <c r="B232" s="96">
        <v>4</v>
      </c>
      <c r="C232" s="97" t="s">
        <v>53</v>
      </c>
      <c r="D232" s="106">
        <v>54</v>
      </c>
      <c r="E232" s="51">
        <v>2.25</v>
      </c>
      <c r="F232" s="51">
        <v>0.25</v>
      </c>
      <c r="G232" s="51">
        <v>0</v>
      </c>
      <c r="H232" s="51">
        <v>2</v>
      </c>
      <c r="I232" s="51">
        <v>0</v>
      </c>
      <c r="J232" s="51">
        <v>0</v>
      </c>
      <c r="K232" s="51">
        <v>0</v>
      </c>
      <c r="L232" s="51">
        <v>0</v>
      </c>
      <c r="M232" s="51">
        <v>0</v>
      </c>
      <c r="N232" s="51">
        <v>0</v>
      </c>
      <c r="O232" s="51">
        <v>0</v>
      </c>
      <c r="P232" s="51">
        <v>0</v>
      </c>
      <c r="Q232" s="51">
        <v>0</v>
      </c>
      <c r="R232" s="51">
        <v>0</v>
      </c>
      <c r="S232" s="51">
        <v>0</v>
      </c>
      <c r="T232" s="51">
        <v>0</v>
      </c>
      <c r="U232" s="51">
        <v>0</v>
      </c>
      <c r="V232" s="51">
        <v>0</v>
      </c>
      <c r="W232" s="51">
        <v>4.5</v>
      </c>
      <c r="X232" s="86">
        <v>16</v>
      </c>
    </row>
    <row r="233" spans="1:24" ht="19.5">
      <c r="A233" s="67">
        <v>6</v>
      </c>
      <c r="B233" s="102">
        <v>4</v>
      </c>
      <c r="C233" s="99" t="s">
        <v>52</v>
      </c>
      <c r="D233" s="106">
        <v>44.75</v>
      </c>
      <c r="E233" s="51">
        <v>2.25</v>
      </c>
      <c r="F233" s="51">
        <v>0</v>
      </c>
      <c r="G233" s="51">
        <v>3</v>
      </c>
      <c r="H233" s="51">
        <v>0</v>
      </c>
      <c r="I233" s="51">
        <v>0</v>
      </c>
      <c r="J233" s="51">
        <v>0</v>
      </c>
      <c r="K233" s="51">
        <v>0</v>
      </c>
      <c r="L233" s="51">
        <v>0</v>
      </c>
      <c r="M233" s="51">
        <v>0</v>
      </c>
      <c r="N233" s="51">
        <v>0</v>
      </c>
      <c r="O233" s="51">
        <v>0</v>
      </c>
      <c r="P233" s="51">
        <v>0</v>
      </c>
      <c r="Q233" s="51">
        <v>0</v>
      </c>
      <c r="R233" s="51">
        <v>0</v>
      </c>
      <c r="S233" s="51">
        <v>0</v>
      </c>
      <c r="T233" s="51">
        <v>0</v>
      </c>
      <c r="U233" s="51">
        <v>0</v>
      </c>
      <c r="V233" s="51">
        <v>0</v>
      </c>
      <c r="W233" s="51">
        <v>5.25</v>
      </c>
      <c r="X233" s="86">
        <v>16</v>
      </c>
    </row>
    <row r="234" spans="1:24" ht="19.5">
      <c r="A234" s="82">
        <v>7</v>
      </c>
      <c r="B234" s="96">
        <v>4</v>
      </c>
      <c r="C234" s="97" t="s">
        <v>289</v>
      </c>
      <c r="D234" s="106">
        <v>16.25</v>
      </c>
      <c r="E234" s="51">
        <v>0</v>
      </c>
      <c r="F234" s="51">
        <v>1.25</v>
      </c>
      <c r="G234" s="51">
        <v>0</v>
      </c>
      <c r="H234" s="51">
        <v>0</v>
      </c>
      <c r="I234" s="51">
        <v>0</v>
      </c>
      <c r="J234" s="51">
        <v>0</v>
      </c>
      <c r="K234" s="51">
        <v>0</v>
      </c>
      <c r="L234" s="51">
        <v>0</v>
      </c>
      <c r="M234" s="51">
        <v>0</v>
      </c>
      <c r="N234" s="51">
        <v>0</v>
      </c>
      <c r="O234" s="51">
        <v>0</v>
      </c>
      <c r="P234" s="51">
        <v>0</v>
      </c>
      <c r="Q234" s="51">
        <v>0</v>
      </c>
      <c r="R234" s="51">
        <v>0</v>
      </c>
      <c r="S234" s="51">
        <v>0</v>
      </c>
      <c r="T234" s="51">
        <v>0</v>
      </c>
      <c r="U234" s="51">
        <v>0</v>
      </c>
      <c r="V234" s="51">
        <v>0</v>
      </c>
      <c r="W234" s="51">
        <v>1.25</v>
      </c>
      <c r="X234" s="86">
        <v>16</v>
      </c>
    </row>
    <row r="235" spans="1:24" ht="19.5">
      <c r="A235" s="117">
        <v>8</v>
      </c>
      <c r="B235" s="102">
        <v>4</v>
      </c>
      <c r="C235" s="108" t="s">
        <v>324</v>
      </c>
      <c r="D235" s="118">
        <v>12</v>
      </c>
      <c r="E235" s="43">
        <v>0</v>
      </c>
      <c r="F235" s="43">
        <v>0.5</v>
      </c>
      <c r="G235" s="43">
        <v>0</v>
      </c>
      <c r="H235" s="43">
        <v>0</v>
      </c>
      <c r="I235" s="43">
        <v>0</v>
      </c>
      <c r="J235" s="43">
        <v>0</v>
      </c>
      <c r="K235" s="43">
        <v>0</v>
      </c>
      <c r="L235" s="43">
        <v>0</v>
      </c>
      <c r="M235" s="43">
        <v>0</v>
      </c>
      <c r="N235" s="43">
        <v>0</v>
      </c>
      <c r="O235" s="43">
        <v>0</v>
      </c>
      <c r="P235" s="43">
        <v>0</v>
      </c>
      <c r="Q235" s="43">
        <v>0</v>
      </c>
      <c r="R235" s="43">
        <v>0</v>
      </c>
      <c r="S235" s="43">
        <v>0</v>
      </c>
      <c r="T235" s="43">
        <v>0</v>
      </c>
      <c r="U235" s="43">
        <v>0</v>
      </c>
      <c r="V235" s="43">
        <v>0</v>
      </c>
      <c r="W235" s="89">
        <v>0.5</v>
      </c>
      <c r="X235" s="86">
        <v>16</v>
      </c>
    </row>
    <row r="236" spans="1:24" ht="19.5">
      <c r="A236" s="121">
        <v>9</v>
      </c>
      <c r="B236" s="96">
        <v>4</v>
      </c>
      <c r="C236" s="122" t="s">
        <v>114</v>
      </c>
      <c r="D236" s="118">
        <v>2.25</v>
      </c>
      <c r="E236" s="89">
        <v>0</v>
      </c>
      <c r="F236" s="89">
        <v>0</v>
      </c>
      <c r="G236" s="89">
        <v>0</v>
      </c>
      <c r="H236" s="89">
        <v>0</v>
      </c>
      <c r="I236" s="89">
        <v>0</v>
      </c>
      <c r="J236" s="89">
        <v>0</v>
      </c>
      <c r="K236" s="89">
        <v>0</v>
      </c>
      <c r="L236" s="89">
        <v>0</v>
      </c>
      <c r="M236" s="89">
        <v>0</v>
      </c>
      <c r="N236" s="89">
        <v>0</v>
      </c>
      <c r="O236" s="89">
        <v>0</v>
      </c>
      <c r="P236" s="89">
        <v>0</v>
      </c>
      <c r="Q236" s="89">
        <v>0</v>
      </c>
      <c r="R236" s="89">
        <v>0</v>
      </c>
      <c r="S236" s="89">
        <v>0</v>
      </c>
      <c r="T236" s="89">
        <v>0</v>
      </c>
      <c r="U236" s="89">
        <v>0</v>
      </c>
      <c r="V236" s="89">
        <v>0</v>
      </c>
      <c r="W236" s="89">
        <v>0</v>
      </c>
      <c r="X236" s="86">
        <v>16</v>
      </c>
    </row>
    <row r="237" spans="1:24" ht="19.5">
      <c r="A237" s="50">
        <v>10</v>
      </c>
      <c r="B237" s="102">
        <v>4</v>
      </c>
      <c r="C237" s="126" t="s">
        <v>471</v>
      </c>
      <c r="D237" s="118">
        <v>0.75</v>
      </c>
      <c r="E237" s="51">
        <v>0</v>
      </c>
      <c r="F237" s="51">
        <v>0</v>
      </c>
      <c r="G237" s="51">
        <v>0</v>
      </c>
      <c r="H237" s="51">
        <v>0</v>
      </c>
      <c r="I237" s="51">
        <v>0</v>
      </c>
      <c r="J237" s="51">
        <v>0</v>
      </c>
      <c r="K237" s="51">
        <v>0</v>
      </c>
      <c r="L237" s="89">
        <v>0</v>
      </c>
      <c r="M237" s="89">
        <v>0</v>
      </c>
      <c r="N237" s="89">
        <v>0</v>
      </c>
      <c r="O237" s="89">
        <v>0</v>
      </c>
      <c r="P237" s="89">
        <v>0</v>
      </c>
      <c r="Q237" s="89">
        <v>0</v>
      </c>
      <c r="R237" s="89">
        <v>0</v>
      </c>
      <c r="S237" s="89">
        <v>0</v>
      </c>
      <c r="T237" s="89">
        <v>0</v>
      </c>
      <c r="U237" s="89">
        <v>0</v>
      </c>
      <c r="V237" s="89">
        <v>0</v>
      </c>
      <c r="W237" s="89">
        <v>0</v>
      </c>
      <c r="X237" s="86">
        <v>16</v>
      </c>
    </row>
    <row r="238" spans="1:24" ht="20.25" thickBot="1">
      <c r="A238" s="110">
        <v>11</v>
      </c>
      <c r="B238" s="111">
        <v>4</v>
      </c>
      <c r="C238" s="112" t="s">
        <v>622</v>
      </c>
      <c r="D238" s="113">
        <v>0</v>
      </c>
      <c r="E238" s="52">
        <v>0</v>
      </c>
      <c r="F238" s="52">
        <v>0</v>
      </c>
      <c r="G238" s="52">
        <v>0</v>
      </c>
      <c r="H238" s="52">
        <v>0</v>
      </c>
      <c r="I238" s="52">
        <v>0</v>
      </c>
      <c r="J238" s="52">
        <v>0</v>
      </c>
      <c r="K238" s="52">
        <v>0</v>
      </c>
      <c r="L238" s="41">
        <v>0</v>
      </c>
      <c r="M238" s="41">
        <v>0</v>
      </c>
      <c r="N238" s="41">
        <v>0</v>
      </c>
      <c r="O238" s="41">
        <v>0</v>
      </c>
      <c r="P238" s="41">
        <v>0</v>
      </c>
      <c r="Q238" s="41">
        <v>0</v>
      </c>
      <c r="R238" s="41">
        <v>0</v>
      </c>
      <c r="S238" s="41">
        <v>0</v>
      </c>
      <c r="T238" s="41">
        <v>0</v>
      </c>
      <c r="U238" s="41">
        <v>0</v>
      </c>
      <c r="V238" s="41">
        <v>0</v>
      </c>
      <c r="W238" s="52">
        <v>0</v>
      </c>
      <c r="X238" s="94">
        <v>16</v>
      </c>
    </row>
    <row r="239" ht="15.75"/>
    <row r="240" spans="1:24" ht="15.75">
      <c r="A240" s="67"/>
      <c r="B240" s="68"/>
      <c r="C240" s="71"/>
      <c r="D240" s="633" t="s">
        <v>808</v>
      </c>
      <c r="E240" s="634"/>
      <c r="F240" s="634"/>
      <c r="G240" s="634"/>
      <c r="H240" s="634"/>
      <c r="I240" s="634"/>
      <c r="J240" s="634"/>
      <c r="K240" s="634"/>
      <c r="L240" s="634"/>
      <c r="M240" s="634"/>
      <c r="N240" s="634"/>
      <c r="O240" s="634"/>
      <c r="P240" s="634"/>
      <c r="Q240" s="634"/>
      <c r="R240" s="634"/>
      <c r="S240" s="634"/>
      <c r="T240" s="634"/>
      <c r="U240" s="634"/>
      <c r="V240" s="634"/>
      <c r="W240" s="634"/>
      <c r="X240" s="634"/>
    </row>
    <row r="241" spans="1:24" ht="15.75">
      <c r="A241" s="67"/>
      <c r="B241" s="68"/>
      <c r="C241" s="71"/>
      <c r="D241" s="634"/>
      <c r="E241" s="634"/>
      <c r="F241" s="634"/>
      <c r="G241" s="634"/>
      <c r="H241" s="634"/>
      <c r="I241" s="634"/>
      <c r="J241" s="634"/>
      <c r="K241" s="634"/>
      <c r="L241" s="634"/>
      <c r="M241" s="634"/>
      <c r="N241" s="634"/>
      <c r="O241" s="634"/>
      <c r="P241" s="634"/>
      <c r="Q241" s="634"/>
      <c r="R241" s="634"/>
      <c r="S241" s="634"/>
      <c r="T241" s="634"/>
      <c r="U241" s="634"/>
      <c r="V241" s="634"/>
      <c r="W241" s="634"/>
      <c r="X241" s="634"/>
    </row>
    <row r="242" spans="1:24" ht="15.75">
      <c r="A242" s="67"/>
      <c r="B242" s="68"/>
      <c r="C242" s="71"/>
      <c r="D242" s="72" t="s">
        <v>286</v>
      </c>
      <c r="E242" s="30">
        <v>1</v>
      </c>
      <c r="F242" s="30">
        <v>2</v>
      </c>
      <c r="G242" s="30">
        <v>3</v>
      </c>
      <c r="H242" s="30">
        <v>4</v>
      </c>
      <c r="I242" s="30">
        <v>5</v>
      </c>
      <c r="J242" s="30">
        <v>6</v>
      </c>
      <c r="K242" s="30">
        <v>7</v>
      </c>
      <c r="L242" s="30">
        <v>8</v>
      </c>
      <c r="M242" s="30">
        <v>9</v>
      </c>
      <c r="N242" s="30">
        <v>10</v>
      </c>
      <c r="O242" s="30">
        <v>11</v>
      </c>
      <c r="P242" s="30">
        <v>12</v>
      </c>
      <c r="Q242" s="30">
        <v>13</v>
      </c>
      <c r="R242" s="30">
        <v>14</v>
      </c>
      <c r="S242" s="30">
        <v>15</v>
      </c>
      <c r="T242" s="30">
        <v>16</v>
      </c>
      <c r="U242" s="30">
        <v>17</v>
      </c>
      <c r="V242" s="30">
        <v>18</v>
      </c>
      <c r="W242" s="73" t="s">
        <v>267</v>
      </c>
      <c r="X242" s="74"/>
    </row>
    <row r="243" spans="1:24" ht="16.5" thickBot="1">
      <c r="A243" s="75"/>
      <c r="B243" s="76"/>
      <c r="C243" s="77"/>
      <c r="D243" s="78" t="s">
        <v>288</v>
      </c>
      <c r="E243" s="79">
        <v>0.75</v>
      </c>
      <c r="F243" s="79">
        <v>0.25</v>
      </c>
      <c r="G243" s="79">
        <v>3</v>
      </c>
      <c r="H243" s="79">
        <v>2</v>
      </c>
      <c r="I243" s="79">
        <v>0.75</v>
      </c>
      <c r="J243" s="79">
        <v>-3</v>
      </c>
      <c r="K243" s="79">
        <v>-4</v>
      </c>
      <c r="L243" s="79">
        <v>20</v>
      </c>
      <c r="M243" s="79">
        <v>10</v>
      </c>
      <c r="N243" s="79">
        <v>5</v>
      </c>
      <c r="O243" s="79">
        <v>3</v>
      </c>
      <c r="P243" s="79">
        <v>5</v>
      </c>
      <c r="Q243" s="79">
        <v>7</v>
      </c>
      <c r="R243" s="79">
        <v>3</v>
      </c>
      <c r="S243" s="79">
        <v>3</v>
      </c>
      <c r="T243" s="79">
        <v>3</v>
      </c>
      <c r="U243" s="79">
        <v>8.25</v>
      </c>
      <c r="V243" s="79">
        <v>16</v>
      </c>
      <c r="W243" s="80" t="s">
        <v>287</v>
      </c>
      <c r="X243" s="81" t="s">
        <v>267</v>
      </c>
    </row>
    <row r="244" spans="1:24" ht="19.5">
      <c r="A244" s="82">
        <v>1</v>
      </c>
      <c r="B244" s="96">
        <v>4</v>
      </c>
      <c r="C244" s="84" t="s">
        <v>290</v>
      </c>
      <c r="D244" s="106">
        <v>459.5</v>
      </c>
      <c r="E244" s="51">
        <v>4.5</v>
      </c>
      <c r="F244" s="51">
        <v>4.25</v>
      </c>
      <c r="G244" s="51">
        <v>0</v>
      </c>
      <c r="H244" s="51">
        <v>4</v>
      </c>
      <c r="I244" s="51">
        <v>0.75</v>
      </c>
      <c r="J244" s="51">
        <v>0</v>
      </c>
      <c r="K244" s="51">
        <v>0</v>
      </c>
      <c r="L244" s="51">
        <v>0</v>
      </c>
      <c r="M244" s="51">
        <v>0</v>
      </c>
      <c r="N244" s="51">
        <v>0</v>
      </c>
      <c r="O244" s="51">
        <v>3</v>
      </c>
      <c r="P244" s="51">
        <v>5</v>
      </c>
      <c r="Q244" s="51">
        <v>7</v>
      </c>
      <c r="R244" s="51">
        <v>0</v>
      </c>
      <c r="S244" s="51">
        <v>0</v>
      </c>
      <c r="T244" s="51">
        <v>3</v>
      </c>
      <c r="U244" s="51">
        <v>0</v>
      </c>
      <c r="V244" s="51">
        <v>0</v>
      </c>
      <c r="W244" s="51">
        <v>31.5</v>
      </c>
      <c r="X244" s="86">
        <v>17</v>
      </c>
    </row>
    <row r="245" spans="1:24" ht="19.5">
      <c r="A245" s="45">
        <v>2</v>
      </c>
      <c r="B245" s="102">
        <v>4</v>
      </c>
      <c r="C245" s="125" t="s">
        <v>12</v>
      </c>
      <c r="D245" s="106">
        <v>235</v>
      </c>
      <c r="E245" s="51">
        <v>0.75</v>
      </c>
      <c r="F245" s="51">
        <v>2</v>
      </c>
      <c r="G245" s="51">
        <v>0</v>
      </c>
      <c r="H245" s="51">
        <v>2</v>
      </c>
      <c r="I245" s="51">
        <v>0</v>
      </c>
      <c r="J245" s="51">
        <v>0</v>
      </c>
      <c r="K245" s="51">
        <v>0</v>
      </c>
      <c r="L245" s="51">
        <v>0</v>
      </c>
      <c r="M245" s="51">
        <v>0</v>
      </c>
      <c r="N245" s="51">
        <v>0</v>
      </c>
      <c r="O245" s="51">
        <v>0</v>
      </c>
      <c r="P245" s="51">
        <v>0</v>
      </c>
      <c r="Q245" s="51">
        <v>0</v>
      </c>
      <c r="R245" s="51">
        <v>3</v>
      </c>
      <c r="S245" s="51">
        <v>0</v>
      </c>
      <c r="T245" s="51">
        <v>0</v>
      </c>
      <c r="U245" s="51">
        <v>0</v>
      </c>
      <c r="V245" s="51">
        <v>0</v>
      </c>
      <c r="W245" s="51">
        <v>7.75</v>
      </c>
      <c r="X245" s="86">
        <v>17</v>
      </c>
    </row>
    <row r="246" spans="1:24" ht="19.5">
      <c r="A246" s="82">
        <v>3</v>
      </c>
      <c r="B246" s="96">
        <v>4</v>
      </c>
      <c r="C246" s="97" t="s">
        <v>8</v>
      </c>
      <c r="D246" s="106">
        <v>102.75</v>
      </c>
      <c r="E246" s="51">
        <v>0</v>
      </c>
      <c r="F246" s="51">
        <v>1.25</v>
      </c>
      <c r="G246" s="51">
        <v>0</v>
      </c>
      <c r="H246" s="51">
        <v>0</v>
      </c>
      <c r="I246" s="51">
        <v>0</v>
      </c>
      <c r="J246" s="51">
        <v>0</v>
      </c>
      <c r="K246" s="51">
        <v>0</v>
      </c>
      <c r="L246" s="51">
        <v>0</v>
      </c>
      <c r="M246" s="51">
        <v>0</v>
      </c>
      <c r="N246" s="51">
        <v>0</v>
      </c>
      <c r="O246" s="51">
        <v>0</v>
      </c>
      <c r="P246" s="51">
        <v>0</v>
      </c>
      <c r="Q246" s="51">
        <v>0</v>
      </c>
      <c r="R246" s="51">
        <v>0</v>
      </c>
      <c r="S246" s="51">
        <v>0</v>
      </c>
      <c r="T246" s="51">
        <v>0</v>
      </c>
      <c r="U246" s="51">
        <v>0</v>
      </c>
      <c r="V246" s="51">
        <v>0</v>
      </c>
      <c r="W246" s="51">
        <v>1.25</v>
      </c>
      <c r="X246" s="86">
        <v>17</v>
      </c>
    </row>
    <row r="247" spans="1:24" ht="19.5">
      <c r="A247" s="45">
        <v>4</v>
      </c>
      <c r="B247" s="102">
        <v>4</v>
      </c>
      <c r="C247" s="116" t="s">
        <v>10</v>
      </c>
      <c r="D247" s="106">
        <v>88.75</v>
      </c>
      <c r="E247" s="37">
        <v>0</v>
      </c>
      <c r="F247" s="37">
        <v>0.75</v>
      </c>
      <c r="G247" s="37">
        <v>0</v>
      </c>
      <c r="H247" s="37">
        <v>2</v>
      </c>
      <c r="I247" s="37">
        <v>0</v>
      </c>
      <c r="J247" s="37">
        <v>0</v>
      </c>
      <c r="K247" s="37">
        <v>0</v>
      </c>
      <c r="L247" s="37">
        <v>0</v>
      </c>
      <c r="M247" s="37">
        <v>0</v>
      </c>
      <c r="N247" s="37">
        <v>0</v>
      </c>
      <c r="O247" s="37">
        <v>0</v>
      </c>
      <c r="P247" s="37">
        <v>0</v>
      </c>
      <c r="Q247" s="37">
        <v>0</v>
      </c>
      <c r="R247" s="37">
        <v>0</v>
      </c>
      <c r="S247" s="37">
        <v>3</v>
      </c>
      <c r="T247" s="37">
        <v>0</v>
      </c>
      <c r="U247" s="37">
        <v>0</v>
      </c>
      <c r="V247" s="37">
        <v>0</v>
      </c>
      <c r="W247" s="51">
        <v>5.75</v>
      </c>
      <c r="X247" s="86">
        <v>17</v>
      </c>
    </row>
    <row r="248" spans="1:24" ht="19.5">
      <c r="A248" s="82">
        <v>5</v>
      </c>
      <c r="B248" s="96">
        <v>4</v>
      </c>
      <c r="C248" s="97" t="s">
        <v>53</v>
      </c>
      <c r="D248" s="106">
        <v>59.75</v>
      </c>
      <c r="E248" s="51">
        <v>2.25</v>
      </c>
      <c r="F248" s="51">
        <v>0.5</v>
      </c>
      <c r="G248" s="51">
        <v>3</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5.75</v>
      </c>
      <c r="X248" s="86">
        <v>17</v>
      </c>
    </row>
    <row r="249" spans="1:24" ht="19.5">
      <c r="A249" s="67">
        <v>6</v>
      </c>
      <c r="B249" s="102">
        <v>4</v>
      </c>
      <c r="C249" s="99" t="s">
        <v>52</v>
      </c>
      <c r="D249" s="106">
        <v>48.25</v>
      </c>
      <c r="E249" s="51">
        <v>1.5</v>
      </c>
      <c r="F249" s="51">
        <v>0</v>
      </c>
      <c r="G249" s="51">
        <v>0</v>
      </c>
      <c r="H249" s="51">
        <v>2</v>
      </c>
      <c r="I249" s="51">
        <v>0</v>
      </c>
      <c r="J249" s="51">
        <v>0</v>
      </c>
      <c r="K249" s="51">
        <v>0</v>
      </c>
      <c r="L249" s="51">
        <v>0</v>
      </c>
      <c r="M249" s="51">
        <v>0</v>
      </c>
      <c r="N249" s="51">
        <v>0</v>
      </c>
      <c r="O249" s="51">
        <v>0</v>
      </c>
      <c r="P249" s="51">
        <v>0</v>
      </c>
      <c r="Q249" s="51">
        <v>0</v>
      </c>
      <c r="R249" s="51">
        <v>0</v>
      </c>
      <c r="S249" s="51">
        <v>0</v>
      </c>
      <c r="T249" s="51">
        <v>0</v>
      </c>
      <c r="U249" s="51">
        <v>0</v>
      </c>
      <c r="V249" s="51">
        <v>0</v>
      </c>
      <c r="W249" s="51">
        <v>3.5</v>
      </c>
      <c r="X249" s="86">
        <v>17</v>
      </c>
    </row>
    <row r="250" spans="1:24" ht="19.5">
      <c r="A250" s="82">
        <v>7</v>
      </c>
      <c r="B250" s="96">
        <v>4</v>
      </c>
      <c r="C250" s="97" t="s">
        <v>289</v>
      </c>
      <c r="D250" s="106">
        <v>18</v>
      </c>
      <c r="E250" s="51">
        <v>0</v>
      </c>
      <c r="F250" s="51">
        <v>1.75</v>
      </c>
      <c r="G250" s="51">
        <v>0</v>
      </c>
      <c r="H250" s="51">
        <v>0</v>
      </c>
      <c r="I250" s="51">
        <v>0</v>
      </c>
      <c r="J250" s="51">
        <v>0</v>
      </c>
      <c r="K250" s="51">
        <v>0</v>
      </c>
      <c r="L250" s="51">
        <v>0</v>
      </c>
      <c r="M250" s="51">
        <v>0</v>
      </c>
      <c r="N250" s="51">
        <v>0</v>
      </c>
      <c r="O250" s="51">
        <v>0</v>
      </c>
      <c r="P250" s="51">
        <v>0</v>
      </c>
      <c r="Q250" s="51">
        <v>0</v>
      </c>
      <c r="R250" s="51">
        <v>0</v>
      </c>
      <c r="S250" s="51">
        <v>0</v>
      </c>
      <c r="T250" s="51">
        <v>0</v>
      </c>
      <c r="U250" s="51">
        <v>0</v>
      </c>
      <c r="V250" s="51">
        <v>0</v>
      </c>
      <c r="W250" s="51">
        <v>1.75</v>
      </c>
      <c r="X250" s="86">
        <v>17</v>
      </c>
    </row>
    <row r="251" spans="1:24" ht="19.5">
      <c r="A251" s="117">
        <v>8</v>
      </c>
      <c r="B251" s="102">
        <v>4</v>
      </c>
      <c r="C251" s="108" t="s">
        <v>324</v>
      </c>
      <c r="D251" s="118">
        <v>12.5</v>
      </c>
      <c r="E251" s="43">
        <v>0</v>
      </c>
      <c r="F251" s="43">
        <v>0.5</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89">
        <v>0.5</v>
      </c>
      <c r="X251" s="86">
        <v>17</v>
      </c>
    </row>
    <row r="252" spans="1:24" ht="19.5">
      <c r="A252" s="121">
        <v>9</v>
      </c>
      <c r="B252" s="96">
        <v>4</v>
      </c>
      <c r="C252" s="122" t="s">
        <v>114</v>
      </c>
      <c r="D252" s="118">
        <v>2.25</v>
      </c>
      <c r="E252" s="89">
        <v>0</v>
      </c>
      <c r="F252" s="89">
        <v>0</v>
      </c>
      <c r="G252" s="89">
        <v>0</v>
      </c>
      <c r="H252" s="89">
        <v>0</v>
      </c>
      <c r="I252" s="89">
        <v>0</v>
      </c>
      <c r="J252" s="89">
        <v>0</v>
      </c>
      <c r="K252" s="89">
        <v>0</v>
      </c>
      <c r="L252" s="89">
        <v>0</v>
      </c>
      <c r="M252" s="89">
        <v>0</v>
      </c>
      <c r="N252" s="89">
        <v>0</v>
      </c>
      <c r="O252" s="89">
        <v>0</v>
      </c>
      <c r="P252" s="89">
        <v>0</v>
      </c>
      <c r="Q252" s="89">
        <v>0</v>
      </c>
      <c r="R252" s="89">
        <v>0</v>
      </c>
      <c r="S252" s="89">
        <v>0</v>
      </c>
      <c r="T252" s="89">
        <v>0</v>
      </c>
      <c r="U252" s="89">
        <v>0</v>
      </c>
      <c r="V252" s="89">
        <v>0</v>
      </c>
      <c r="W252" s="89">
        <v>0</v>
      </c>
      <c r="X252" s="86">
        <v>17</v>
      </c>
    </row>
    <row r="253" spans="1:24" ht="19.5">
      <c r="A253" s="50">
        <v>10</v>
      </c>
      <c r="B253" s="102">
        <v>4</v>
      </c>
      <c r="C253" s="126" t="s">
        <v>471</v>
      </c>
      <c r="D253" s="118">
        <v>0.75</v>
      </c>
      <c r="E253" s="51">
        <v>0</v>
      </c>
      <c r="F253" s="51">
        <v>0</v>
      </c>
      <c r="G253" s="51">
        <v>0</v>
      </c>
      <c r="H253" s="51">
        <v>0</v>
      </c>
      <c r="I253" s="51">
        <v>0</v>
      </c>
      <c r="J253" s="51">
        <v>0</v>
      </c>
      <c r="K253" s="51">
        <v>0</v>
      </c>
      <c r="L253" s="89">
        <v>0</v>
      </c>
      <c r="M253" s="89">
        <v>0</v>
      </c>
      <c r="N253" s="89">
        <v>0</v>
      </c>
      <c r="O253" s="89">
        <v>0</v>
      </c>
      <c r="P253" s="89">
        <v>0</v>
      </c>
      <c r="Q253" s="89">
        <v>0</v>
      </c>
      <c r="R253" s="89">
        <v>0</v>
      </c>
      <c r="S253" s="89">
        <v>0</v>
      </c>
      <c r="T253" s="89">
        <v>0</v>
      </c>
      <c r="U253" s="89">
        <v>0</v>
      </c>
      <c r="V253" s="89">
        <v>0</v>
      </c>
      <c r="W253" s="89">
        <v>0</v>
      </c>
      <c r="X253" s="86">
        <v>17</v>
      </c>
    </row>
    <row r="254" spans="1:24" ht="20.25" thickBot="1">
      <c r="A254" s="110">
        <v>11</v>
      </c>
      <c r="B254" s="111">
        <v>4</v>
      </c>
      <c r="C254" s="112" t="s">
        <v>622</v>
      </c>
      <c r="D254" s="113">
        <v>0</v>
      </c>
      <c r="E254" s="52">
        <v>0</v>
      </c>
      <c r="F254" s="52">
        <v>0</v>
      </c>
      <c r="G254" s="52">
        <v>0</v>
      </c>
      <c r="H254" s="52">
        <v>0</v>
      </c>
      <c r="I254" s="52">
        <v>0</v>
      </c>
      <c r="J254" s="52">
        <v>0</v>
      </c>
      <c r="K254" s="52">
        <v>0</v>
      </c>
      <c r="L254" s="41">
        <v>0</v>
      </c>
      <c r="M254" s="41">
        <v>0</v>
      </c>
      <c r="N254" s="41">
        <v>0</v>
      </c>
      <c r="O254" s="41">
        <v>0</v>
      </c>
      <c r="P254" s="41">
        <v>0</v>
      </c>
      <c r="Q254" s="41">
        <v>0</v>
      </c>
      <c r="R254" s="41">
        <v>0</v>
      </c>
      <c r="S254" s="41">
        <v>0</v>
      </c>
      <c r="T254" s="41">
        <v>0</v>
      </c>
      <c r="U254" s="41">
        <v>0</v>
      </c>
      <c r="V254" s="41">
        <v>0</v>
      </c>
      <c r="W254" s="52">
        <v>0</v>
      </c>
      <c r="X254" s="94">
        <v>17</v>
      </c>
    </row>
    <row r="255" ht="15.75"/>
    <row r="256" spans="1:24" ht="15.75">
      <c r="A256" s="67"/>
      <c r="B256" s="68"/>
      <c r="C256" s="71"/>
      <c r="D256" s="633" t="s">
        <v>809</v>
      </c>
      <c r="E256" s="634"/>
      <c r="F256" s="634"/>
      <c r="G256" s="634"/>
      <c r="H256" s="634"/>
      <c r="I256" s="634"/>
      <c r="J256" s="634"/>
      <c r="K256" s="634"/>
      <c r="L256" s="634"/>
      <c r="M256" s="634"/>
      <c r="N256" s="634"/>
      <c r="O256" s="634"/>
      <c r="P256" s="634"/>
      <c r="Q256" s="634"/>
      <c r="R256" s="634"/>
      <c r="S256" s="634"/>
      <c r="T256" s="634"/>
      <c r="U256" s="634"/>
      <c r="V256" s="634"/>
      <c r="W256" s="634"/>
      <c r="X256" s="634"/>
    </row>
    <row r="257" spans="1:24" ht="15.75">
      <c r="A257" s="67"/>
      <c r="B257" s="68"/>
      <c r="C257" s="71"/>
      <c r="D257" s="634"/>
      <c r="E257" s="634"/>
      <c r="F257" s="634"/>
      <c r="G257" s="634"/>
      <c r="H257" s="634"/>
      <c r="I257" s="634"/>
      <c r="J257" s="634"/>
      <c r="K257" s="634"/>
      <c r="L257" s="634"/>
      <c r="M257" s="634"/>
      <c r="N257" s="634"/>
      <c r="O257" s="634"/>
      <c r="P257" s="634"/>
      <c r="Q257" s="634"/>
      <c r="R257" s="634"/>
      <c r="S257" s="634"/>
      <c r="T257" s="634"/>
      <c r="U257" s="634"/>
      <c r="V257" s="634"/>
      <c r="W257" s="634"/>
      <c r="X257" s="634"/>
    </row>
    <row r="258" spans="1:24" ht="15.75">
      <c r="A258" s="67"/>
      <c r="B258" s="68"/>
      <c r="C258" s="71"/>
      <c r="D258" s="72" t="s">
        <v>286</v>
      </c>
      <c r="E258" s="30">
        <v>1</v>
      </c>
      <c r="F258" s="30">
        <v>2</v>
      </c>
      <c r="G258" s="30">
        <v>3</v>
      </c>
      <c r="H258" s="30">
        <v>4</v>
      </c>
      <c r="I258" s="30">
        <v>5</v>
      </c>
      <c r="J258" s="30">
        <v>6</v>
      </c>
      <c r="K258" s="30">
        <v>7</v>
      </c>
      <c r="L258" s="30">
        <v>8</v>
      </c>
      <c r="M258" s="30">
        <v>9</v>
      </c>
      <c r="N258" s="30">
        <v>10</v>
      </c>
      <c r="O258" s="30">
        <v>11</v>
      </c>
      <c r="P258" s="30">
        <v>12</v>
      </c>
      <c r="Q258" s="30">
        <v>13</v>
      </c>
      <c r="R258" s="30">
        <v>14</v>
      </c>
      <c r="S258" s="30">
        <v>15</v>
      </c>
      <c r="T258" s="30">
        <v>16</v>
      </c>
      <c r="U258" s="30">
        <v>17</v>
      </c>
      <c r="V258" s="30">
        <v>18</v>
      </c>
      <c r="W258" s="73" t="s">
        <v>267</v>
      </c>
      <c r="X258" s="74"/>
    </row>
    <row r="259" spans="1:24" ht="16.5" thickBot="1">
      <c r="A259" s="75"/>
      <c r="B259" s="76"/>
      <c r="C259" s="77"/>
      <c r="D259" s="78" t="s">
        <v>288</v>
      </c>
      <c r="E259" s="79">
        <v>0.75</v>
      </c>
      <c r="F259" s="79">
        <v>0.25</v>
      </c>
      <c r="G259" s="79">
        <v>3</v>
      </c>
      <c r="H259" s="79">
        <v>2</v>
      </c>
      <c r="I259" s="79">
        <v>0.75</v>
      </c>
      <c r="J259" s="79">
        <v>-3</v>
      </c>
      <c r="K259" s="79">
        <v>-4</v>
      </c>
      <c r="L259" s="79">
        <v>20</v>
      </c>
      <c r="M259" s="79">
        <v>10</v>
      </c>
      <c r="N259" s="79">
        <v>5</v>
      </c>
      <c r="O259" s="79">
        <v>3</v>
      </c>
      <c r="P259" s="79">
        <v>5</v>
      </c>
      <c r="Q259" s="79">
        <v>7</v>
      </c>
      <c r="R259" s="79">
        <v>3</v>
      </c>
      <c r="S259" s="79">
        <v>3</v>
      </c>
      <c r="T259" s="79">
        <v>3</v>
      </c>
      <c r="U259" s="79">
        <v>8.25</v>
      </c>
      <c r="V259" s="79">
        <v>16</v>
      </c>
      <c r="W259" s="80" t="s">
        <v>287</v>
      </c>
      <c r="X259" s="81" t="s">
        <v>267</v>
      </c>
    </row>
    <row r="260" spans="1:24" ht="19.5">
      <c r="A260" s="82">
        <v>1</v>
      </c>
      <c r="B260" s="96">
        <v>4</v>
      </c>
      <c r="C260" s="84" t="s">
        <v>290</v>
      </c>
      <c r="D260" s="106">
        <v>495.25</v>
      </c>
      <c r="E260" s="51">
        <v>8.25</v>
      </c>
      <c r="F260" s="51">
        <v>4.75</v>
      </c>
      <c r="G260" s="51">
        <v>3</v>
      </c>
      <c r="H260" s="51">
        <v>4</v>
      </c>
      <c r="I260" s="51">
        <v>0.75</v>
      </c>
      <c r="J260" s="51">
        <v>0</v>
      </c>
      <c r="K260" s="51">
        <v>0</v>
      </c>
      <c r="L260" s="51">
        <v>0</v>
      </c>
      <c r="M260" s="51">
        <v>0</v>
      </c>
      <c r="N260" s="51">
        <v>0</v>
      </c>
      <c r="O260" s="51">
        <v>0</v>
      </c>
      <c r="P260" s="51">
        <v>5</v>
      </c>
      <c r="Q260" s="51">
        <v>7</v>
      </c>
      <c r="R260" s="51">
        <v>0</v>
      </c>
      <c r="S260" s="51">
        <v>0</v>
      </c>
      <c r="T260" s="51">
        <v>3</v>
      </c>
      <c r="U260" s="51">
        <v>0</v>
      </c>
      <c r="V260" s="51">
        <v>0</v>
      </c>
      <c r="W260" s="51">
        <v>35.75</v>
      </c>
      <c r="X260" s="86">
        <v>18</v>
      </c>
    </row>
    <row r="261" spans="1:24" ht="19.5">
      <c r="A261" s="45">
        <v>2</v>
      </c>
      <c r="B261" s="102">
        <v>4</v>
      </c>
      <c r="C261" s="125" t="s">
        <v>12</v>
      </c>
      <c r="D261" s="106">
        <v>245.75</v>
      </c>
      <c r="E261" s="51">
        <v>0.75</v>
      </c>
      <c r="F261" s="51">
        <v>2</v>
      </c>
      <c r="G261" s="51">
        <v>0</v>
      </c>
      <c r="H261" s="51">
        <v>2</v>
      </c>
      <c r="I261" s="51">
        <v>0</v>
      </c>
      <c r="J261" s="51">
        <v>0</v>
      </c>
      <c r="K261" s="51">
        <v>0</v>
      </c>
      <c r="L261" s="51">
        <v>0</v>
      </c>
      <c r="M261" s="51">
        <v>0</v>
      </c>
      <c r="N261" s="51">
        <v>0</v>
      </c>
      <c r="O261" s="51">
        <v>3</v>
      </c>
      <c r="P261" s="51">
        <v>0</v>
      </c>
      <c r="Q261" s="51">
        <v>0</v>
      </c>
      <c r="R261" s="51">
        <v>3</v>
      </c>
      <c r="S261" s="51">
        <v>0</v>
      </c>
      <c r="T261" s="51">
        <v>0</v>
      </c>
      <c r="U261" s="51">
        <v>0</v>
      </c>
      <c r="V261" s="51">
        <v>0</v>
      </c>
      <c r="W261" s="51">
        <v>10.75</v>
      </c>
      <c r="X261" s="86">
        <v>18</v>
      </c>
    </row>
    <row r="262" spans="1:24" ht="19.5">
      <c r="A262" s="82">
        <v>3</v>
      </c>
      <c r="B262" s="96">
        <v>4</v>
      </c>
      <c r="C262" s="97" t="s">
        <v>8</v>
      </c>
      <c r="D262" s="106">
        <v>112</v>
      </c>
      <c r="E262" s="51">
        <v>0.75</v>
      </c>
      <c r="F262" s="51">
        <v>1.5</v>
      </c>
      <c r="G262" s="51">
        <v>0</v>
      </c>
      <c r="H262" s="51">
        <v>4</v>
      </c>
      <c r="I262" s="51">
        <v>0</v>
      </c>
      <c r="J262" s="51">
        <v>0</v>
      </c>
      <c r="K262" s="51">
        <v>0</v>
      </c>
      <c r="L262" s="51">
        <v>0</v>
      </c>
      <c r="M262" s="51">
        <v>0</v>
      </c>
      <c r="N262" s="51">
        <v>0</v>
      </c>
      <c r="O262" s="51">
        <v>0</v>
      </c>
      <c r="P262" s="51">
        <v>0</v>
      </c>
      <c r="Q262" s="51">
        <v>0</v>
      </c>
      <c r="R262" s="51">
        <v>0</v>
      </c>
      <c r="S262" s="51">
        <v>3</v>
      </c>
      <c r="T262" s="51">
        <v>0</v>
      </c>
      <c r="U262" s="51">
        <v>0</v>
      </c>
      <c r="V262" s="51">
        <v>0</v>
      </c>
      <c r="W262" s="51">
        <v>9.25</v>
      </c>
      <c r="X262" s="86">
        <v>18</v>
      </c>
    </row>
    <row r="263" spans="1:24" ht="19.5">
      <c r="A263" s="45">
        <v>4</v>
      </c>
      <c r="B263" s="102">
        <v>4</v>
      </c>
      <c r="C263" s="116" t="s">
        <v>10</v>
      </c>
      <c r="D263" s="106">
        <v>89.5</v>
      </c>
      <c r="E263" s="37">
        <v>0</v>
      </c>
      <c r="F263" s="37">
        <v>0.75</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51">
        <v>0.75</v>
      </c>
      <c r="X263" s="86">
        <v>18</v>
      </c>
    </row>
    <row r="264" spans="1:24" ht="19.5">
      <c r="A264" s="82">
        <v>5</v>
      </c>
      <c r="B264" s="96">
        <v>4</v>
      </c>
      <c r="C264" s="97" t="s">
        <v>53</v>
      </c>
      <c r="D264" s="106">
        <v>65.25</v>
      </c>
      <c r="E264" s="51">
        <v>3</v>
      </c>
      <c r="F264" s="51">
        <v>0.5</v>
      </c>
      <c r="G264" s="51">
        <v>0</v>
      </c>
      <c r="H264" s="51">
        <v>2</v>
      </c>
      <c r="I264" s="51">
        <v>0</v>
      </c>
      <c r="J264" s="51">
        <v>0</v>
      </c>
      <c r="K264" s="51">
        <v>0</v>
      </c>
      <c r="L264" s="51">
        <v>0</v>
      </c>
      <c r="M264" s="51">
        <v>0</v>
      </c>
      <c r="N264" s="51">
        <v>0</v>
      </c>
      <c r="O264" s="51">
        <v>0</v>
      </c>
      <c r="P264" s="51">
        <v>0</v>
      </c>
      <c r="Q264" s="51">
        <v>0</v>
      </c>
      <c r="R264" s="51">
        <v>0</v>
      </c>
      <c r="S264" s="51">
        <v>0</v>
      </c>
      <c r="T264" s="51">
        <v>0</v>
      </c>
      <c r="U264" s="51">
        <v>0</v>
      </c>
      <c r="V264" s="51">
        <v>0</v>
      </c>
      <c r="W264" s="51">
        <v>5.5</v>
      </c>
      <c r="X264" s="86">
        <v>18</v>
      </c>
    </row>
    <row r="265" spans="1:24" ht="19.5">
      <c r="A265" s="67">
        <v>6</v>
      </c>
      <c r="B265" s="102">
        <v>4</v>
      </c>
      <c r="C265" s="99" t="s">
        <v>52</v>
      </c>
      <c r="D265" s="106">
        <v>52</v>
      </c>
      <c r="E265" s="51">
        <v>3</v>
      </c>
      <c r="F265" s="51">
        <v>0.75</v>
      </c>
      <c r="G265" s="51">
        <v>0</v>
      </c>
      <c r="H265" s="51">
        <v>0</v>
      </c>
      <c r="I265" s="51">
        <v>0</v>
      </c>
      <c r="J265" s="51">
        <v>0</v>
      </c>
      <c r="K265" s="51">
        <v>0</v>
      </c>
      <c r="L265" s="51">
        <v>0</v>
      </c>
      <c r="M265" s="51">
        <v>0</v>
      </c>
      <c r="N265" s="51">
        <v>0</v>
      </c>
      <c r="O265" s="51">
        <v>0</v>
      </c>
      <c r="P265" s="51">
        <v>0</v>
      </c>
      <c r="Q265" s="51">
        <v>0</v>
      </c>
      <c r="R265" s="51">
        <v>0</v>
      </c>
      <c r="S265" s="51">
        <v>0</v>
      </c>
      <c r="T265" s="51">
        <v>0</v>
      </c>
      <c r="U265" s="51">
        <v>0</v>
      </c>
      <c r="V265" s="51">
        <v>0</v>
      </c>
      <c r="W265" s="51">
        <v>3.75</v>
      </c>
      <c r="X265" s="86">
        <v>18</v>
      </c>
    </row>
    <row r="266" spans="1:24" ht="19.5">
      <c r="A266" s="82">
        <v>7</v>
      </c>
      <c r="B266" s="96">
        <v>4</v>
      </c>
      <c r="C266" s="97" t="s">
        <v>289</v>
      </c>
      <c r="D266" s="106">
        <v>21.5</v>
      </c>
      <c r="E266" s="51">
        <v>0</v>
      </c>
      <c r="F266" s="51">
        <v>1.5</v>
      </c>
      <c r="G266" s="51">
        <v>0</v>
      </c>
      <c r="H266" s="51">
        <v>2</v>
      </c>
      <c r="I266" s="51">
        <v>0</v>
      </c>
      <c r="J266" s="51">
        <v>0</v>
      </c>
      <c r="K266" s="51">
        <v>0</v>
      </c>
      <c r="L266" s="51">
        <v>0</v>
      </c>
      <c r="M266" s="51">
        <v>0</v>
      </c>
      <c r="N266" s="51">
        <v>0</v>
      </c>
      <c r="O266" s="51">
        <v>0</v>
      </c>
      <c r="P266" s="51">
        <v>0</v>
      </c>
      <c r="Q266" s="51">
        <v>0</v>
      </c>
      <c r="R266" s="51">
        <v>0</v>
      </c>
      <c r="S266" s="51">
        <v>0</v>
      </c>
      <c r="T266" s="51">
        <v>0</v>
      </c>
      <c r="U266" s="51">
        <v>0</v>
      </c>
      <c r="V266" s="51">
        <v>0</v>
      </c>
      <c r="W266" s="51">
        <v>3.5</v>
      </c>
      <c r="X266" s="86">
        <v>18</v>
      </c>
    </row>
    <row r="267" spans="1:24" ht="19.5">
      <c r="A267" s="117">
        <v>8</v>
      </c>
      <c r="B267" s="102">
        <v>4</v>
      </c>
      <c r="C267" s="108" t="s">
        <v>324</v>
      </c>
      <c r="D267" s="118">
        <v>13.5</v>
      </c>
      <c r="E267" s="43">
        <v>0</v>
      </c>
      <c r="F267" s="43">
        <v>1</v>
      </c>
      <c r="G267" s="43">
        <v>0</v>
      </c>
      <c r="H267" s="43">
        <v>0</v>
      </c>
      <c r="I267" s="43">
        <v>0</v>
      </c>
      <c r="J267" s="43">
        <v>0</v>
      </c>
      <c r="K267" s="43">
        <v>0</v>
      </c>
      <c r="L267" s="43">
        <v>0</v>
      </c>
      <c r="M267" s="43">
        <v>0</v>
      </c>
      <c r="N267" s="43">
        <v>0</v>
      </c>
      <c r="O267" s="43">
        <v>0</v>
      </c>
      <c r="P267" s="43">
        <v>0</v>
      </c>
      <c r="Q267" s="43">
        <v>0</v>
      </c>
      <c r="R267" s="43">
        <v>0</v>
      </c>
      <c r="S267" s="43">
        <v>0</v>
      </c>
      <c r="T267" s="43">
        <v>0</v>
      </c>
      <c r="U267" s="43">
        <v>0</v>
      </c>
      <c r="V267" s="43">
        <v>0</v>
      </c>
      <c r="W267" s="89">
        <v>1</v>
      </c>
      <c r="X267" s="86">
        <v>18</v>
      </c>
    </row>
    <row r="268" spans="1:24" ht="19.5">
      <c r="A268" s="121">
        <v>9</v>
      </c>
      <c r="B268" s="96">
        <v>4</v>
      </c>
      <c r="C268" s="122" t="s">
        <v>114</v>
      </c>
      <c r="D268" s="118">
        <v>2.25</v>
      </c>
      <c r="E268" s="89">
        <v>0</v>
      </c>
      <c r="F268" s="89">
        <v>0</v>
      </c>
      <c r="G268" s="89">
        <v>0</v>
      </c>
      <c r="H268" s="89">
        <v>0</v>
      </c>
      <c r="I268" s="89">
        <v>0</v>
      </c>
      <c r="J268" s="89">
        <v>0</v>
      </c>
      <c r="K268" s="89">
        <v>0</v>
      </c>
      <c r="L268" s="89">
        <v>0</v>
      </c>
      <c r="M268" s="89">
        <v>0</v>
      </c>
      <c r="N268" s="89">
        <v>0</v>
      </c>
      <c r="O268" s="89">
        <v>0</v>
      </c>
      <c r="P268" s="89">
        <v>0</v>
      </c>
      <c r="Q268" s="89">
        <v>0</v>
      </c>
      <c r="R268" s="89">
        <v>0</v>
      </c>
      <c r="S268" s="89">
        <v>0</v>
      </c>
      <c r="T268" s="89">
        <v>0</v>
      </c>
      <c r="U268" s="89">
        <v>0</v>
      </c>
      <c r="V268" s="89">
        <v>0</v>
      </c>
      <c r="W268" s="89">
        <v>0</v>
      </c>
      <c r="X268" s="86">
        <v>18</v>
      </c>
    </row>
    <row r="269" spans="1:24" ht="19.5">
      <c r="A269" s="50">
        <v>10</v>
      </c>
      <c r="B269" s="102">
        <v>4</v>
      </c>
      <c r="C269" s="126" t="s">
        <v>471</v>
      </c>
      <c r="D269" s="118">
        <v>0.75</v>
      </c>
      <c r="E269" s="51">
        <v>0</v>
      </c>
      <c r="F269" s="51">
        <v>0</v>
      </c>
      <c r="G269" s="51">
        <v>0</v>
      </c>
      <c r="H269" s="51">
        <v>0</v>
      </c>
      <c r="I269" s="51">
        <v>0</v>
      </c>
      <c r="J269" s="51">
        <v>0</v>
      </c>
      <c r="K269" s="51">
        <v>0</v>
      </c>
      <c r="L269" s="89">
        <v>0</v>
      </c>
      <c r="M269" s="89">
        <v>0</v>
      </c>
      <c r="N269" s="89">
        <v>0</v>
      </c>
      <c r="O269" s="89">
        <v>0</v>
      </c>
      <c r="P269" s="89">
        <v>0</v>
      </c>
      <c r="Q269" s="89">
        <v>0</v>
      </c>
      <c r="R269" s="89">
        <v>0</v>
      </c>
      <c r="S269" s="89">
        <v>0</v>
      </c>
      <c r="T269" s="89">
        <v>0</v>
      </c>
      <c r="U269" s="89">
        <v>0</v>
      </c>
      <c r="V269" s="89">
        <v>0</v>
      </c>
      <c r="W269" s="89">
        <v>0</v>
      </c>
      <c r="X269" s="86">
        <v>18</v>
      </c>
    </row>
    <row r="270" spans="1:24" ht="20.25" thickBot="1">
      <c r="A270" s="110">
        <v>11</v>
      </c>
      <c r="B270" s="111">
        <v>4</v>
      </c>
      <c r="C270" s="112" t="s">
        <v>622</v>
      </c>
      <c r="D270" s="113">
        <v>0</v>
      </c>
      <c r="E270" s="52">
        <v>0</v>
      </c>
      <c r="F270" s="52">
        <v>0</v>
      </c>
      <c r="G270" s="52">
        <v>0</v>
      </c>
      <c r="H270" s="52">
        <v>0</v>
      </c>
      <c r="I270" s="52">
        <v>0</v>
      </c>
      <c r="J270" s="52">
        <v>0</v>
      </c>
      <c r="K270" s="52">
        <v>0</v>
      </c>
      <c r="L270" s="41">
        <v>0</v>
      </c>
      <c r="M270" s="41">
        <v>0</v>
      </c>
      <c r="N270" s="41">
        <v>0</v>
      </c>
      <c r="O270" s="41">
        <v>0</v>
      </c>
      <c r="P270" s="41">
        <v>0</v>
      </c>
      <c r="Q270" s="41">
        <v>0</v>
      </c>
      <c r="R270" s="41">
        <v>0</v>
      </c>
      <c r="S270" s="41">
        <v>0</v>
      </c>
      <c r="T270" s="41">
        <v>0</v>
      </c>
      <c r="U270" s="41">
        <v>0</v>
      </c>
      <c r="V270" s="41">
        <v>0</v>
      </c>
      <c r="W270" s="52">
        <v>0</v>
      </c>
      <c r="X270" s="94">
        <v>18</v>
      </c>
    </row>
    <row r="271" ht="15.75"/>
    <row r="272" spans="1:24" ht="15.75">
      <c r="A272" s="67"/>
      <c r="B272" s="68"/>
      <c r="C272" s="71"/>
      <c r="D272" s="633" t="s">
        <v>817</v>
      </c>
      <c r="E272" s="634"/>
      <c r="F272" s="634"/>
      <c r="G272" s="634"/>
      <c r="H272" s="634"/>
      <c r="I272" s="634"/>
      <c r="J272" s="634"/>
      <c r="K272" s="634"/>
      <c r="L272" s="634"/>
      <c r="M272" s="634"/>
      <c r="N272" s="634"/>
      <c r="O272" s="634"/>
      <c r="P272" s="634"/>
      <c r="Q272" s="634"/>
      <c r="R272" s="634"/>
      <c r="S272" s="634"/>
      <c r="T272" s="634"/>
      <c r="U272" s="634"/>
      <c r="V272" s="634"/>
      <c r="W272" s="634"/>
      <c r="X272" s="634"/>
    </row>
    <row r="273" spans="1:24" ht="15.75">
      <c r="A273" s="67"/>
      <c r="B273" s="68"/>
      <c r="C273" s="71"/>
      <c r="D273" s="634"/>
      <c r="E273" s="634"/>
      <c r="F273" s="634"/>
      <c r="G273" s="634"/>
      <c r="H273" s="634"/>
      <c r="I273" s="634"/>
      <c r="J273" s="634"/>
      <c r="K273" s="634"/>
      <c r="L273" s="634"/>
      <c r="M273" s="634"/>
      <c r="N273" s="634"/>
      <c r="O273" s="634"/>
      <c r="P273" s="634"/>
      <c r="Q273" s="634"/>
      <c r="R273" s="634"/>
      <c r="S273" s="634"/>
      <c r="T273" s="634"/>
      <c r="U273" s="634"/>
      <c r="V273" s="634"/>
      <c r="W273" s="634"/>
      <c r="X273" s="634"/>
    </row>
    <row r="274" spans="1:24" ht="15.75">
      <c r="A274" s="67"/>
      <c r="B274" s="68"/>
      <c r="C274" s="71"/>
      <c r="D274" s="72" t="s">
        <v>286</v>
      </c>
      <c r="E274" s="30">
        <v>1</v>
      </c>
      <c r="F274" s="30">
        <v>2</v>
      </c>
      <c r="G274" s="30">
        <v>3</v>
      </c>
      <c r="H274" s="30">
        <v>4</v>
      </c>
      <c r="I274" s="30">
        <v>5</v>
      </c>
      <c r="J274" s="30">
        <v>6</v>
      </c>
      <c r="K274" s="30">
        <v>7</v>
      </c>
      <c r="L274" s="30">
        <v>8</v>
      </c>
      <c r="M274" s="30">
        <v>9</v>
      </c>
      <c r="N274" s="30">
        <v>10</v>
      </c>
      <c r="O274" s="30">
        <v>11</v>
      </c>
      <c r="P274" s="30">
        <v>12</v>
      </c>
      <c r="Q274" s="30">
        <v>13</v>
      </c>
      <c r="R274" s="30">
        <v>14</v>
      </c>
      <c r="S274" s="30">
        <v>15</v>
      </c>
      <c r="T274" s="30">
        <v>16</v>
      </c>
      <c r="U274" s="30">
        <v>17</v>
      </c>
      <c r="V274" s="30">
        <v>18</v>
      </c>
      <c r="W274" s="73" t="s">
        <v>267</v>
      </c>
      <c r="X274" s="74"/>
    </row>
    <row r="275" spans="1:24" ht="16.5" thickBot="1">
      <c r="A275" s="75"/>
      <c r="B275" s="76"/>
      <c r="C275" s="77"/>
      <c r="D275" s="78" t="s">
        <v>288</v>
      </c>
      <c r="E275" s="79">
        <v>0.75</v>
      </c>
      <c r="F275" s="79">
        <v>0.25</v>
      </c>
      <c r="G275" s="79">
        <v>3</v>
      </c>
      <c r="H275" s="79">
        <v>2</v>
      </c>
      <c r="I275" s="79">
        <v>0.75</v>
      </c>
      <c r="J275" s="79">
        <v>-3</v>
      </c>
      <c r="K275" s="79">
        <v>-4</v>
      </c>
      <c r="L275" s="79">
        <v>20</v>
      </c>
      <c r="M275" s="79">
        <v>10</v>
      </c>
      <c r="N275" s="79">
        <v>5</v>
      </c>
      <c r="O275" s="79">
        <v>3</v>
      </c>
      <c r="P275" s="79">
        <v>5</v>
      </c>
      <c r="Q275" s="79">
        <v>7</v>
      </c>
      <c r="R275" s="79">
        <v>3</v>
      </c>
      <c r="S275" s="79">
        <v>3</v>
      </c>
      <c r="T275" s="79">
        <v>3</v>
      </c>
      <c r="U275" s="79">
        <v>8.25</v>
      </c>
      <c r="V275" s="79">
        <v>16</v>
      </c>
      <c r="W275" s="80" t="s">
        <v>287</v>
      </c>
      <c r="X275" s="81" t="s">
        <v>267</v>
      </c>
    </row>
    <row r="276" spans="1:24" ht="19.5">
      <c r="A276" s="82">
        <v>1</v>
      </c>
      <c r="B276" s="96">
        <v>4</v>
      </c>
      <c r="C276" s="84" t="s">
        <v>290</v>
      </c>
      <c r="D276" s="106">
        <v>521</v>
      </c>
      <c r="E276" s="51">
        <v>3.75</v>
      </c>
      <c r="F276" s="51">
        <v>4.25</v>
      </c>
      <c r="G276" s="51">
        <v>3</v>
      </c>
      <c r="H276" s="51">
        <v>2</v>
      </c>
      <c r="I276" s="51">
        <v>0.75</v>
      </c>
      <c r="J276" s="51">
        <v>0</v>
      </c>
      <c r="K276" s="51">
        <v>0</v>
      </c>
      <c r="L276" s="51">
        <v>0</v>
      </c>
      <c r="M276" s="51">
        <v>0</v>
      </c>
      <c r="N276" s="51">
        <v>0</v>
      </c>
      <c r="O276" s="51">
        <v>0</v>
      </c>
      <c r="P276" s="51">
        <v>5</v>
      </c>
      <c r="Q276" s="51">
        <v>7</v>
      </c>
      <c r="R276" s="51">
        <v>0</v>
      </c>
      <c r="S276" s="51">
        <v>0</v>
      </c>
      <c r="T276" s="51">
        <v>0</v>
      </c>
      <c r="U276" s="51">
        <v>0</v>
      </c>
      <c r="V276" s="51">
        <v>0</v>
      </c>
      <c r="W276" s="51">
        <v>25.75</v>
      </c>
      <c r="X276" s="86">
        <v>19</v>
      </c>
    </row>
    <row r="277" spans="1:24" ht="19.5">
      <c r="A277" s="45">
        <v>2</v>
      </c>
      <c r="B277" s="102">
        <v>4</v>
      </c>
      <c r="C277" s="125" t="s">
        <v>12</v>
      </c>
      <c r="D277" s="106">
        <v>265</v>
      </c>
      <c r="E277" s="51">
        <v>0.75</v>
      </c>
      <c r="F277" s="51">
        <v>2.5</v>
      </c>
      <c r="G277" s="51">
        <v>0</v>
      </c>
      <c r="H277" s="51">
        <v>2</v>
      </c>
      <c r="I277" s="51">
        <v>0</v>
      </c>
      <c r="J277" s="51">
        <v>0</v>
      </c>
      <c r="K277" s="51">
        <v>0</v>
      </c>
      <c r="L277" s="51">
        <v>0</v>
      </c>
      <c r="M277" s="51">
        <v>0</v>
      </c>
      <c r="N277" s="51">
        <v>5</v>
      </c>
      <c r="O277" s="51">
        <v>3</v>
      </c>
      <c r="P277" s="51">
        <v>0</v>
      </c>
      <c r="Q277" s="51">
        <v>0</v>
      </c>
      <c r="R277" s="51">
        <v>3</v>
      </c>
      <c r="S277" s="51">
        <v>3</v>
      </c>
      <c r="T277" s="51">
        <v>0</v>
      </c>
      <c r="U277" s="51">
        <v>0</v>
      </c>
      <c r="V277" s="51">
        <v>0</v>
      </c>
      <c r="W277" s="51">
        <v>19.25</v>
      </c>
      <c r="X277" s="86">
        <v>19</v>
      </c>
    </row>
    <row r="278" spans="1:24" ht="19.5">
      <c r="A278" s="82">
        <v>3</v>
      </c>
      <c r="B278" s="96">
        <v>4</v>
      </c>
      <c r="C278" s="97" t="s">
        <v>8</v>
      </c>
      <c r="D278" s="106">
        <v>120.75</v>
      </c>
      <c r="E278" s="51">
        <v>0.75</v>
      </c>
      <c r="F278" s="51">
        <v>2</v>
      </c>
      <c r="G278" s="51">
        <v>3</v>
      </c>
      <c r="H278" s="51">
        <v>0</v>
      </c>
      <c r="I278" s="51">
        <v>0</v>
      </c>
      <c r="J278" s="51">
        <v>0</v>
      </c>
      <c r="K278" s="51">
        <v>0</v>
      </c>
      <c r="L278" s="51">
        <v>0</v>
      </c>
      <c r="M278" s="51">
        <v>0</v>
      </c>
      <c r="N278" s="51">
        <v>0</v>
      </c>
      <c r="O278" s="51">
        <v>0</v>
      </c>
      <c r="P278" s="51">
        <v>0</v>
      </c>
      <c r="Q278" s="51">
        <v>0</v>
      </c>
      <c r="R278" s="51">
        <v>0</v>
      </c>
      <c r="S278" s="51">
        <v>0</v>
      </c>
      <c r="T278" s="51">
        <v>3</v>
      </c>
      <c r="U278" s="51">
        <v>0</v>
      </c>
      <c r="V278" s="51">
        <v>0</v>
      </c>
      <c r="W278" s="51">
        <v>8.75</v>
      </c>
      <c r="X278" s="86">
        <v>19</v>
      </c>
    </row>
    <row r="279" spans="1:24" ht="19.5">
      <c r="A279" s="45">
        <v>4</v>
      </c>
      <c r="B279" s="102">
        <v>4</v>
      </c>
      <c r="C279" s="116" t="s">
        <v>10</v>
      </c>
      <c r="D279" s="106">
        <v>90.5</v>
      </c>
      <c r="E279" s="37">
        <v>0</v>
      </c>
      <c r="F279" s="37">
        <v>1</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51">
        <v>1</v>
      </c>
      <c r="X279" s="86">
        <v>19</v>
      </c>
    </row>
    <row r="280" spans="1:24" ht="19.5">
      <c r="A280" s="82">
        <v>5</v>
      </c>
      <c r="B280" s="96">
        <v>4</v>
      </c>
      <c r="C280" s="97" t="s">
        <v>53</v>
      </c>
      <c r="D280" s="106">
        <v>68.25</v>
      </c>
      <c r="E280" s="51">
        <v>2.25</v>
      </c>
      <c r="F280" s="51">
        <v>0.75</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3</v>
      </c>
      <c r="X280" s="86">
        <v>19</v>
      </c>
    </row>
    <row r="281" spans="1:24" ht="19.5">
      <c r="A281" s="67">
        <v>6</v>
      </c>
      <c r="B281" s="102">
        <v>4</v>
      </c>
      <c r="C281" s="99" t="s">
        <v>52</v>
      </c>
      <c r="D281" s="106">
        <v>54</v>
      </c>
      <c r="E281" s="51">
        <v>1.5</v>
      </c>
      <c r="F281" s="51">
        <v>0.5</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2</v>
      </c>
      <c r="X281" s="86">
        <v>19</v>
      </c>
    </row>
    <row r="282" spans="1:24" ht="19.5">
      <c r="A282" s="82">
        <v>7</v>
      </c>
      <c r="B282" s="96">
        <v>4</v>
      </c>
      <c r="C282" s="97" t="s">
        <v>289</v>
      </c>
      <c r="D282" s="106">
        <v>22.5</v>
      </c>
      <c r="E282" s="51">
        <v>0</v>
      </c>
      <c r="F282" s="51">
        <v>1</v>
      </c>
      <c r="G282" s="51">
        <v>3</v>
      </c>
      <c r="H282" s="51">
        <v>0</v>
      </c>
      <c r="I282" s="51">
        <v>0</v>
      </c>
      <c r="J282" s="51">
        <v>-3</v>
      </c>
      <c r="K282" s="51">
        <v>0</v>
      </c>
      <c r="L282" s="51">
        <v>0</v>
      </c>
      <c r="M282" s="51">
        <v>0</v>
      </c>
      <c r="N282" s="51">
        <v>0</v>
      </c>
      <c r="O282" s="51">
        <v>0</v>
      </c>
      <c r="P282" s="51">
        <v>0</v>
      </c>
      <c r="Q282" s="51">
        <v>0</v>
      </c>
      <c r="R282" s="51">
        <v>0</v>
      </c>
      <c r="S282" s="51">
        <v>0</v>
      </c>
      <c r="T282" s="51">
        <v>0</v>
      </c>
      <c r="U282" s="51">
        <v>0</v>
      </c>
      <c r="V282" s="51">
        <v>0</v>
      </c>
      <c r="W282" s="51">
        <v>1</v>
      </c>
      <c r="X282" s="86">
        <v>19</v>
      </c>
    </row>
    <row r="283" spans="1:24" ht="19.5">
      <c r="A283" s="117">
        <v>8</v>
      </c>
      <c r="B283" s="102">
        <v>4</v>
      </c>
      <c r="C283" s="108" t="s">
        <v>324</v>
      </c>
      <c r="D283" s="118">
        <v>14.5</v>
      </c>
      <c r="E283" s="51">
        <v>0</v>
      </c>
      <c r="F283" s="51">
        <v>1</v>
      </c>
      <c r="G283" s="51">
        <v>0</v>
      </c>
      <c r="H283" s="51">
        <v>0</v>
      </c>
      <c r="I283" s="51">
        <v>0</v>
      </c>
      <c r="J283" s="51">
        <v>0</v>
      </c>
      <c r="K283" s="51">
        <v>0</v>
      </c>
      <c r="L283" s="51">
        <v>0</v>
      </c>
      <c r="M283" s="51">
        <v>0</v>
      </c>
      <c r="N283" s="51">
        <v>0</v>
      </c>
      <c r="O283" s="51">
        <v>0</v>
      </c>
      <c r="P283" s="51">
        <v>0</v>
      </c>
      <c r="Q283" s="51">
        <v>0</v>
      </c>
      <c r="R283" s="51">
        <v>0</v>
      </c>
      <c r="S283" s="51">
        <v>0</v>
      </c>
      <c r="T283" s="51">
        <v>0</v>
      </c>
      <c r="U283" s="51">
        <v>0</v>
      </c>
      <c r="V283" s="51">
        <v>0</v>
      </c>
      <c r="W283" s="51">
        <v>1</v>
      </c>
      <c r="X283" s="86">
        <v>19</v>
      </c>
    </row>
    <row r="284" spans="1:24" ht="19.5">
      <c r="A284" s="121">
        <v>9</v>
      </c>
      <c r="B284" s="96">
        <v>4</v>
      </c>
      <c r="C284" s="122" t="s">
        <v>114</v>
      </c>
      <c r="D284" s="118">
        <v>2.25</v>
      </c>
      <c r="E284" s="89">
        <v>0</v>
      </c>
      <c r="F284" s="89">
        <v>0</v>
      </c>
      <c r="G284" s="89">
        <v>0</v>
      </c>
      <c r="H284" s="89">
        <v>0</v>
      </c>
      <c r="I284" s="89">
        <v>0</v>
      </c>
      <c r="J284" s="89">
        <v>0</v>
      </c>
      <c r="K284" s="89">
        <v>0</v>
      </c>
      <c r="L284" s="89">
        <v>0</v>
      </c>
      <c r="M284" s="89">
        <v>0</v>
      </c>
      <c r="N284" s="89">
        <v>0</v>
      </c>
      <c r="O284" s="89">
        <v>0</v>
      </c>
      <c r="P284" s="89">
        <v>0</v>
      </c>
      <c r="Q284" s="89">
        <v>0</v>
      </c>
      <c r="R284" s="89">
        <v>0</v>
      </c>
      <c r="S284" s="89">
        <v>0</v>
      </c>
      <c r="T284" s="89">
        <v>0</v>
      </c>
      <c r="U284" s="89">
        <v>0</v>
      </c>
      <c r="V284" s="89">
        <v>0</v>
      </c>
      <c r="W284" s="89">
        <v>0</v>
      </c>
      <c r="X284" s="86">
        <v>19</v>
      </c>
    </row>
    <row r="285" spans="1:24" ht="19.5">
      <c r="A285" s="50">
        <v>10</v>
      </c>
      <c r="B285" s="102"/>
      <c r="C285" s="126" t="s">
        <v>774</v>
      </c>
      <c r="D285" s="118">
        <v>2</v>
      </c>
      <c r="E285" s="51">
        <v>0</v>
      </c>
      <c r="F285" s="51">
        <v>0</v>
      </c>
      <c r="G285" s="51">
        <v>0</v>
      </c>
      <c r="H285" s="51">
        <v>2</v>
      </c>
      <c r="I285" s="51">
        <v>0</v>
      </c>
      <c r="J285" s="51">
        <v>0</v>
      </c>
      <c r="K285" s="51">
        <v>0</v>
      </c>
      <c r="L285" s="89">
        <v>0</v>
      </c>
      <c r="M285" s="89">
        <v>0</v>
      </c>
      <c r="N285" s="89">
        <v>0</v>
      </c>
      <c r="O285" s="89">
        <v>0</v>
      </c>
      <c r="P285" s="89">
        <v>0</v>
      </c>
      <c r="Q285" s="89">
        <v>0</v>
      </c>
      <c r="R285" s="89">
        <v>0</v>
      </c>
      <c r="S285" s="89">
        <v>0</v>
      </c>
      <c r="T285" s="89">
        <v>0</v>
      </c>
      <c r="U285" s="89">
        <v>0</v>
      </c>
      <c r="V285" s="89">
        <v>0</v>
      </c>
      <c r="W285" s="89">
        <v>2</v>
      </c>
      <c r="X285" s="86">
        <v>19</v>
      </c>
    </row>
    <row r="286" spans="1:24" ht="19.5">
      <c r="A286" s="121">
        <v>11</v>
      </c>
      <c r="B286" s="127">
        <v>6</v>
      </c>
      <c r="C286" s="122" t="s">
        <v>471</v>
      </c>
      <c r="D286" s="118">
        <v>0.75</v>
      </c>
      <c r="E286" s="89">
        <v>0</v>
      </c>
      <c r="F286" s="89">
        <v>0</v>
      </c>
      <c r="G286" s="89">
        <v>0</v>
      </c>
      <c r="H286" s="89">
        <v>0</v>
      </c>
      <c r="I286" s="89">
        <v>0</v>
      </c>
      <c r="J286" s="89">
        <v>0</v>
      </c>
      <c r="K286" s="89">
        <v>0</v>
      </c>
      <c r="L286" s="89">
        <v>0</v>
      </c>
      <c r="M286" s="89">
        <v>0</v>
      </c>
      <c r="N286" s="89">
        <v>0</v>
      </c>
      <c r="O286" s="89">
        <v>0</v>
      </c>
      <c r="P286" s="89">
        <v>0</v>
      </c>
      <c r="Q286" s="89">
        <v>0</v>
      </c>
      <c r="R286" s="89">
        <v>0</v>
      </c>
      <c r="S286" s="89">
        <v>0</v>
      </c>
      <c r="T286" s="89">
        <v>0</v>
      </c>
      <c r="U286" s="89">
        <v>0</v>
      </c>
      <c r="V286" s="89">
        <v>0</v>
      </c>
      <c r="W286" s="89">
        <v>0</v>
      </c>
      <c r="X286" s="86">
        <v>19</v>
      </c>
    </row>
    <row r="287" spans="1:24" ht="20.25" thickBot="1">
      <c r="A287" s="128">
        <v>12</v>
      </c>
      <c r="B287" s="129">
        <v>6</v>
      </c>
      <c r="C287" s="130" t="s">
        <v>622</v>
      </c>
      <c r="D287" s="113">
        <v>0</v>
      </c>
      <c r="E287" s="52">
        <v>0</v>
      </c>
      <c r="F287" s="52">
        <v>0</v>
      </c>
      <c r="G287" s="52">
        <v>0</v>
      </c>
      <c r="H287" s="52">
        <v>0</v>
      </c>
      <c r="I287" s="52">
        <v>0</v>
      </c>
      <c r="J287" s="52">
        <v>0</v>
      </c>
      <c r="K287" s="52">
        <v>0</v>
      </c>
      <c r="L287" s="41">
        <v>0</v>
      </c>
      <c r="M287" s="41">
        <v>0</v>
      </c>
      <c r="N287" s="41">
        <v>0</v>
      </c>
      <c r="O287" s="41">
        <v>0</v>
      </c>
      <c r="P287" s="41">
        <v>0</v>
      </c>
      <c r="Q287" s="41">
        <v>0</v>
      </c>
      <c r="R287" s="41">
        <v>0</v>
      </c>
      <c r="S287" s="41">
        <v>0</v>
      </c>
      <c r="T287" s="41">
        <v>0</v>
      </c>
      <c r="U287" s="41">
        <v>0</v>
      </c>
      <c r="V287" s="41">
        <v>0</v>
      </c>
      <c r="W287" s="52">
        <v>0</v>
      </c>
      <c r="X287" s="94">
        <v>19</v>
      </c>
    </row>
    <row r="288" ht="15.75"/>
    <row r="289" spans="1:24" ht="15.75">
      <c r="A289" s="67"/>
      <c r="B289" s="68"/>
      <c r="C289" s="71"/>
      <c r="D289" s="633" t="s">
        <v>851</v>
      </c>
      <c r="E289" s="634"/>
      <c r="F289" s="634"/>
      <c r="G289" s="634"/>
      <c r="H289" s="634"/>
      <c r="I289" s="634"/>
      <c r="J289" s="634"/>
      <c r="K289" s="634"/>
      <c r="L289" s="634"/>
      <c r="M289" s="634"/>
      <c r="N289" s="634"/>
      <c r="O289" s="634"/>
      <c r="P289" s="634"/>
      <c r="Q289" s="634"/>
      <c r="R289" s="634"/>
      <c r="S289" s="634"/>
      <c r="T289" s="634"/>
      <c r="U289" s="634"/>
      <c r="V289" s="634"/>
      <c r="W289" s="634"/>
      <c r="X289" s="634"/>
    </row>
    <row r="290" spans="1:24" ht="15.75">
      <c r="A290" s="67"/>
      <c r="B290" s="68"/>
      <c r="C290" s="71"/>
      <c r="D290" s="634"/>
      <c r="E290" s="634"/>
      <c r="F290" s="634"/>
      <c r="G290" s="634"/>
      <c r="H290" s="634"/>
      <c r="I290" s="634"/>
      <c r="J290" s="634"/>
      <c r="K290" s="634"/>
      <c r="L290" s="634"/>
      <c r="M290" s="634"/>
      <c r="N290" s="634"/>
      <c r="O290" s="634"/>
      <c r="P290" s="634"/>
      <c r="Q290" s="634"/>
      <c r="R290" s="634"/>
      <c r="S290" s="634"/>
      <c r="T290" s="634"/>
      <c r="U290" s="634"/>
      <c r="V290" s="634"/>
      <c r="W290" s="634"/>
      <c r="X290" s="634"/>
    </row>
    <row r="291" spans="1:24" ht="15.75">
      <c r="A291" s="67"/>
      <c r="B291" s="68"/>
      <c r="C291" s="71"/>
      <c r="D291" s="72" t="s">
        <v>286</v>
      </c>
      <c r="E291" s="30">
        <v>1</v>
      </c>
      <c r="F291" s="30">
        <v>2</v>
      </c>
      <c r="G291" s="30">
        <v>3</v>
      </c>
      <c r="H291" s="30">
        <v>4</v>
      </c>
      <c r="I291" s="30">
        <v>5</v>
      </c>
      <c r="J291" s="30">
        <v>6</v>
      </c>
      <c r="K291" s="30">
        <v>7</v>
      </c>
      <c r="L291" s="30">
        <v>8</v>
      </c>
      <c r="M291" s="30">
        <v>9</v>
      </c>
      <c r="N291" s="30">
        <v>10</v>
      </c>
      <c r="O291" s="30">
        <v>11</v>
      </c>
      <c r="P291" s="30">
        <v>12</v>
      </c>
      <c r="Q291" s="30">
        <v>13</v>
      </c>
      <c r="R291" s="30">
        <v>14</v>
      </c>
      <c r="S291" s="30">
        <v>15</v>
      </c>
      <c r="T291" s="30">
        <v>16</v>
      </c>
      <c r="U291" s="30">
        <v>17</v>
      </c>
      <c r="V291" s="30">
        <v>18</v>
      </c>
      <c r="W291" s="73" t="s">
        <v>267</v>
      </c>
      <c r="X291" s="74"/>
    </row>
    <row r="292" spans="1:24" ht="16.5" thickBot="1">
      <c r="A292" s="75"/>
      <c r="B292" s="76"/>
      <c r="C292" s="77"/>
      <c r="D292" s="78" t="s">
        <v>288</v>
      </c>
      <c r="E292" s="79">
        <v>0.75</v>
      </c>
      <c r="F292" s="79">
        <v>0.25</v>
      </c>
      <c r="G292" s="79">
        <v>3</v>
      </c>
      <c r="H292" s="79">
        <v>2</v>
      </c>
      <c r="I292" s="79">
        <v>0.75</v>
      </c>
      <c r="J292" s="79">
        <v>-3</v>
      </c>
      <c r="K292" s="79">
        <v>-4</v>
      </c>
      <c r="L292" s="79">
        <v>20</v>
      </c>
      <c r="M292" s="79">
        <v>10</v>
      </c>
      <c r="N292" s="79">
        <v>5</v>
      </c>
      <c r="O292" s="79">
        <v>3</v>
      </c>
      <c r="P292" s="79">
        <v>5</v>
      </c>
      <c r="Q292" s="79">
        <v>7</v>
      </c>
      <c r="R292" s="79">
        <v>3</v>
      </c>
      <c r="S292" s="79">
        <v>3</v>
      </c>
      <c r="T292" s="79">
        <v>3</v>
      </c>
      <c r="U292" s="79">
        <v>8.25</v>
      </c>
      <c r="V292" s="79">
        <v>16</v>
      </c>
      <c r="W292" s="80" t="s">
        <v>287</v>
      </c>
      <c r="X292" s="81" t="s">
        <v>267</v>
      </c>
    </row>
    <row r="293" spans="1:24" ht="19.5">
      <c r="A293" s="82">
        <v>1</v>
      </c>
      <c r="B293" s="96">
        <v>4</v>
      </c>
      <c r="C293" s="84" t="s">
        <v>290</v>
      </c>
      <c r="D293" s="106">
        <v>546.75</v>
      </c>
      <c r="E293" s="51">
        <v>5.25</v>
      </c>
      <c r="F293" s="51">
        <v>4.75</v>
      </c>
      <c r="G293" s="51">
        <v>3</v>
      </c>
      <c r="H293" s="51">
        <v>0</v>
      </c>
      <c r="I293" s="51">
        <v>0.75</v>
      </c>
      <c r="J293" s="51">
        <v>0</v>
      </c>
      <c r="K293" s="51">
        <v>0</v>
      </c>
      <c r="L293" s="51">
        <v>0</v>
      </c>
      <c r="M293" s="51">
        <v>0</v>
      </c>
      <c r="N293" s="51">
        <v>0</v>
      </c>
      <c r="O293" s="51">
        <v>0</v>
      </c>
      <c r="P293" s="51">
        <v>5</v>
      </c>
      <c r="Q293" s="51">
        <v>7</v>
      </c>
      <c r="R293" s="51">
        <v>0</v>
      </c>
      <c r="S293" s="51">
        <v>0</v>
      </c>
      <c r="T293" s="51">
        <v>0</v>
      </c>
      <c r="U293" s="51">
        <v>0</v>
      </c>
      <c r="V293" s="51">
        <v>0</v>
      </c>
      <c r="W293" s="51">
        <v>25.75</v>
      </c>
      <c r="X293" s="86">
        <v>20</v>
      </c>
    </row>
    <row r="294" spans="1:24" ht="19.5">
      <c r="A294" s="45">
        <v>2</v>
      </c>
      <c r="B294" s="102">
        <v>4</v>
      </c>
      <c r="C294" s="125" t="s">
        <v>12</v>
      </c>
      <c r="D294" s="106">
        <v>284.25</v>
      </c>
      <c r="E294" s="51">
        <v>0.75</v>
      </c>
      <c r="F294" s="51">
        <v>2.5</v>
      </c>
      <c r="G294" s="51">
        <v>0</v>
      </c>
      <c r="H294" s="51">
        <v>2</v>
      </c>
      <c r="I294" s="51">
        <v>0</v>
      </c>
      <c r="J294" s="51">
        <v>0</v>
      </c>
      <c r="K294" s="51">
        <v>0</v>
      </c>
      <c r="L294" s="51">
        <v>0</v>
      </c>
      <c r="M294" s="51">
        <v>0</v>
      </c>
      <c r="N294" s="51">
        <v>5</v>
      </c>
      <c r="O294" s="51">
        <v>3</v>
      </c>
      <c r="P294" s="51">
        <v>0</v>
      </c>
      <c r="Q294" s="51">
        <v>0</v>
      </c>
      <c r="R294" s="51">
        <v>3</v>
      </c>
      <c r="S294" s="51">
        <v>3</v>
      </c>
      <c r="T294" s="51">
        <v>0</v>
      </c>
      <c r="U294" s="51">
        <v>0</v>
      </c>
      <c r="V294" s="51">
        <v>0</v>
      </c>
      <c r="W294" s="51">
        <v>19.25</v>
      </c>
      <c r="X294" s="86">
        <v>20</v>
      </c>
    </row>
    <row r="295" spans="1:24" ht="19.5">
      <c r="A295" s="82">
        <v>3</v>
      </c>
      <c r="B295" s="96">
        <v>4</v>
      </c>
      <c r="C295" s="97" t="s">
        <v>8</v>
      </c>
      <c r="D295" s="106">
        <v>125.25</v>
      </c>
      <c r="E295" s="51">
        <v>0.75</v>
      </c>
      <c r="F295" s="51">
        <v>1.75</v>
      </c>
      <c r="G295" s="51">
        <v>0</v>
      </c>
      <c r="H295" s="51">
        <v>2</v>
      </c>
      <c r="I295" s="51">
        <v>0</v>
      </c>
      <c r="J295" s="51">
        <v>0</v>
      </c>
      <c r="K295" s="51">
        <v>0</v>
      </c>
      <c r="L295" s="51">
        <v>0</v>
      </c>
      <c r="M295" s="51">
        <v>0</v>
      </c>
      <c r="N295" s="51">
        <v>0</v>
      </c>
      <c r="O295" s="51">
        <v>0</v>
      </c>
      <c r="P295" s="51">
        <v>0</v>
      </c>
      <c r="Q295" s="51">
        <v>0</v>
      </c>
      <c r="R295" s="51">
        <v>0</v>
      </c>
      <c r="S295" s="51">
        <v>0</v>
      </c>
      <c r="T295" s="51">
        <v>0</v>
      </c>
      <c r="U295" s="51">
        <v>0</v>
      </c>
      <c r="V295" s="51">
        <v>0</v>
      </c>
      <c r="W295" s="51">
        <v>4.5</v>
      </c>
      <c r="X295" s="86">
        <v>20</v>
      </c>
    </row>
    <row r="296" spans="1:24" ht="19.5">
      <c r="A296" s="45">
        <v>4</v>
      </c>
      <c r="B296" s="102">
        <v>4</v>
      </c>
      <c r="C296" s="116" t="s">
        <v>10</v>
      </c>
      <c r="D296" s="106">
        <v>91.25</v>
      </c>
      <c r="E296" s="37">
        <v>0</v>
      </c>
      <c r="F296" s="37">
        <v>0.75</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51">
        <v>0.75</v>
      </c>
      <c r="X296" s="86">
        <v>20</v>
      </c>
    </row>
    <row r="297" spans="1:24" ht="19.5">
      <c r="A297" s="82">
        <v>5</v>
      </c>
      <c r="B297" s="96">
        <v>4</v>
      </c>
      <c r="C297" s="97" t="s">
        <v>53</v>
      </c>
      <c r="D297" s="106">
        <v>74.25</v>
      </c>
      <c r="E297" s="51">
        <v>2.25</v>
      </c>
      <c r="F297" s="51">
        <v>0.75</v>
      </c>
      <c r="G297" s="51">
        <v>3</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6</v>
      </c>
      <c r="X297" s="86">
        <v>20</v>
      </c>
    </row>
    <row r="298" spans="1:24" ht="19.5">
      <c r="A298" s="67">
        <v>6</v>
      </c>
      <c r="B298" s="102">
        <v>4</v>
      </c>
      <c r="C298" s="99" t="s">
        <v>52</v>
      </c>
      <c r="D298" s="106">
        <v>58.75</v>
      </c>
      <c r="E298" s="51">
        <v>1.5</v>
      </c>
      <c r="F298" s="51">
        <v>0.25</v>
      </c>
      <c r="G298" s="51">
        <v>3</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4.75</v>
      </c>
      <c r="X298" s="86">
        <v>20</v>
      </c>
    </row>
    <row r="299" spans="1:24" ht="19.5">
      <c r="A299" s="82">
        <v>7</v>
      </c>
      <c r="B299" s="96">
        <v>4</v>
      </c>
      <c r="C299" s="97" t="s">
        <v>289</v>
      </c>
      <c r="D299" s="106">
        <v>29.25</v>
      </c>
      <c r="E299" s="51">
        <v>0.75</v>
      </c>
      <c r="F299" s="51">
        <v>1</v>
      </c>
      <c r="G299" s="51">
        <v>0</v>
      </c>
      <c r="H299" s="51">
        <v>2</v>
      </c>
      <c r="I299" s="51">
        <v>0</v>
      </c>
      <c r="J299" s="51">
        <v>0</v>
      </c>
      <c r="K299" s="51">
        <v>0</v>
      </c>
      <c r="L299" s="51">
        <v>0</v>
      </c>
      <c r="M299" s="51">
        <v>0</v>
      </c>
      <c r="N299" s="51">
        <v>0</v>
      </c>
      <c r="O299" s="51">
        <v>0</v>
      </c>
      <c r="P299" s="51">
        <v>0</v>
      </c>
      <c r="Q299" s="51">
        <v>0</v>
      </c>
      <c r="R299" s="51">
        <v>0</v>
      </c>
      <c r="S299" s="51">
        <v>0</v>
      </c>
      <c r="T299" s="51">
        <v>3</v>
      </c>
      <c r="U299" s="51">
        <v>0</v>
      </c>
      <c r="V299" s="51">
        <v>0</v>
      </c>
      <c r="W299" s="51">
        <v>6.75</v>
      </c>
      <c r="X299" s="86">
        <v>20</v>
      </c>
    </row>
    <row r="300" spans="1:24" ht="19.5">
      <c r="A300" s="117">
        <v>8</v>
      </c>
      <c r="B300" s="102">
        <v>4</v>
      </c>
      <c r="C300" s="108" t="s">
        <v>324</v>
      </c>
      <c r="D300" s="118">
        <v>14.75</v>
      </c>
      <c r="E300" s="51">
        <v>0</v>
      </c>
      <c r="F300" s="51">
        <v>0.25</v>
      </c>
      <c r="G300" s="51">
        <v>0</v>
      </c>
      <c r="H300" s="51">
        <v>0</v>
      </c>
      <c r="I300" s="51">
        <v>0</v>
      </c>
      <c r="J300" s="51">
        <v>0</v>
      </c>
      <c r="K300" s="51">
        <v>0</v>
      </c>
      <c r="L300" s="51">
        <v>0</v>
      </c>
      <c r="M300" s="51">
        <v>0</v>
      </c>
      <c r="N300" s="51">
        <v>0</v>
      </c>
      <c r="O300" s="51">
        <v>0</v>
      </c>
      <c r="P300" s="51">
        <v>0</v>
      </c>
      <c r="Q300" s="51">
        <v>0</v>
      </c>
      <c r="R300" s="51">
        <v>0</v>
      </c>
      <c r="S300" s="51">
        <v>0</v>
      </c>
      <c r="T300" s="51">
        <v>0</v>
      </c>
      <c r="U300" s="51">
        <v>0</v>
      </c>
      <c r="V300" s="51">
        <v>0</v>
      </c>
      <c r="W300" s="51">
        <v>0.25</v>
      </c>
      <c r="X300" s="86">
        <v>20</v>
      </c>
    </row>
    <row r="301" spans="1:24" ht="19.5">
      <c r="A301" s="121">
        <v>9</v>
      </c>
      <c r="B301" s="96">
        <v>4</v>
      </c>
      <c r="C301" s="122" t="s">
        <v>114</v>
      </c>
      <c r="D301" s="118">
        <v>2.25</v>
      </c>
      <c r="E301" s="89">
        <v>0</v>
      </c>
      <c r="F301" s="89">
        <v>0</v>
      </c>
      <c r="G301" s="89">
        <v>0</v>
      </c>
      <c r="H301" s="89">
        <v>0</v>
      </c>
      <c r="I301" s="89">
        <v>0</v>
      </c>
      <c r="J301" s="89">
        <v>0</v>
      </c>
      <c r="K301" s="89">
        <v>0</v>
      </c>
      <c r="L301" s="89">
        <v>0</v>
      </c>
      <c r="M301" s="89">
        <v>0</v>
      </c>
      <c r="N301" s="89">
        <v>0</v>
      </c>
      <c r="O301" s="89">
        <v>0</v>
      </c>
      <c r="P301" s="89">
        <v>0</v>
      </c>
      <c r="Q301" s="89">
        <v>0</v>
      </c>
      <c r="R301" s="89">
        <v>0</v>
      </c>
      <c r="S301" s="89">
        <v>0</v>
      </c>
      <c r="T301" s="89">
        <v>0</v>
      </c>
      <c r="U301" s="89">
        <v>0</v>
      </c>
      <c r="V301" s="89">
        <v>0</v>
      </c>
      <c r="W301" s="89">
        <v>0</v>
      </c>
      <c r="X301" s="86">
        <v>20</v>
      </c>
    </row>
    <row r="302" spans="1:24" ht="19.5">
      <c r="A302" s="50">
        <v>10</v>
      </c>
      <c r="B302" s="102">
        <v>4</v>
      </c>
      <c r="C302" s="126" t="s">
        <v>774</v>
      </c>
      <c r="D302" s="118">
        <v>2.25</v>
      </c>
      <c r="E302" s="51">
        <v>0</v>
      </c>
      <c r="F302" s="51">
        <v>0.25</v>
      </c>
      <c r="G302" s="51">
        <v>0</v>
      </c>
      <c r="H302" s="51">
        <v>0</v>
      </c>
      <c r="I302" s="51">
        <v>0</v>
      </c>
      <c r="J302" s="51">
        <v>0</v>
      </c>
      <c r="K302" s="51">
        <v>0</v>
      </c>
      <c r="L302" s="89">
        <v>0</v>
      </c>
      <c r="M302" s="89">
        <v>0</v>
      </c>
      <c r="N302" s="89">
        <v>0</v>
      </c>
      <c r="O302" s="89">
        <v>0</v>
      </c>
      <c r="P302" s="89">
        <v>0</v>
      </c>
      <c r="Q302" s="89">
        <v>0</v>
      </c>
      <c r="R302" s="89">
        <v>0</v>
      </c>
      <c r="S302" s="89">
        <v>0</v>
      </c>
      <c r="T302" s="89">
        <v>0</v>
      </c>
      <c r="U302" s="89">
        <v>0</v>
      </c>
      <c r="V302" s="89">
        <v>0</v>
      </c>
      <c r="W302" s="89">
        <v>0.25</v>
      </c>
      <c r="X302" s="86">
        <v>20</v>
      </c>
    </row>
    <row r="303" spans="1:24" ht="19.5">
      <c r="A303" s="121">
        <v>11</v>
      </c>
      <c r="B303" s="96">
        <v>4</v>
      </c>
      <c r="C303" s="122" t="s">
        <v>471</v>
      </c>
      <c r="D303" s="118">
        <v>0.75</v>
      </c>
      <c r="E303" s="89">
        <v>0</v>
      </c>
      <c r="F303" s="89">
        <v>0</v>
      </c>
      <c r="G303" s="89">
        <v>0</v>
      </c>
      <c r="H303" s="89">
        <v>0</v>
      </c>
      <c r="I303" s="89">
        <v>0</v>
      </c>
      <c r="J303" s="89">
        <v>0</v>
      </c>
      <c r="K303" s="89">
        <v>0</v>
      </c>
      <c r="L303" s="89">
        <v>0</v>
      </c>
      <c r="M303" s="89">
        <v>0</v>
      </c>
      <c r="N303" s="89">
        <v>0</v>
      </c>
      <c r="O303" s="89">
        <v>0</v>
      </c>
      <c r="P303" s="89">
        <v>0</v>
      </c>
      <c r="Q303" s="89">
        <v>0</v>
      </c>
      <c r="R303" s="89">
        <v>0</v>
      </c>
      <c r="S303" s="89">
        <v>0</v>
      </c>
      <c r="T303" s="89">
        <v>0</v>
      </c>
      <c r="U303" s="89">
        <v>0</v>
      </c>
      <c r="V303" s="89">
        <v>0</v>
      </c>
      <c r="W303" s="89">
        <v>0</v>
      </c>
      <c r="X303" s="86">
        <v>20</v>
      </c>
    </row>
    <row r="304" spans="1:24" ht="20.25" thickBot="1">
      <c r="A304" s="128">
        <v>12</v>
      </c>
      <c r="B304" s="123">
        <v>4</v>
      </c>
      <c r="C304" s="130" t="s">
        <v>622</v>
      </c>
      <c r="D304" s="113">
        <v>0</v>
      </c>
      <c r="E304" s="52">
        <v>0</v>
      </c>
      <c r="F304" s="52">
        <v>0</v>
      </c>
      <c r="G304" s="52">
        <v>0</v>
      </c>
      <c r="H304" s="52">
        <v>0</v>
      </c>
      <c r="I304" s="52">
        <v>0</v>
      </c>
      <c r="J304" s="52">
        <v>0</v>
      </c>
      <c r="K304" s="52">
        <v>0</v>
      </c>
      <c r="L304" s="41">
        <v>0</v>
      </c>
      <c r="M304" s="41">
        <v>0</v>
      </c>
      <c r="N304" s="41">
        <v>0</v>
      </c>
      <c r="O304" s="41">
        <v>0</v>
      </c>
      <c r="P304" s="41">
        <v>0</v>
      </c>
      <c r="Q304" s="41">
        <v>0</v>
      </c>
      <c r="R304" s="41">
        <v>0</v>
      </c>
      <c r="S304" s="41">
        <v>0</v>
      </c>
      <c r="T304" s="41">
        <v>0</v>
      </c>
      <c r="U304" s="41">
        <v>0</v>
      </c>
      <c r="V304" s="41">
        <v>0</v>
      </c>
      <c r="W304" s="52">
        <v>0</v>
      </c>
      <c r="X304" s="94">
        <v>20</v>
      </c>
    </row>
    <row r="305" ht="15.75"/>
    <row r="306" spans="1:24" ht="15.75">
      <c r="A306" s="67"/>
      <c r="B306" s="68"/>
      <c r="C306" s="71"/>
      <c r="D306" s="633" t="s">
        <v>852</v>
      </c>
      <c r="E306" s="634"/>
      <c r="F306" s="634"/>
      <c r="G306" s="634"/>
      <c r="H306" s="634"/>
      <c r="I306" s="634"/>
      <c r="J306" s="634"/>
      <c r="K306" s="634"/>
      <c r="L306" s="634"/>
      <c r="M306" s="634"/>
      <c r="N306" s="634"/>
      <c r="O306" s="634"/>
      <c r="P306" s="634"/>
      <c r="Q306" s="634"/>
      <c r="R306" s="634"/>
      <c r="S306" s="634"/>
      <c r="T306" s="634"/>
      <c r="U306" s="634"/>
      <c r="V306" s="634"/>
      <c r="W306" s="634"/>
      <c r="X306" s="634"/>
    </row>
    <row r="307" spans="1:24" ht="15.75">
      <c r="A307" s="67"/>
      <c r="B307" s="68"/>
      <c r="C307" s="71"/>
      <c r="D307" s="634"/>
      <c r="E307" s="634"/>
      <c r="F307" s="634"/>
      <c r="G307" s="634"/>
      <c r="H307" s="634"/>
      <c r="I307" s="634"/>
      <c r="J307" s="634"/>
      <c r="K307" s="634"/>
      <c r="L307" s="634"/>
      <c r="M307" s="634"/>
      <c r="N307" s="634"/>
      <c r="O307" s="634"/>
      <c r="P307" s="634"/>
      <c r="Q307" s="634"/>
      <c r="R307" s="634"/>
      <c r="S307" s="634"/>
      <c r="T307" s="634"/>
      <c r="U307" s="634"/>
      <c r="V307" s="634"/>
      <c r="W307" s="634"/>
      <c r="X307" s="634"/>
    </row>
    <row r="308" spans="1:24" ht="15.75">
      <c r="A308" s="67"/>
      <c r="B308" s="68"/>
      <c r="C308" s="71"/>
      <c r="D308" s="72" t="s">
        <v>286</v>
      </c>
      <c r="E308" s="30">
        <v>1</v>
      </c>
      <c r="F308" s="30">
        <v>2</v>
      </c>
      <c r="G308" s="30">
        <v>3</v>
      </c>
      <c r="H308" s="30">
        <v>4</v>
      </c>
      <c r="I308" s="30">
        <v>5</v>
      </c>
      <c r="J308" s="30">
        <v>6</v>
      </c>
      <c r="K308" s="30">
        <v>7</v>
      </c>
      <c r="L308" s="30">
        <v>8</v>
      </c>
      <c r="M308" s="30">
        <v>9</v>
      </c>
      <c r="N308" s="30">
        <v>10</v>
      </c>
      <c r="O308" s="30">
        <v>11</v>
      </c>
      <c r="P308" s="30">
        <v>12</v>
      </c>
      <c r="Q308" s="30">
        <v>13</v>
      </c>
      <c r="R308" s="30">
        <v>14</v>
      </c>
      <c r="S308" s="30">
        <v>15</v>
      </c>
      <c r="T308" s="30">
        <v>16</v>
      </c>
      <c r="U308" s="30">
        <v>17</v>
      </c>
      <c r="V308" s="30">
        <v>18</v>
      </c>
      <c r="W308" s="73" t="s">
        <v>267</v>
      </c>
      <c r="X308" s="74"/>
    </row>
    <row r="309" spans="1:24" ht="16.5" thickBot="1">
      <c r="A309" s="75"/>
      <c r="B309" s="76"/>
      <c r="C309" s="77"/>
      <c r="D309" s="78" t="s">
        <v>288</v>
      </c>
      <c r="E309" s="79">
        <v>0.75</v>
      </c>
      <c r="F309" s="79">
        <v>0.25</v>
      </c>
      <c r="G309" s="79">
        <v>3</v>
      </c>
      <c r="H309" s="79">
        <v>2</v>
      </c>
      <c r="I309" s="79">
        <v>0.75</v>
      </c>
      <c r="J309" s="79">
        <v>-3</v>
      </c>
      <c r="K309" s="79">
        <v>-4</v>
      </c>
      <c r="L309" s="79">
        <v>20</v>
      </c>
      <c r="M309" s="79">
        <v>10</v>
      </c>
      <c r="N309" s="79">
        <v>5</v>
      </c>
      <c r="O309" s="79">
        <v>3</v>
      </c>
      <c r="P309" s="79">
        <v>5</v>
      </c>
      <c r="Q309" s="79">
        <v>7</v>
      </c>
      <c r="R309" s="79">
        <v>3</v>
      </c>
      <c r="S309" s="79">
        <v>3</v>
      </c>
      <c r="T309" s="79">
        <v>3</v>
      </c>
      <c r="U309" s="79">
        <v>8.25</v>
      </c>
      <c r="V309" s="79">
        <v>16</v>
      </c>
      <c r="W309" s="80" t="s">
        <v>287</v>
      </c>
      <c r="X309" s="81" t="s">
        <v>267</v>
      </c>
    </row>
    <row r="310" spans="1:24" ht="19.5">
      <c r="A310" s="82">
        <v>1</v>
      </c>
      <c r="B310" s="96">
        <v>4</v>
      </c>
      <c r="C310" s="84" t="s">
        <v>290</v>
      </c>
      <c r="D310" s="106">
        <v>562.25</v>
      </c>
      <c r="E310" s="51">
        <v>5.25</v>
      </c>
      <c r="F310" s="51">
        <v>4.5</v>
      </c>
      <c r="G310" s="51">
        <v>3</v>
      </c>
      <c r="H310" s="51">
        <v>2</v>
      </c>
      <c r="I310" s="51">
        <v>0.75</v>
      </c>
      <c r="J310" s="51">
        <v>0</v>
      </c>
      <c r="K310" s="51">
        <v>0</v>
      </c>
      <c r="L310" s="51"/>
      <c r="M310" s="51"/>
      <c r="N310" s="51"/>
      <c r="O310" s="51"/>
      <c r="P310" s="51"/>
      <c r="Q310" s="51"/>
      <c r="R310" s="51"/>
      <c r="S310" s="51"/>
      <c r="T310" s="51"/>
      <c r="U310" s="51"/>
      <c r="V310" s="51"/>
      <c r="W310" s="51">
        <v>15.5</v>
      </c>
      <c r="X310" s="86">
        <v>21</v>
      </c>
    </row>
    <row r="311" spans="1:24" ht="19.5">
      <c r="A311" s="45">
        <v>2</v>
      </c>
      <c r="B311" s="102">
        <v>4</v>
      </c>
      <c r="C311" s="125" t="s">
        <v>12</v>
      </c>
      <c r="D311" s="106">
        <v>290.25</v>
      </c>
      <c r="E311" s="51">
        <v>0.75</v>
      </c>
      <c r="F311" s="51">
        <v>3.25</v>
      </c>
      <c r="G311" s="51">
        <v>0</v>
      </c>
      <c r="H311" s="51">
        <v>2</v>
      </c>
      <c r="I311" s="51">
        <v>0</v>
      </c>
      <c r="J311" s="51">
        <v>0</v>
      </c>
      <c r="K311" s="51">
        <v>0</v>
      </c>
      <c r="L311" s="51"/>
      <c r="M311" s="51"/>
      <c r="N311" s="51"/>
      <c r="O311" s="51"/>
      <c r="P311" s="51"/>
      <c r="Q311" s="51"/>
      <c r="R311" s="51"/>
      <c r="S311" s="51"/>
      <c r="T311" s="51"/>
      <c r="U311" s="51"/>
      <c r="V311" s="51"/>
      <c r="W311" s="51">
        <v>6</v>
      </c>
      <c r="X311" s="86">
        <v>21</v>
      </c>
    </row>
    <row r="312" spans="1:24" ht="19.5">
      <c r="A312" s="82">
        <v>3</v>
      </c>
      <c r="B312" s="96">
        <v>4</v>
      </c>
      <c r="C312" s="97" t="s">
        <v>8</v>
      </c>
      <c r="D312" s="106">
        <v>132.75</v>
      </c>
      <c r="E312" s="51">
        <v>0.75</v>
      </c>
      <c r="F312" s="51">
        <v>1.75</v>
      </c>
      <c r="G312" s="51">
        <v>3</v>
      </c>
      <c r="H312" s="51">
        <v>2</v>
      </c>
      <c r="I312" s="51">
        <v>0</v>
      </c>
      <c r="J312" s="51">
        <v>0</v>
      </c>
      <c r="K312" s="51">
        <v>0</v>
      </c>
      <c r="L312" s="51"/>
      <c r="M312" s="51"/>
      <c r="N312" s="51"/>
      <c r="O312" s="51"/>
      <c r="P312" s="51"/>
      <c r="Q312" s="51"/>
      <c r="R312" s="51"/>
      <c r="S312" s="51"/>
      <c r="T312" s="51"/>
      <c r="U312" s="51"/>
      <c r="V312" s="51"/>
      <c r="W312" s="51">
        <v>7.5</v>
      </c>
      <c r="X312" s="86">
        <v>21</v>
      </c>
    </row>
    <row r="313" spans="1:24" ht="19.5">
      <c r="A313" s="45">
        <v>4</v>
      </c>
      <c r="B313" s="102">
        <v>4</v>
      </c>
      <c r="C313" s="116" t="s">
        <v>10</v>
      </c>
      <c r="D313" s="106">
        <v>91.5</v>
      </c>
      <c r="E313" s="37">
        <v>0</v>
      </c>
      <c r="F313" s="37">
        <v>0.25</v>
      </c>
      <c r="G313" s="37">
        <v>0</v>
      </c>
      <c r="H313" s="37">
        <v>0</v>
      </c>
      <c r="I313" s="37">
        <v>0</v>
      </c>
      <c r="J313" s="37">
        <v>0</v>
      </c>
      <c r="K313" s="37">
        <v>0</v>
      </c>
      <c r="L313" s="37"/>
      <c r="M313" s="37"/>
      <c r="N313" s="37"/>
      <c r="O313" s="37"/>
      <c r="P313" s="37"/>
      <c r="Q313" s="37"/>
      <c r="R313" s="37"/>
      <c r="S313" s="37"/>
      <c r="T313" s="37"/>
      <c r="U313" s="37"/>
      <c r="V313" s="37"/>
      <c r="W313" s="51">
        <v>0.25</v>
      </c>
      <c r="X313" s="86">
        <v>21</v>
      </c>
    </row>
    <row r="314" spans="1:24" ht="19.5">
      <c r="A314" s="82">
        <v>5</v>
      </c>
      <c r="B314" s="96">
        <v>4</v>
      </c>
      <c r="C314" s="97" t="s">
        <v>53</v>
      </c>
      <c r="D314" s="106">
        <v>77</v>
      </c>
      <c r="E314" s="51">
        <v>2.25</v>
      </c>
      <c r="F314" s="51">
        <v>0.5</v>
      </c>
      <c r="G314" s="51">
        <v>0</v>
      </c>
      <c r="H314" s="51">
        <v>0</v>
      </c>
      <c r="I314" s="51">
        <v>0</v>
      </c>
      <c r="J314" s="51">
        <v>0</v>
      </c>
      <c r="K314" s="51">
        <v>0</v>
      </c>
      <c r="L314" s="51"/>
      <c r="M314" s="51"/>
      <c r="N314" s="51"/>
      <c r="O314" s="51"/>
      <c r="P314" s="51"/>
      <c r="Q314" s="51"/>
      <c r="R314" s="51"/>
      <c r="S314" s="51"/>
      <c r="T314" s="51"/>
      <c r="U314" s="51"/>
      <c r="V314" s="51"/>
      <c r="W314" s="51">
        <v>2.75</v>
      </c>
      <c r="X314" s="86">
        <v>21</v>
      </c>
    </row>
    <row r="315" spans="1:24" ht="19.5">
      <c r="A315" s="67">
        <v>6</v>
      </c>
      <c r="B315" s="102">
        <v>4</v>
      </c>
      <c r="C315" s="99" t="s">
        <v>52</v>
      </c>
      <c r="D315" s="106">
        <v>60.5</v>
      </c>
      <c r="E315" s="51">
        <v>1.5</v>
      </c>
      <c r="F315" s="51">
        <v>0.25</v>
      </c>
      <c r="G315" s="51">
        <v>0</v>
      </c>
      <c r="H315" s="51">
        <v>0</v>
      </c>
      <c r="I315" s="51">
        <v>0</v>
      </c>
      <c r="J315" s="51">
        <v>0</v>
      </c>
      <c r="K315" s="51">
        <v>0</v>
      </c>
      <c r="L315" s="51"/>
      <c r="M315" s="51"/>
      <c r="N315" s="51"/>
      <c r="O315" s="51"/>
      <c r="P315" s="51"/>
      <c r="Q315" s="51"/>
      <c r="R315" s="51"/>
      <c r="S315" s="51"/>
      <c r="T315" s="51"/>
      <c r="U315" s="51"/>
      <c r="V315" s="51"/>
      <c r="W315" s="51">
        <v>1.75</v>
      </c>
      <c r="X315" s="86">
        <v>21</v>
      </c>
    </row>
    <row r="316" spans="1:24" ht="19.5">
      <c r="A316" s="82">
        <v>7</v>
      </c>
      <c r="B316" s="96">
        <v>4</v>
      </c>
      <c r="C316" s="97" t="s">
        <v>289</v>
      </c>
      <c r="D316" s="106">
        <v>31.75</v>
      </c>
      <c r="E316" s="51">
        <v>0.75</v>
      </c>
      <c r="F316" s="51">
        <v>1.75</v>
      </c>
      <c r="G316" s="51">
        <v>0</v>
      </c>
      <c r="H316" s="51">
        <v>0</v>
      </c>
      <c r="I316" s="51">
        <v>0</v>
      </c>
      <c r="J316" s="51">
        <v>0</v>
      </c>
      <c r="K316" s="51">
        <v>0</v>
      </c>
      <c r="L316" s="51"/>
      <c r="M316" s="51"/>
      <c r="N316" s="51"/>
      <c r="O316" s="51"/>
      <c r="P316" s="51"/>
      <c r="Q316" s="51"/>
      <c r="R316" s="51"/>
      <c r="S316" s="51"/>
      <c r="T316" s="51"/>
      <c r="U316" s="51"/>
      <c r="V316" s="51"/>
      <c r="W316" s="51">
        <v>2.5</v>
      </c>
      <c r="X316" s="86">
        <v>21</v>
      </c>
    </row>
    <row r="317" spans="1:24" ht="19.5">
      <c r="A317" s="117">
        <v>8</v>
      </c>
      <c r="B317" s="102">
        <v>4</v>
      </c>
      <c r="C317" s="108" t="s">
        <v>324</v>
      </c>
      <c r="D317" s="118">
        <v>15.25</v>
      </c>
      <c r="E317" s="51">
        <v>0</v>
      </c>
      <c r="F317" s="51">
        <v>0.5</v>
      </c>
      <c r="G317" s="51">
        <v>0</v>
      </c>
      <c r="H317" s="51">
        <v>0</v>
      </c>
      <c r="I317" s="51">
        <v>0</v>
      </c>
      <c r="J317" s="51">
        <v>0</v>
      </c>
      <c r="K317" s="51">
        <v>0</v>
      </c>
      <c r="L317" s="51"/>
      <c r="M317" s="51"/>
      <c r="N317" s="51"/>
      <c r="O317" s="51"/>
      <c r="P317" s="51"/>
      <c r="Q317" s="51"/>
      <c r="R317" s="51"/>
      <c r="S317" s="51"/>
      <c r="T317" s="51"/>
      <c r="U317" s="51"/>
      <c r="V317" s="51"/>
      <c r="W317" s="51">
        <v>0.5</v>
      </c>
      <c r="X317" s="86">
        <v>21</v>
      </c>
    </row>
    <row r="318" spans="1:24" ht="19.5">
      <c r="A318" s="121">
        <v>9</v>
      </c>
      <c r="B318" s="535">
        <v>5</v>
      </c>
      <c r="C318" s="122" t="s">
        <v>774</v>
      </c>
      <c r="D318" s="118">
        <v>2.5</v>
      </c>
      <c r="E318" s="89">
        <v>0</v>
      </c>
      <c r="F318" s="89">
        <v>0.25</v>
      </c>
      <c r="G318" s="89">
        <v>0</v>
      </c>
      <c r="H318" s="89">
        <v>0</v>
      </c>
      <c r="I318" s="89">
        <v>0</v>
      </c>
      <c r="J318" s="89">
        <v>0</v>
      </c>
      <c r="K318" s="89">
        <v>0</v>
      </c>
      <c r="L318" s="89"/>
      <c r="M318" s="89"/>
      <c r="N318" s="89"/>
      <c r="O318" s="89"/>
      <c r="P318" s="89"/>
      <c r="Q318" s="89"/>
      <c r="R318" s="89"/>
      <c r="S318" s="89"/>
      <c r="T318" s="89"/>
      <c r="U318" s="89"/>
      <c r="V318" s="89"/>
      <c r="W318" s="89">
        <v>0.25</v>
      </c>
      <c r="X318" s="86">
        <v>21</v>
      </c>
    </row>
    <row r="319" spans="1:24" ht="19.5">
      <c r="A319" s="50">
        <v>10</v>
      </c>
      <c r="B319" s="119">
        <v>6</v>
      </c>
      <c r="C319" s="126" t="s">
        <v>114</v>
      </c>
      <c r="D319" s="118">
        <v>2.25</v>
      </c>
      <c r="E319" s="51">
        <v>0</v>
      </c>
      <c r="F319" s="51">
        <v>0.25</v>
      </c>
      <c r="G319" s="51">
        <v>0</v>
      </c>
      <c r="H319" s="51">
        <v>0</v>
      </c>
      <c r="I319" s="51">
        <v>0</v>
      </c>
      <c r="J319" s="51">
        <v>0</v>
      </c>
      <c r="K319" s="51">
        <v>0</v>
      </c>
      <c r="L319" s="89"/>
      <c r="M319" s="89"/>
      <c r="N319" s="89"/>
      <c r="O319" s="89"/>
      <c r="P319" s="89"/>
      <c r="Q319" s="89"/>
      <c r="R319" s="89"/>
      <c r="S319" s="89"/>
      <c r="T319" s="89"/>
      <c r="U319" s="89"/>
      <c r="V319" s="89"/>
      <c r="W319" s="89">
        <v>0</v>
      </c>
      <c r="X319" s="86">
        <v>21</v>
      </c>
    </row>
    <row r="320" spans="1:24" ht="19.5">
      <c r="A320" s="121">
        <v>11</v>
      </c>
      <c r="B320" s="96">
        <v>4</v>
      </c>
      <c r="C320" s="122" t="s">
        <v>471</v>
      </c>
      <c r="D320" s="118">
        <v>0.75</v>
      </c>
      <c r="E320" s="89">
        <v>0</v>
      </c>
      <c r="F320" s="89">
        <v>0</v>
      </c>
      <c r="G320" s="89">
        <v>0</v>
      </c>
      <c r="H320" s="89">
        <v>0</v>
      </c>
      <c r="I320" s="89">
        <v>0</v>
      </c>
      <c r="J320" s="89">
        <v>0</v>
      </c>
      <c r="K320" s="89">
        <v>0</v>
      </c>
      <c r="L320" s="89"/>
      <c r="M320" s="89"/>
      <c r="N320" s="89"/>
      <c r="O320" s="89"/>
      <c r="P320" s="89"/>
      <c r="Q320" s="89"/>
      <c r="R320" s="89"/>
      <c r="S320" s="89"/>
      <c r="T320" s="89"/>
      <c r="U320" s="89"/>
      <c r="V320" s="89"/>
      <c r="W320" s="89">
        <v>0</v>
      </c>
      <c r="X320" s="86">
        <v>21</v>
      </c>
    </row>
    <row r="321" spans="1:24" ht="20.25" thickBot="1">
      <c r="A321" s="128">
        <v>12</v>
      </c>
      <c r="B321" s="123">
        <v>4</v>
      </c>
      <c r="C321" s="130" t="s">
        <v>622</v>
      </c>
      <c r="D321" s="113">
        <v>0</v>
      </c>
      <c r="E321" s="52">
        <v>0</v>
      </c>
      <c r="F321" s="52">
        <v>0</v>
      </c>
      <c r="G321" s="52">
        <v>0</v>
      </c>
      <c r="H321" s="52">
        <v>0</v>
      </c>
      <c r="I321" s="52">
        <v>0</v>
      </c>
      <c r="J321" s="52">
        <v>0</v>
      </c>
      <c r="K321" s="52">
        <v>0</v>
      </c>
      <c r="L321" s="41"/>
      <c r="M321" s="41"/>
      <c r="N321" s="41"/>
      <c r="O321" s="41"/>
      <c r="P321" s="41"/>
      <c r="Q321" s="41"/>
      <c r="R321" s="41"/>
      <c r="S321" s="41"/>
      <c r="T321" s="41"/>
      <c r="U321" s="41"/>
      <c r="V321" s="41"/>
      <c r="W321" s="52">
        <v>0</v>
      </c>
      <c r="X321" s="94">
        <v>21</v>
      </c>
    </row>
  </sheetData>
  <sheetProtection/>
  <mergeCells count="21">
    <mergeCell ref="D160:X161"/>
    <mergeCell ref="D224:X225"/>
    <mergeCell ref="D272:X273"/>
    <mergeCell ref="D145:X146"/>
    <mergeCell ref="D130:X131"/>
    <mergeCell ref="D306:X307"/>
    <mergeCell ref="D289:X290"/>
    <mergeCell ref="D85:X86"/>
    <mergeCell ref="D208:X209"/>
    <mergeCell ref="D192:X193"/>
    <mergeCell ref="D100:X101"/>
    <mergeCell ref="D115:X116"/>
    <mergeCell ref="D256:X257"/>
    <mergeCell ref="D240:X241"/>
    <mergeCell ref="D176:X177"/>
    <mergeCell ref="D1:X2"/>
    <mergeCell ref="D14:X15"/>
    <mergeCell ref="D27:X28"/>
    <mergeCell ref="D41:X42"/>
    <mergeCell ref="D55:X56"/>
    <mergeCell ref="D70:X7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2012-05-18T16:04:10Z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