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23775" windowHeight="11355" tabRatio="925" activeTab="0"/>
  </bookViews>
  <sheets>
    <sheet name="09.-15.03.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'09.-15.03.2012 (week)'!$A$1:$AP$208</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47" authorId="0">
      <text>
        <r>
          <rPr>
            <b/>
            <sz val="9"/>
            <rFont val="Tahoma"/>
            <family val="2"/>
          </rPr>
          <t>DY:</t>
        </r>
        <r>
          <rPr>
            <sz val="9"/>
            <rFont val="Tahoma"/>
            <family val="2"/>
          </rPr>
          <t xml:space="preserve">
O hafta sinemalara türk filmi programlayan şirket her belirtilen film başına 0,75 puan alır</t>
        </r>
      </text>
    </comment>
    <comment ref="F147" authorId="0">
      <text>
        <r>
          <rPr>
            <b/>
            <sz val="9"/>
            <rFont val="Tahoma"/>
            <family val="2"/>
          </rPr>
          <t>DY:</t>
        </r>
        <r>
          <rPr>
            <sz val="9"/>
            <rFont val="Tahoma"/>
            <family val="2"/>
          </rPr>
          <t xml:space="preserve">
O hafta sinemalara yabancı filmi programlayan şirket her film belirtilen başına 0,25 puan alır</t>
        </r>
      </text>
    </comment>
    <comment ref="G147" authorId="0">
      <text>
        <r>
          <rPr>
            <b/>
            <sz val="9"/>
            <rFont val="Tahoma"/>
            <family val="2"/>
          </rPr>
          <t>DY:</t>
        </r>
        <r>
          <rPr>
            <sz val="9"/>
            <rFont val="Tahoma"/>
            <family val="2"/>
          </rPr>
          <t xml:space="preserve">
O hafta sinemalara bir türk filmini ilk kez programlayan şirket her belirtilen film başına 3 puan alır</t>
        </r>
      </text>
    </comment>
    <comment ref="H147" authorId="0">
      <text>
        <r>
          <rPr>
            <b/>
            <sz val="9"/>
            <rFont val="Tahoma"/>
            <family val="2"/>
          </rPr>
          <t>DY:</t>
        </r>
        <r>
          <rPr>
            <sz val="9"/>
            <rFont val="Tahoma"/>
            <family val="2"/>
          </rPr>
          <t xml:space="preserve">
O hafta sinemalara bir yabancı filmi ilk kez programlayan şirket her belirtilen film başına 2 puan alır</t>
        </r>
      </text>
    </comment>
    <comment ref="I147" authorId="0">
      <text>
        <r>
          <rPr>
            <b/>
            <sz val="9"/>
            <rFont val="Tahoma"/>
            <family val="2"/>
          </rPr>
          <t>DY:</t>
        </r>
        <r>
          <rPr>
            <sz val="9"/>
            <rFont val="Tahoma"/>
            <family val="2"/>
          </rPr>
          <t xml:space="preserve">
O hafta sinemalara en fazla film programlayan şirketlere 0,75 puan verilir</t>
        </r>
      </text>
    </comment>
    <comment ref="J14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4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4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4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4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4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4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4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4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4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4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2" authorId="0">
      <text>
        <r>
          <rPr>
            <b/>
            <sz val="9"/>
            <rFont val="Tahoma"/>
            <family val="2"/>
          </rPr>
          <t>DY:</t>
        </r>
        <r>
          <rPr>
            <sz val="9"/>
            <rFont val="Tahoma"/>
            <family val="2"/>
          </rPr>
          <t xml:space="preserve">
O hafta sinemalara türk filmi programlayan şirket her belirtilen film başına 0,75 puan alır</t>
        </r>
      </text>
    </comment>
    <comment ref="F162" authorId="0">
      <text>
        <r>
          <rPr>
            <b/>
            <sz val="9"/>
            <rFont val="Tahoma"/>
            <family val="2"/>
          </rPr>
          <t>DY:</t>
        </r>
        <r>
          <rPr>
            <sz val="9"/>
            <rFont val="Tahoma"/>
            <family val="2"/>
          </rPr>
          <t xml:space="preserve">
O hafta sinemalara yabancı filmi programlayan şirket her film belirtilen başına 0,25 puan alır</t>
        </r>
      </text>
    </comment>
    <comment ref="G162" authorId="0">
      <text>
        <r>
          <rPr>
            <b/>
            <sz val="9"/>
            <rFont val="Tahoma"/>
            <family val="2"/>
          </rPr>
          <t>DY:</t>
        </r>
        <r>
          <rPr>
            <sz val="9"/>
            <rFont val="Tahoma"/>
            <family val="2"/>
          </rPr>
          <t xml:space="preserve">
O hafta sinemalara bir türk filmini ilk kez programlayan şirket her belirtilen film başına 3 puan alır</t>
        </r>
      </text>
    </comment>
    <comment ref="H162" authorId="0">
      <text>
        <r>
          <rPr>
            <b/>
            <sz val="9"/>
            <rFont val="Tahoma"/>
            <family val="2"/>
          </rPr>
          <t>DY:</t>
        </r>
        <r>
          <rPr>
            <sz val="9"/>
            <rFont val="Tahoma"/>
            <family val="2"/>
          </rPr>
          <t xml:space="preserve">
O hafta sinemalara bir yabancı filmi ilk kez programlayan şirket her belirtilen film başına 2 puan alır</t>
        </r>
      </text>
    </comment>
    <comment ref="I162" authorId="0">
      <text>
        <r>
          <rPr>
            <b/>
            <sz val="9"/>
            <rFont val="Tahoma"/>
            <family val="2"/>
          </rPr>
          <t>DY:</t>
        </r>
        <r>
          <rPr>
            <sz val="9"/>
            <rFont val="Tahoma"/>
            <family val="2"/>
          </rPr>
          <t xml:space="preserve">
O hafta sinemalara en fazla film programlayan şirketlere 0,75 puan verilir</t>
        </r>
      </text>
    </comment>
    <comment ref="J16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<sst xmlns="http://schemas.openxmlformats.org/spreadsheetml/2006/main" count="5741" uniqueCount="753">
  <si>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</si>
  <si>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</si>
  <si>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</si>
  <si>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</si>
  <si>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</si>
  <si>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</si>
  <si>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</si>
  <si>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</si>
  <si>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</si>
  <si>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</si>
  <si>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</si>
  <si>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</si>
  <si>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</si>
  <si>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</si>
  <si>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</si>
  <si>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</si>
  <si>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</si>
  <si>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</si>
  <si>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</si>
  <si>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</si>
  <si>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</si>
  <si>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</si>
  <si>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</si>
  <si>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</si>
  <si>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</si>
  <si>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</si>
  <si>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</si>
  <si>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</si>
  <si>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</si>
  <si>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</si>
  <si>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</si>
  <si>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</si>
  <si>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</si>
  <si>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</si>
  <si>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</si>
  <si>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</si>
  <si>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</si>
  <si>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</si>
  <si>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</si>
  <si>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</si>
  <si>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</si>
  <si>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</si>
  <si>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</si>
  <si>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</si>
  <si>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</si>
  <si>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</si>
  <si>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</si>
  <si>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</si>
  <si>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</si>
  <si>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</si>
  <si>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</si>
  <si>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</si>
  <si>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</si>
  <si>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</si>
  <si>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</si>
  <si>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</si>
  <si>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</si>
  <si>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</si>
  <si>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</si>
  <si>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</si>
  <si>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</si>
  <si>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</si>
  <si>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</si>
  <si>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</si>
  <si>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</si>
  <si>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</si>
  <si>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</si>
  <si>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</si>
  <si>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</si>
  <si>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</si>
  <si>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</si>
  <si>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</si>
  <si>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</si>
  <si>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</si>
  <si>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</si>
  <si>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</si>
  <si>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</si>
  <si>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</si>
  <si>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</si>
  <si>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</si>
  <si>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</si>
  <si>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</si>
  <si>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</si>
  <si>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</si>
  <si>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</si>
  <si>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</si>
  <si>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</si>
  <si>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</si>
  <si>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</si>
  <si>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</si>
  <si>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</si>
  <si>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</si>
  <si>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</si>
  <si>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</si>
  <si>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</si>
  <si>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</si>
  <si>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</si>
  <si>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</si>
  <si>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</si>
  <si>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</si>
  <si>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</si>
  <si>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</si>
  <si>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</si>
  <si>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</si>
  <si>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</si>
  <si>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</si>
  <si>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</si>
  <si>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</si>
  <si>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</si>
  <si>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</si>
  <si>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</si>
  <si>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</si>
  <si>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</si>
  <si>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</si>
  <si>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</si>
  <si>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</si>
  <si>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</si>
  <si>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</si>
  <si>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</si>
  <si>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</si>
  <si>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</si>
  <si>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</si>
  <si>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</si>
  <si>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</si>
  <si>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</si>
  <si>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</si>
  <si>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</si>
  <si>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</si>
  <si>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</si>
  <si>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</si>
  <si>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</si>
  <si>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</si>
  <si>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</si>
  <si>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</si>
  <si>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</si>
  <si>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</si>
  <si>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</si>
  <si>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</si>
  <si>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</si>
  <si>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</si>
  <si>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</si>
  <si>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</si>
  <si>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</si>
  <si>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</si>
  <si>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</si>
  <si>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</si>
  <si>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</si>
  <si>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</si>
  <si>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</si>
  <si>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</si>
  <si>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</si>
  <si>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</si>
  <si>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</si>
  <si>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</si>
  <si>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</si>
  <si>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</si>
  <si>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</si>
  <si>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</si>
  <si>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</si>
  <si>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</si>
  <si>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</si>
  <si>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</si>
  <si>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</si>
  <si>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</si>
  <si>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</si>
  <si>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</si>
  <si>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</si>
  <si>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</si>
  <si>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</si>
  <si>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</si>
  <si>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</si>
  <si>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</si>
  <si>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</si>
  <si>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</si>
  <si>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</si>
  <si>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</si>
  <si>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</si>
  <si>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</si>
  <si>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</si>
  <si>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</si>
  <si>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</si>
  <si>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</si>
  <si>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</si>
  <si>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</si>
  <si>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</si>
  <si>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</si>
  <si>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</si>
  <si>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</si>
  <si>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</si>
  <si>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</si>
  <si>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</si>
  <si>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</si>
  <si>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</si>
  <si>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</si>
  <si>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</si>
  <si>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</si>
  <si>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</si>
  <si>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</si>
  <si>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</si>
  <si>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</si>
  <si>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</si>
  <si>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</si>
  <si>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</si>
  <si>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</si>
  <si>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</si>
  <si>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</si>
  <si>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</si>
  <si>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</si>
  <si>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</si>
  <si>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</si>
  <si>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</si>
  <si>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</si>
  <si>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</si>
  <si>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</si>
  <si>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</si>
  <si>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</si>
  <si>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</si>
  <si>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</si>
  <si>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</si>
  <si>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</si>
  <si>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</si>
  <si>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</si>
  <si>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</si>
  <si>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</si>
  <si>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</si>
  <si>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</si>
  <si>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</si>
  <si>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</si>
  <si>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</si>
  <si>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</si>
  <si>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</si>
  <si>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</si>
  <si>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</si>
  <si>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</si>
  <si>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</si>
  <si>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</si>
  <si>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</si>
  <si>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</si>
  <si>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</si>
  <si>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</si>
  <si>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</si>
  <si>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</si>
  <si>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</si>
  <si>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</si>
  <si>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</si>
  <si>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</si>
  <si>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</si>
  <si>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</si>
  <si>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</si>
  <si>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</si>
  <si>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</si>
  <si>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</si>
  <si>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</si>
  <si>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</si>
  <si>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</si>
  <si>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</si>
  <si>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</si>
  <si>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</si>
  <si>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</si>
  <si>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</si>
  <si>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</si>
  <si>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</si>
  <si>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</si>
  <si>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</si>
  <si>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</si>
  <si>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</si>
  <si>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</si>
  <si>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</si>
  <si>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</si>
  <si>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</si>
  <si>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</si>
  <si>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</si>
  <si>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</si>
  <si>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</si>
  <si>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</si>
  <si>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</si>
  <si>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</si>
  <si>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</si>
  <si>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</si>
  <si>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</si>
  <si>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</si>
  <si>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</si>
  <si>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</si>
  <si>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</si>
  <si>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</si>
  <si>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</si>
  <si>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</si>
  <si>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</si>
  <si>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</si>
  <si>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</si>
  <si>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</si>
  <si>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</si>
  <si>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</si>
  <si>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</si>
  <si>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</si>
  <si>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</si>
  <si>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</si>
  <si>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</si>
  <si>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</si>
  <si>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</si>
  <si>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</si>
  <si>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</si>
  <si>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</si>
  <si>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</si>
  <si>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</si>
  <si>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</si>
  <si>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</si>
  <si>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</si>
  <si>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</si>
  <si>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</si>
  <si>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</si>
  <si>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</si>
  <si>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</si>
  <si>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</si>
  <si>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</si>
  <si>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</si>
  <si>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</si>
  <si>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</si>
  <si>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</si>
  <si>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</si>
  <si>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</si>
  <si>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</si>
  <si>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</si>
  <si>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</si>
  <si>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</si>
  <si>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</si>
  <si>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</si>
  <si>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</si>
  <si>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</si>
  <si>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</si>
  <si>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</si>
  <si>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</si>
  <si>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</si>
  <si>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</si>
  <si>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</si>
  <si>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</si>
  <si>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</si>
  <si>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</si>
  <si>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</si>
  <si>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</si>
  <si>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</si>
  <si>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</si>
  <si>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</si>
  <si>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</si>
  <si>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</si>
  <si>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</si>
  <si>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</si>
  <si>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</si>
  <si>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</si>
  <si>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</si>
  <si>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</si>
  <si>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</si>
  <si>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</si>
  <si>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</si>
  <si>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</si>
  <si>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</si>
  <si>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</si>
  <si>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</si>
  <si>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</si>
  <si>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</si>
  <si>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</si>
  <si>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</si>
  <si>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</si>
  <si>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</si>
  <si>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</si>
  <si>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</si>
  <si>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</si>
  <si>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</si>
  <si>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</si>
  <si>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</si>
  <si>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</si>
  <si>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</si>
  <si>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</si>
  <si>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</si>
  <si>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</si>
  <si>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</si>
  <si>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</si>
  <si>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</si>
  <si>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</si>
  <si>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</si>
  <si>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</si>
  <si>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</si>
  <si>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</si>
  <si>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</si>
  <si>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</si>
  <si>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</si>
  <si>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</si>
  <si>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</si>
  <si>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</si>
  <si>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</si>
  <si>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</si>
  <si>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</si>
  <si>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</si>
  <si>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</si>
  <si>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</si>
  <si>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</si>
  <si>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</si>
  <si>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</si>
  <si>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</si>
  <si>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</si>
  <si>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</si>
  <si>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</si>
  <si>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</si>
  <si>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</si>
  <si>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</si>
  <si>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</si>
  <si>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</si>
  <si>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</si>
  <si>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</si>
  <si>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</si>
  <si>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</si>
  <si>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</si>
  <si>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</si>
  <si>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</si>
  <si>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</si>
  <si>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</si>
  <si>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</si>
  <si>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</si>
  <si>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</si>
  <si>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</si>
  <si>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</si>
  <si>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</si>
  <si>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</si>
  <si>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</si>
  <si>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</si>
  <si>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</si>
  <si>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</si>
  <si>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</si>
  <si>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</si>
  <si>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</si>
  <si>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</si>
  <si>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</si>
  <si>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</si>
  <si>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</si>
  <si>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</si>
  <si>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</si>
  <si>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</si>
  <si>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</si>
  <si>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</si>
  <si>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</si>
  <si>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</si>
  <si>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</si>
  <si>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</si>
  <si>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</si>
  <si>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</si>
  <si>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</si>
  <si>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</si>
  <si>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</si>
  <si>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</si>
  <si>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</si>
  <si>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</si>
  <si>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</si>
  <si>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</si>
  <si>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</si>
  <si>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</si>
  <si>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</si>
  <si>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</si>
  <si>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</si>
  <si>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</si>
  <si>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</si>
  <si>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</si>
  <si>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</si>
  <si>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</si>
  <si>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</si>
  <si>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</si>
  <si>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</si>
  <si>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</si>
  <si>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</si>
  <si>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</si>
  <si>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</si>
  <si>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</si>
  <si>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</si>
  <si>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</si>
  <si>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</si>
  <si>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</si>
  <si>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</si>
  <si>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</si>
  <si>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</si>
  <si>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</si>
  <si>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</si>
  <si>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</si>
  <si>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</si>
  <si>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</si>
  <si>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</si>
  <si>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</si>
  <si>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</si>
  <si>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</si>
  <si>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</si>
  <si>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</si>
  <si>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</si>
  <si>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</si>
  <si>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</si>
  <si>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</si>
  <si>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</si>
  <si>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</si>
  <si>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</si>
  <si>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</si>
  <si>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</si>
  <si>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</si>
  <si>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</si>
  <si>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</si>
  <si>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</si>
  <si>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</si>
  <si>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</si>
  <si>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</si>
  <si>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</si>
  <si>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</si>
  <si>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</si>
  <si>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</si>
  <si>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</si>
  <si>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</si>
  <si>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</si>
  <si>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</si>
  <si>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</si>
  <si>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</si>
  <si>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</si>
  <si>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</si>
  <si>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</si>
  <si>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</si>
  <si>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</si>
  <si>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</si>
  <si>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</si>
  <si>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</si>
  <si>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</si>
  <si>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</si>
  <si>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</si>
  <si>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</si>
  <si>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</si>
  <si>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</si>
  <si>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</si>
  <si>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</si>
  <si>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</si>
  <si>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</si>
  <si>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</si>
  <si>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</si>
  <si>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</si>
  <si>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</si>
  <si>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</si>
  <si>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</si>
  <si>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</si>
  <si>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</si>
  <si>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</si>
  <si>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</si>
  <si>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</si>
  <si>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</si>
  <si>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</si>
  <si>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</si>
  <si>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</si>
  <si>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</si>
  <si>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</si>
  <si>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</si>
  <si>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</si>
  <si>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</si>
  <si>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</si>
  <si>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</si>
  <si>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</si>
  <si>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</si>
  <si>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</si>
  <si>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</si>
  <si>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</si>
  <si>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</si>
  <si>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</si>
  <si>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</si>
  <si>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</si>
  <si>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</si>
  <si>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76</t>
  </si>
  <si>
    <t>79</t>
  </si>
  <si>
    <t>80</t>
  </si>
  <si>
    <t>81</t>
  </si>
  <si>
    <t>82</t>
  </si>
  <si>
    <t>83</t>
  </si>
  <si>
    <t>84</t>
  </si>
  <si>
    <t>OCAK</t>
  </si>
  <si>
    <r>
      <t xml:space="preserve">DAĞITIMCI ŞİRKETLER PERFORMANS LİGİ - </t>
    </r>
    <r>
      <rPr>
        <b/>
        <sz val="12"/>
        <color indexed="10"/>
        <rFont val="Arial"/>
        <family val="2"/>
      </rPr>
      <t>5</t>
    </r>
    <r>
      <rPr>
        <b/>
        <sz val="12"/>
        <color indexed="10"/>
        <rFont val="Arial"/>
        <family val="2"/>
      </rPr>
      <t>. HAFTA (KAPANIŞ) 27.01.-02.02.2012</t>
    </r>
  </si>
  <si>
    <t>İNCİR REÇELİ</t>
  </si>
  <si>
    <t>AA Film</t>
  </si>
  <si>
    <t>KURTLAR VADİSİ FİLİSTİN</t>
  </si>
  <si>
    <t>SHAME</t>
  </si>
  <si>
    <t>WE NEED TALK ABOUT KEVIN</t>
  </si>
  <si>
    <t>GÜZEL GÜNLER GÖRECEĞİZ</t>
  </si>
  <si>
    <t>WAR HORSE</t>
  </si>
  <si>
    <t>Disney</t>
  </si>
  <si>
    <t>SAVAŞ ATI</t>
  </si>
  <si>
    <t>UNDERWORLD: AWAKENING</t>
  </si>
  <si>
    <t>UTANÇ</t>
  </si>
  <si>
    <t>BBC Films</t>
  </si>
  <si>
    <t>KEVIN HAKKINDA KONUŞMALIYIZ</t>
  </si>
  <si>
    <t>Onaltıdokuz</t>
  </si>
  <si>
    <t xml:space="preserve">Ladybirds </t>
  </si>
  <si>
    <t>Screen Games</t>
  </si>
  <si>
    <t>KARANLIKLAR ÜLKESİ: UYANIŞ</t>
  </si>
  <si>
    <t>ÜNYE DE FATSA ARASI</t>
  </si>
  <si>
    <t>Esra Alkan</t>
  </si>
  <si>
    <r>
      <t xml:space="preserve">DAĞITIMCI ŞİRKETLER PERFORMANS LİGİ - </t>
    </r>
    <r>
      <rPr>
        <b/>
        <sz val="12"/>
        <color indexed="10"/>
        <rFont val="Arial"/>
        <family val="2"/>
      </rPr>
      <t>6</t>
    </r>
    <r>
      <rPr>
        <b/>
        <sz val="12"/>
        <color indexed="10"/>
        <rFont val="Arial"/>
        <family val="2"/>
      </rPr>
      <t>. HAFTA (KAPANIŞ) 03 - 09.02.2012</t>
    </r>
  </si>
  <si>
    <t>L'AGE DE RAISON</t>
  </si>
  <si>
    <t>NIGHT AT MUSEUM: BATTLE OF THE SMITHSONIAN</t>
  </si>
  <si>
    <t>MÜZEDE BİR GECE 2</t>
  </si>
  <si>
    <t>ZEFİR</t>
  </si>
  <si>
    <t>Filmik</t>
  </si>
  <si>
    <t>AŞKA FIRSAT VER</t>
  </si>
  <si>
    <t>Nord-Ouest</t>
  </si>
  <si>
    <t>EŞRUHUMUN EŞZAMANI</t>
  </si>
  <si>
    <t>AŞK TESADÜFLERİ SEVER</t>
  </si>
  <si>
    <t>KÖSTEBEK</t>
  </si>
  <si>
    <t>TINKER TAILOR SOLDIER SPY</t>
  </si>
  <si>
    <t>Studio Channel</t>
  </si>
  <si>
    <t>DRIVE</t>
  </si>
  <si>
    <t>Sıerra Affınıty</t>
  </si>
  <si>
    <t>SÜRÜCÜ</t>
  </si>
  <si>
    <t>MY WEEK WITH MARILY</t>
  </si>
  <si>
    <t>SAFE HOUSE</t>
  </si>
  <si>
    <t>THE HELP</t>
  </si>
  <si>
    <t>DÜŞMANINI KORURKEN</t>
  </si>
  <si>
    <t>DUYGULARIN RENGİ</t>
  </si>
  <si>
    <t>Intrepid Pictures</t>
  </si>
  <si>
    <t>Weinstein Company</t>
  </si>
  <si>
    <t>MARILYN İLE BİR HAFTA</t>
  </si>
  <si>
    <t>JACK AND JILL</t>
  </si>
  <si>
    <t>Broken Road Pictures</t>
  </si>
  <si>
    <t>JACK VE JILL</t>
  </si>
  <si>
    <t>YILDIZ SAVAŞLARI: BÖLÜM 1 - GİZLİ TEHLİKE</t>
  </si>
  <si>
    <t>STAR WARS: EPISODE I - THE PHANTOM MENACE</t>
  </si>
  <si>
    <t>ŞUBAT</t>
  </si>
  <si>
    <r>
      <t xml:space="preserve">DAĞITIMCI ŞİRKETLER PERFORMANS LİGİ - </t>
    </r>
    <r>
      <rPr>
        <b/>
        <sz val="12"/>
        <color indexed="10"/>
        <rFont val="Arial"/>
        <family val="2"/>
      </rPr>
      <t>7</t>
    </r>
    <r>
      <rPr>
        <b/>
        <sz val="12"/>
        <color indexed="10"/>
        <rFont val="Arial"/>
        <family val="2"/>
      </rPr>
      <t>. HAFTA (KAPANIŞ) 10 - 16.02.2012</t>
    </r>
  </si>
  <si>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</si>
  <si>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</si>
  <si>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</si>
  <si>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</si>
  <si>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</si>
  <si>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</si>
  <si>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</si>
  <si>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</si>
  <si>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</si>
  <si>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</si>
  <si>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</si>
  <si>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</si>
  <si>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Film-Clinic</t>
  </si>
  <si>
    <t>DNA Films</t>
  </si>
  <si>
    <t>MİKROFON</t>
  </si>
  <si>
    <t>Cinemateque</t>
  </si>
  <si>
    <t>Efti</t>
  </si>
  <si>
    <t>THE MUPPETS</t>
  </si>
  <si>
    <t>MUPPETS</t>
  </si>
  <si>
    <t>FETİH 1453</t>
  </si>
  <si>
    <t>Aksoy Film</t>
  </si>
  <si>
    <t>GHOST RIDER: THE SPIRIT OF VENGEANCE</t>
  </si>
  <si>
    <t>HAYALET SÜRÜCÜ 2</t>
  </si>
  <si>
    <r>
      <t xml:space="preserve">DAĞITIMCI ŞİRKETLER PERFORMANS LİGİ - </t>
    </r>
    <r>
      <rPr>
        <b/>
        <sz val="12"/>
        <color indexed="10"/>
        <rFont val="Arial"/>
        <family val="2"/>
      </rPr>
      <t>8</t>
    </r>
    <r>
      <rPr>
        <b/>
        <sz val="12"/>
        <color indexed="10"/>
        <rFont val="Arial"/>
        <family val="2"/>
      </rPr>
      <t>. HAFTA (KAPANIŞ) 17-23.02.2012</t>
    </r>
  </si>
  <si>
    <t>72. KOĞUŞ</t>
  </si>
  <si>
    <t>THE GOLDEN COMPASS</t>
  </si>
  <si>
    <t>BAŞKA DİLDE AŞK</t>
  </si>
  <si>
    <t>New Line</t>
  </si>
  <si>
    <t>Prr Prodüksiyon</t>
  </si>
  <si>
    <t>Sasin</t>
  </si>
  <si>
    <t>Altın Pusula</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</si>
  <si>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</si>
  <si>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</si>
  <si>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</si>
  <si>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</si>
  <si>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</si>
  <si>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</si>
  <si>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</si>
  <si>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</si>
  <si>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</si>
  <si>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</si>
  <si>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Fidelite</t>
  </si>
  <si>
    <t>Rhombus</t>
  </si>
  <si>
    <t>KILLER ELITE</t>
  </si>
  <si>
    <t>SEÇKİN TETİKÇİLER</t>
  </si>
  <si>
    <t>Omnilab</t>
  </si>
  <si>
    <t>ALTIN PUSULA</t>
  </si>
  <si>
    <t>HUGO</t>
  </si>
  <si>
    <t>HUGO CABRET</t>
  </si>
  <si>
    <t>THE DESCENDANTS</t>
  </si>
  <si>
    <t>SENDEN BANA KALAN</t>
  </si>
  <si>
    <r>
      <t xml:space="preserve">DAĞITIMCI ŞİRKETLER PERFORMANS LİGİ - </t>
    </r>
    <r>
      <rPr>
        <b/>
        <sz val="12"/>
        <color indexed="10"/>
        <rFont val="Arial"/>
        <family val="2"/>
      </rPr>
      <t>9</t>
    </r>
    <r>
      <rPr>
        <b/>
        <sz val="12"/>
        <color indexed="10"/>
        <rFont val="Arial"/>
        <family val="2"/>
      </rPr>
      <t>. HAFTA (KAPANIŞ) 24.02-01.03.2012</t>
    </r>
  </si>
  <si>
    <t>THE NEXT THREE DAYS</t>
  </si>
  <si>
    <t>KAÇIŞ PLANI</t>
  </si>
  <si>
    <t>Lions Gate</t>
  </si>
  <si>
    <t>THE EAGLE</t>
  </si>
  <si>
    <t>DEVRİMDEN SONRA</t>
  </si>
  <si>
    <t>ORLA FROSNAPPER - FREDDIE FROGFACE</t>
  </si>
  <si>
    <t>Crone Film</t>
  </si>
  <si>
    <t>AFACAN VE KURBAĞA SURAT</t>
  </si>
  <si>
    <t>KARTAL</t>
  </si>
  <si>
    <t>Toledo</t>
  </si>
  <si>
    <t>Nazım Hikmet K. M.</t>
  </si>
  <si>
    <t>YA SONRA</t>
  </si>
  <si>
    <t>278</t>
  </si>
  <si>
    <t>216</t>
  </si>
  <si>
    <t>Posta Film</t>
  </si>
  <si>
    <t>Canal +</t>
  </si>
  <si>
    <t>ASTERİKS VE OBURİKS: GÖREVİMİZ KLEOPATRA</t>
  </si>
  <si>
    <t>ASTERIX &amp; OBELIX: MISSION CLEOPATRA</t>
  </si>
  <si>
    <t>THIS MEANS WAR</t>
  </si>
  <si>
    <t>İYİ OLAN KAZANSIN</t>
  </si>
  <si>
    <t>Overbrook</t>
  </si>
  <si>
    <t>SEN KİMSİN?</t>
  </si>
  <si>
    <t>J. EDGAR</t>
  </si>
  <si>
    <t>Imagine</t>
  </si>
  <si>
    <t>MART</t>
  </si>
  <si>
    <r>
      <t xml:space="preserve">DAĞITIMCI ŞİRKETLER PERFORMANS LİGİ - </t>
    </r>
    <r>
      <rPr>
        <b/>
        <sz val="12"/>
        <color indexed="10"/>
        <rFont val="Arial"/>
        <family val="2"/>
      </rPr>
      <t>10</t>
    </r>
    <r>
      <rPr>
        <b/>
        <sz val="12"/>
        <color indexed="10"/>
        <rFont val="Arial"/>
        <family val="2"/>
      </rPr>
      <t>. HAFTA (KAPANIŞ) 02.03-08.03.2012</t>
    </r>
  </si>
  <si>
    <t>I AM LOVE</t>
  </si>
  <si>
    <t>BENİM ADIM AŞK</t>
  </si>
  <si>
    <t>THE STONING OF SORAYA M.</t>
  </si>
  <si>
    <t>SORAYA'YI TAŞLAMAK</t>
  </si>
  <si>
    <t>İrfan Film</t>
  </si>
  <si>
    <t>First Sun</t>
  </si>
  <si>
    <t>Kurmaca</t>
  </si>
  <si>
    <t>DBA Fest</t>
  </si>
  <si>
    <t>PANDORANIN KUTUSU</t>
  </si>
  <si>
    <t>SAKLI HAYATLAR</t>
  </si>
  <si>
    <t>ANOTHER YEAR</t>
  </si>
  <si>
    <t>ÖMRÜMÜZDEN BİR SENE</t>
  </si>
  <si>
    <t>JOURNEY 2: THE MEYSTERIOUS ISLAND</t>
  </si>
  <si>
    <t>GİZEMLİ ADAYA YOLCULUK</t>
  </si>
  <si>
    <t>Koliba</t>
  </si>
  <si>
    <t>TÜRKAN</t>
  </si>
  <si>
    <r>
      <t xml:space="preserve">Weekend / </t>
    </r>
    <r>
      <rPr>
        <b/>
        <sz val="20"/>
        <color indexed="9"/>
        <rFont val="Candara"/>
        <family val="2"/>
      </rPr>
      <t>11</t>
    </r>
    <r>
      <rPr>
        <b/>
        <sz val="20"/>
        <rFont val="Candara"/>
        <family val="2"/>
      </rPr>
      <t xml:space="preserve"> / Haftasonu: </t>
    </r>
    <r>
      <rPr>
        <b/>
        <u val="single"/>
        <sz val="20"/>
        <rFont val="Candara"/>
        <family val="2"/>
      </rPr>
      <t>09.11.03.2012</t>
    </r>
  </si>
  <si>
    <t>UN AMOUR DE JEUNESSE</t>
  </si>
  <si>
    <t>ELVEDA İLK AŞK</t>
  </si>
  <si>
    <t>SENİNKİ KAÇ PARA?</t>
  </si>
  <si>
    <t>THE WOMAN IN BLACK</t>
  </si>
  <si>
    <t>SİYAHLI KADIN</t>
  </si>
  <si>
    <t>DGB Medya</t>
  </si>
  <si>
    <t>Monk</t>
  </si>
  <si>
    <t>Excel</t>
  </si>
  <si>
    <t>MAX MACERALARI: KRALIN DOĞUŞU</t>
  </si>
  <si>
    <t>PADDLE POP ADVENTURES - MAX BEGINS</t>
  </si>
  <si>
    <t>TEXAS KILLNG FIELDS</t>
  </si>
  <si>
    <t>TEKSAS ÖLÜM TARLALARI</t>
  </si>
  <si>
    <t>Anchor Bay</t>
  </si>
  <si>
    <t>Ustaoğlu Film</t>
  </si>
  <si>
    <t>Drama İstanbul</t>
  </si>
  <si>
    <t>,</t>
  </si>
  <si>
    <t>JOHN CARTER</t>
  </si>
  <si>
    <t>JOHN CARTER İKİ DÜNYA ARASINDA</t>
  </si>
  <si>
    <r>
      <t xml:space="preserve">TÜRKİYE'S </t>
    </r>
    <r>
      <rPr>
        <b/>
        <u val="single"/>
        <sz val="40"/>
        <rFont val="Calibri"/>
        <family val="2"/>
      </rPr>
      <t>WEEKLY</t>
    </r>
    <r>
      <rPr>
        <b/>
        <sz val="40"/>
        <rFont val="Calibri"/>
        <family val="2"/>
      </rPr>
      <t xml:space="preserve"> MARKET DATA</t>
    </r>
  </si>
  <si>
    <r>
      <t xml:space="preserve">Week / </t>
    </r>
    <r>
      <rPr>
        <b/>
        <sz val="30"/>
        <color indexed="9"/>
        <rFont val="Candara"/>
        <family val="2"/>
      </rPr>
      <t xml:space="preserve">11 </t>
    </r>
    <r>
      <rPr>
        <b/>
        <sz val="30"/>
        <rFont val="Candara"/>
        <family val="2"/>
      </rPr>
      <t xml:space="preserve">/ Hafta: </t>
    </r>
    <r>
      <rPr>
        <b/>
        <u val="single"/>
        <sz val="30"/>
        <rFont val="Candara"/>
        <family val="2"/>
      </rPr>
      <t>09.-15.03.2012</t>
    </r>
  </si>
  <si>
    <r>
      <t xml:space="preserve">Week / </t>
    </r>
    <r>
      <rPr>
        <b/>
        <sz val="20"/>
        <color indexed="9"/>
        <rFont val="Candara"/>
        <family val="2"/>
      </rPr>
      <t>11</t>
    </r>
    <r>
      <rPr>
        <b/>
        <sz val="20"/>
        <rFont val="Candara"/>
        <family val="2"/>
      </rPr>
      <t xml:space="preserve"> / Hafta: </t>
    </r>
    <r>
      <rPr>
        <b/>
        <u val="single"/>
        <sz val="20"/>
        <rFont val="Candara"/>
        <family val="2"/>
      </rPr>
      <t>09.-15.03.2012</t>
    </r>
  </si>
  <si>
    <r>
      <t xml:space="preserve">2012'S EX YEARS RELASES - 2012'DE GÖSTERİLEN ÖNCEKİ YILLARIN VİZYON FİLMLERİ </t>
    </r>
    <r>
      <rPr>
        <b/>
        <sz val="10"/>
        <color indexed="10"/>
        <rFont val="Calibri"/>
        <family val="2"/>
      </rPr>
      <t>30.12.2011 - 15.03.2012</t>
    </r>
  </si>
  <si>
    <r>
      <t xml:space="preserve">DAĞITIMCI ŞİRKETLER PERFORMANS LİGİ - </t>
    </r>
    <r>
      <rPr>
        <b/>
        <sz val="12"/>
        <color indexed="10"/>
        <rFont val="Arial"/>
        <family val="2"/>
      </rPr>
      <t>12</t>
    </r>
    <r>
      <rPr>
        <b/>
        <sz val="12"/>
        <color indexed="10"/>
        <rFont val="Arial"/>
        <family val="2"/>
      </rPr>
      <t>. HAFTA (AÇILIŞ) 09.03.2012</t>
    </r>
  </si>
  <si>
    <r>
      <t xml:space="preserve">DAĞITIMCI ŞİRKETLER PERFORMANS LİGİ - </t>
    </r>
    <r>
      <rPr>
        <b/>
        <sz val="12"/>
        <color indexed="10"/>
        <rFont val="Arial"/>
        <family val="2"/>
      </rPr>
      <t>11</t>
    </r>
    <r>
      <rPr>
        <b/>
        <sz val="12"/>
        <color indexed="10"/>
        <rFont val="Arial"/>
        <family val="2"/>
      </rPr>
      <t>. HAFTA (KAPANIŞ) 09.03.-15.03.2012</t>
    </r>
  </si>
  <si>
    <r>
      <t xml:space="preserve">2012'DE TÜRKİYE YAPIMLARI GENEL SIRALAMA </t>
    </r>
    <r>
      <rPr>
        <b/>
        <sz val="11"/>
        <color indexed="10"/>
        <rFont val="Calibri"/>
        <family val="2"/>
      </rPr>
      <t>30.12.2011 - 15.03.2012</t>
    </r>
  </si>
  <si>
    <t>UN AMOUR DE JEUNESSE - GOODBYE FIRST LOVE</t>
  </si>
  <si>
    <t>ÇINAR AĞACI</t>
  </si>
  <si>
    <t>Yeni Yapım</t>
  </si>
  <si>
    <r>
      <t xml:space="preserve">2012'NİN YENİ VİZYONLARI GENEL SIRALAMA </t>
    </r>
    <r>
      <rPr>
        <b/>
        <sz val="10"/>
        <color indexed="10"/>
        <rFont val="Calibri"/>
        <family val="2"/>
      </rPr>
      <t>30.12.2011 - 15.03.2012</t>
    </r>
  </si>
  <si>
    <t>TEXAS KILLING FIELDS</t>
  </si>
  <si>
    <t>KOLPAÇİNO BOMBA</t>
  </si>
  <si>
    <t>121</t>
  </si>
  <si>
    <t>123</t>
  </si>
  <si>
    <t>3 AY</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</si>
</sst>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210">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0"/>
      <color indexed="10"/>
      <name val="Calibri"/>
      <family val="2"/>
    </font>
    <font>
      <sz val="12"/>
      <name val="Arial"/>
      <family val="2"/>
    </font>
    <font>
      <sz val="6"/>
      <name val="Calibri"/>
      <family val="2"/>
    </font>
    <font>
      <sz val="12"/>
      <name val="Calibri"/>
      <family val="2"/>
    </font>
    <font>
      <b/>
      <sz val="10"/>
      <name val="Calibri"/>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2"/>
      <color indexed="8"/>
      <name val="Calibri"/>
      <family val="2"/>
    </font>
    <font>
      <b/>
      <sz val="8"/>
      <color indexed="8"/>
      <name val="Calibri"/>
      <family val="2"/>
    </font>
    <font>
      <b/>
      <sz val="12"/>
      <color indexed="10"/>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sz val="14"/>
      <color indexed="9"/>
      <name val="Calibri"/>
      <family val="2"/>
    </font>
    <font>
      <sz val="14"/>
      <color indexed="10"/>
      <name val="Calibri"/>
      <family val="2"/>
    </font>
    <font>
      <b/>
      <sz val="10"/>
      <color indexed="8"/>
      <name val="Calibri"/>
      <family val="2"/>
    </font>
    <font>
      <sz val="10"/>
      <color indexed="9"/>
      <name val="Trebuchet MS"/>
      <family val="2"/>
    </font>
    <font>
      <sz val="10"/>
      <color indexed="10"/>
      <name val="Calibri"/>
      <family val="2"/>
    </font>
    <font>
      <b/>
      <sz val="8"/>
      <color indexed="10"/>
      <name val="Calibri"/>
      <family val="2"/>
    </font>
    <font>
      <b/>
      <sz val="12"/>
      <color indexed="9"/>
      <name val="Calibri"/>
      <family val="2"/>
    </font>
    <font>
      <b/>
      <sz val="50"/>
      <color indexed="49"/>
      <name val="Arial Black"/>
      <family val="2"/>
    </font>
    <font>
      <sz val="50"/>
      <color indexed="49"/>
      <name val="Arial"/>
      <family val="2"/>
    </font>
    <font>
      <b/>
      <sz val="10"/>
      <color indexed="9"/>
      <name val="Calibri"/>
      <family val="2"/>
    </font>
    <font>
      <b/>
      <sz val="14"/>
      <color indexed="10"/>
      <name val="Calibri"/>
      <family val="2"/>
    </font>
    <font>
      <b/>
      <sz val="10"/>
      <color indexed="10"/>
      <name val="Arial"/>
      <family val="2"/>
    </font>
    <font>
      <b/>
      <sz val="100"/>
      <color indexed="15"/>
      <name val="Calibri"/>
      <family val="2"/>
    </font>
    <font>
      <b/>
      <sz val="14"/>
      <color indexed="30"/>
      <name val="Calibri"/>
      <family val="2"/>
    </font>
    <font>
      <b/>
      <sz val="10"/>
      <color indexed="30"/>
      <name val="Arial"/>
      <family val="2"/>
    </font>
    <font>
      <b/>
      <sz val="14"/>
      <color indexed="62"/>
      <name val="Calibri"/>
      <family val="2"/>
    </font>
    <font>
      <b/>
      <sz val="10"/>
      <color indexed="62"/>
      <name val="Arial"/>
      <family val="2"/>
    </font>
    <font>
      <b/>
      <sz val="12"/>
      <color indexed="23"/>
      <name val="Arial"/>
      <family val="2"/>
    </font>
    <font>
      <sz val="12"/>
      <color indexed="23"/>
      <name val="Arial"/>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cidSansRegular"/>
      <family val="0"/>
    </font>
    <font>
      <b/>
      <sz val="16"/>
      <color indexed="8"/>
      <name val="Arial"/>
      <family val="2"/>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8"/>
      <name val="Trebuchet MS"/>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2"/>
      <color theme="1"/>
      <name val="Calibri"/>
      <family val="2"/>
    </font>
    <font>
      <b/>
      <sz val="8"/>
      <color theme="1"/>
      <name val="Calibri"/>
      <family val="2"/>
    </font>
    <font>
      <b/>
      <sz val="12"/>
      <color rgb="FFFF0000"/>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sz val="14"/>
      <color theme="0"/>
      <name val="Calibri"/>
      <family val="2"/>
    </font>
    <font>
      <sz val="14"/>
      <color rgb="FFFF0000"/>
      <name val="Calibri"/>
      <family val="2"/>
    </font>
    <font>
      <b/>
      <sz val="11"/>
      <color rgb="FFFF0000"/>
      <name val="Calibri"/>
      <family val="2"/>
    </font>
    <font>
      <b/>
      <sz val="10"/>
      <color theme="1"/>
      <name val="Calibri"/>
      <family val="2"/>
    </font>
    <font>
      <sz val="10"/>
      <color theme="0"/>
      <name val="Trebuchet MS"/>
      <family val="2"/>
    </font>
    <font>
      <sz val="10"/>
      <color rgb="FFFF0000"/>
      <name val="Calibri"/>
      <family val="2"/>
    </font>
    <font>
      <b/>
      <sz val="8"/>
      <color rgb="FFFF0000"/>
      <name val="Calibri"/>
      <family val="2"/>
    </font>
    <font>
      <b/>
      <sz val="12"/>
      <color rgb="FFFF0000"/>
      <name val="Arial"/>
      <family val="2"/>
    </font>
    <font>
      <b/>
      <sz val="12"/>
      <color theme="0"/>
      <name val="Calibri"/>
      <family val="2"/>
    </font>
    <font>
      <b/>
      <sz val="50"/>
      <color theme="8" tint="-0.24997000396251678"/>
      <name val="Arial Black"/>
      <family val="2"/>
    </font>
    <font>
      <sz val="50"/>
      <color theme="8" tint="-0.24997000396251678"/>
      <name val="Arial"/>
      <family val="2"/>
    </font>
    <font>
      <b/>
      <sz val="10"/>
      <color theme="0"/>
      <name val="Calibri"/>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4"/>
      <color rgb="FFFF0000"/>
      <name val="Calibri"/>
      <family val="2"/>
    </font>
    <font>
      <b/>
      <sz val="10"/>
      <color rgb="FFFF0000"/>
      <name val="Arial"/>
      <family val="2"/>
    </font>
    <font>
      <b/>
      <sz val="100"/>
      <color rgb="FF00B0F0"/>
      <name val="Calibri"/>
      <family val="2"/>
    </font>
    <font>
      <b/>
      <sz val="14"/>
      <color theme="3"/>
      <name val="Calibri"/>
      <family val="2"/>
    </font>
    <font>
      <b/>
      <sz val="10"/>
      <color theme="3"/>
      <name val="Arial"/>
      <family val="2"/>
    </font>
    <font>
      <b/>
      <sz val="12"/>
      <color theme="1" tint="0.49998000264167786"/>
      <name val="Arial"/>
      <family val="2"/>
    </font>
    <font>
      <sz val="12"/>
      <color theme="1" tint="0.49998000264167786"/>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indexed="17"/>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theme="4" tint="-0.4999699890613556"/>
        <bgColor indexed="64"/>
      </patternFill>
    </fill>
    <fill>
      <patternFill patternType="solid">
        <fgColor rgb="FF92D050"/>
        <bgColor indexed="64"/>
      </patternFill>
    </fill>
    <fill>
      <patternFill patternType="solid">
        <fgColor theme="2" tint="-0.7499799728393555"/>
        <bgColor indexed="64"/>
      </patternFill>
    </fill>
    <fill>
      <patternFill patternType="solid">
        <fgColor theme="6" tint="-0.24997000396251678"/>
        <bgColor indexed="64"/>
      </patternFill>
    </fill>
    <fill>
      <patternFill patternType="solid">
        <fgColor theme="1" tint="0.15000000596046448"/>
        <bgColor indexed="64"/>
      </patternFill>
    </fill>
    <fill>
      <patternFill patternType="solid">
        <fgColor theme="1" tint="0.3499900102615356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medium"/>
      <right>
        <color indexed="63"/>
      </right>
      <top>
        <color indexed="63"/>
      </top>
      <bottom style="hair"/>
    </border>
    <border>
      <left style="medium"/>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style="hair"/>
      <right style="medium"/>
      <top>
        <color indexed="63"/>
      </top>
      <bottom style="hair"/>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6" fillId="2" borderId="0" applyNumberFormat="0" applyBorder="0" applyAlignment="0" applyProtection="0"/>
    <xf numFmtId="0" fontId="156" fillId="3" borderId="0" applyNumberFormat="0" applyBorder="0" applyAlignment="0" applyProtection="0"/>
    <xf numFmtId="0" fontId="156" fillId="4" borderId="0" applyNumberFormat="0" applyBorder="0" applyAlignment="0" applyProtection="0"/>
    <xf numFmtId="0" fontId="156" fillId="5" borderId="0" applyNumberFormat="0" applyBorder="0" applyAlignment="0" applyProtection="0"/>
    <xf numFmtId="0" fontId="156" fillId="6"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9" borderId="0" applyNumberFormat="0" applyBorder="0" applyAlignment="0" applyProtection="0"/>
    <xf numFmtId="0" fontId="156" fillId="10" borderId="0" applyNumberFormat="0" applyBorder="0" applyAlignment="0" applyProtection="0"/>
    <xf numFmtId="0" fontId="156" fillId="11" borderId="0" applyNumberFormat="0" applyBorder="0" applyAlignment="0" applyProtection="0"/>
    <xf numFmtId="0" fontId="156" fillId="12" borderId="0" applyNumberFormat="0" applyBorder="0" applyAlignment="0" applyProtection="0"/>
    <xf numFmtId="0" fontId="156" fillId="13" borderId="0" applyNumberFormat="0" applyBorder="0" applyAlignment="0" applyProtection="0"/>
    <xf numFmtId="0" fontId="157" fillId="14" borderId="0" applyNumberFormat="0" applyBorder="0" applyAlignment="0" applyProtection="0"/>
    <xf numFmtId="0" fontId="157" fillId="15" borderId="0" applyNumberFormat="0" applyBorder="0" applyAlignment="0" applyProtection="0"/>
    <xf numFmtId="0" fontId="157" fillId="16"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60" fillId="0" borderId="1" applyNumberFormat="0" applyFill="0" applyAlignment="0" applyProtection="0"/>
    <xf numFmtId="0" fontId="161" fillId="0" borderId="2" applyNumberFormat="0" applyFill="0" applyAlignment="0" applyProtection="0"/>
    <xf numFmtId="0" fontId="162" fillId="0" borderId="3" applyNumberFormat="0" applyFill="0" applyAlignment="0" applyProtection="0"/>
    <xf numFmtId="0" fontId="163" fillId="0" borderId="4" applyNumberFormat="0" applyFill="0" applyAlignment="0" applyProtection="0"/>
    <xf numFmtId="0" fontId="1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4" fillId="20" borderId="5" applyNumberFormat="0" applyAlignment="0" applyProtection="0"/>
    <xf numFmtId="0" fontId="165" fillId="21" borderId="6" applyNumberFormat="0" applyAlignment="0" applyProtection="0"/>
    <xf numFmtId="0" fontId="166" fillId="20" borderId="6" applyNumberFormat="0" applyAlignment="0" applyProtection="0"/>
    <xf numFmtId="0" fontId="167" fillId="22" borderId="7" applyNumberFormat="0" applyAlignment="0" applyProtection="0"/>
    <xf numFmtId="0" fontId="16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7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1" fillId="0" borderId="9" applyNumberFormat="0" applyFill="0" applyAlignment="0" applyProtection="0"/>
    <xf numFmtId="0" fontId="172" fillId="0" borderId="0" applyNumberFormat="0" applyFill="0" applyBorder="0" applyAlignment="0" applyProtection="0"/>
    <xf numFmtId="0" fontId="157" fillId="27" borderId="0" applyNumberFormat="0" applyBorder="0" applyAlignment="0" applyProtection="0"/>
    <xf numFmtId="0" fontId="157" fillId="28" borderId="0" applyNumberFormat="0" applyBorder="0" applyAlignment="0" applyProtection="0"/>
    <xf numFmtId="0" fontId="157" fillId="29" borderId="0" applyNumberFormat="0" applyBorder="0" applyAlignment="0" applyProtection="0"/>
    <xf numFmtId="0" fontId="157" fillId="30" borderId="0" applyNumberFormat="0" applyBorder="0" applyAlignment="0" applyProtection="0"/>
    <xf numFmtId="0" fontId="157" fillId="31" borderId="0" applyNumberFormat="0" applyBorder="0" applyAlignment="0" applyProtection="0"/>
    <xf numFmtId="0" fontId="15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63">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0" fontId="11" fillId="7" borderId="17" xfId="58" applyFont="1" applyFill="1" applyBorder="1" applyAlignment="1">
      <alignment vertical="center"/>
      <protection/>
    </xf>
    <xf numFmtId="204" fontId="11" fillId="7"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7" borderId="17" xfId="0" applyFont="1" applyFill="1" applyBorder="1" applyAlignment="1" applyProtection="1">
      <alignment vertical="center"/>
      <protection locked="0"/>
    </xf>
    <xf numFmtId="0" fontId="11" fillId="7" borderId="17" xfId="0" applyNumberFormat="1" applyFont="1" applyFill="1" applyBorder="1" applyAlignment="1">
      <alignment vertical="center"/>
    </xf>
    <xf numFmtId="4" fontId="50"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0" fontId="51" fillId="33" borderId="0" xfId="0"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8" xfId="0" applyFont="1" applyFill="1" applyBorder="1" applyAlignment="1" applyProtection="1">
      <alignment horizontal="center"/>
      <protection/>
    </xf>
    <xf numFmtId="0" fontId="15" fillId="34" borderId="19" xfId="0" applyFont="1" applyFill="1" applyBorder="1" applyAlignment="1" applyProtection="1">
      <alignment horizontal="center"/>
      <protection/>
    </xf>
    <xf numFmtId="190" fontId="15" fillId="34" borderId="19" xfId="0" applyNumberFormat="1" applyFont="1" applyFill="1" applyBorder="1" applyAlignment="1" applyProtection="1">
      <alignment horizontal="center"/>
      <protection/>
    </xf>
    <xf numFmtId="0" fontId="15" fillId="35" borderId="19" xfId="0" applyFont="1" applyFill="1" applyBorder="1" applyAlignment="1" applyProtection="1">
      <alignment horizontal="center"/>
      <protection/>
    </xf>
    <xf numFmtId="4" fontId="15" fillId="35" borderId="19" xfId="0" applyNumberFormat="1" applyFont="1" applyFill="1" applyBorder="1" applyAlignment="1" applyProtection="1">
      <alignment horizontal="center"/>
      <protection/>
    </xf>
    <xf numFmtId="3" fontId="15" fillId="35" borderId="19" xfId="0" applyNumberFormat="1" applyFont="1" applyFill="1" applyBorder="1" applyAlignment="1" applyProtection="1">
      <alignment horizontal="center"/>
      <protection/>
    </xf>
    <xf numFmtId="4" fontId="20" fillId="35" borderId="19" xfId="0" applyNumberFormat="1" applyFont="1" applyFill="1" applyBorder="1" applyAlignment="1" applyProtection="1">
      <alignment horizontal="center"/>
      <protection/>
    </xf>
    <xf numFmtId="3" fontId="20" fillId="35" borderId="19" xfId="0" applyNumberFormat="1" applyFont="1" applyFill="1" applyBorder="1" applyAlignment="1" applyProtection="1">
      <alignment horizontal="center"/>
      <protection/>
    </xf>
    <xf numFmtId="4" fontId="15" fillId="35" borderId="19"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20"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1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7" fillId="34" borderId="21" xfId="0" applyFont="1" applyFill="1" applyBorder="1" applyAlignment="1" applyProtection="1">
      <alignment vertical="center"/>
      <protection/>
    </xf>
    <xf numFmtId="0" fontId="17" fillId="34" borderId="22" xfId="0" applyFont="1" applyFill="1" applyBorder="1" applyAlignment="1" applyProtection="1">
      <alignment vertical="center"/>
      <protection/>
    </xf>
    <xf numFmtId="3" fontId="45" fillId="8" borderId="23" xfId="0" applyNumberFormat="1" applyFont="1" applyFill="1" applyBorder="1" applyAlignment="1">
      <alignment vertical="center"/>
    </xf>
    <xf numFmtId="3" fontId="45" fillId="8" borderId="24"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5" xfId="0" applyNumberFormat="1" applyFont="1" applyFill="1" applyBorder="1" applyAlignment="1" applyProtection="1">
      <alignment horizontal="center" vertical="center" wrapText="1"/>
      <protection/>
    </xf>
    <xf numFmtId="4" fontId="15" fillId="34" borderId="26" xfId="0" applyNumberFormat="1" applyFont="1" applyFill="1" applyBorder="1" applyAlignment="1" applyProtection="1">
      <alignment horizontal="center" vertical="center" wrapText="1"/>
      <protection/>
    </xf>
    <xf numFmtId="4" fontId="15" fillId="35" borderId="27" xfId="0" applyNumberFormat="1" applyFont="1" applyFill="1" applyBorder="1" applyAlignment="1" applyProtection="1">
      <alignment horizontal="center" vertical="center" wrapText="1"/>
      <protection/>
    </xf>
    <xf numFmtId="0" fontId="94" fillId="0" borderId="0" xfId="0" applyFont="1" applyAlignment="1">
      <alignment horizontal="center"/>
    </xf>
    <xf numFmtId="0" fontId="94" fillId="0" borderId="0" xfId="0" applyFont="1" applyAlignment="1">
      <alignment horizontal="right"/>
    </xf>
    <xf numFmtId="190" fontId="94" fillId="0" borderId="0" xfId="0" applyNumberFormat="1" applyFont="1" applyAlignment="1">
      <alignment horizontal="right"/>
    </xf>
    <xf numFmtId="49" fontId="94" fillId="0" borderId="0" xfId="0" applyNumberFormat="1" applyFont="1" applyAlignment="1">
      <alignment horizontal="right"/>
    </xf>
    <xf numFmtId="4" fontId="94" fillId="0" borderId="0" xfId="0" applyNumberFormat="1" applyFont="1" applyAlignment="1">
      <alignment horizontal="right"/>
    </xf>
    <xf numFmtId="3" fontId="94" fillId="0" borderId="0" xfId="0" applyNumberFormat="1" applyFont="1" applyAlignment="1">
      <alignment horizontal="right"/>
    </xf>
    <xf numFmtId="0" fontId="25" fillId="11" borderId="28" xfId="0" applyFont="1" applyFill="1" applyBorder="1" applyAlignment="1">
      <alignment horizontal="center"/>
    </xf>
    <xf numFmtId="190" fontId="25" fillId="11" borderId="28" xfId="0" applyNumberFormat="1" applyFont="1" applyFill="1" applyBorder="1" applyAlignment="1">
      <alignment horizontal="center"/>
    </xf>
    <xf numFmtId="49" fontId="25" fillId="11" borderId="28" xfId="0" applyNumberFormat="1" applyFont="1" applyFill="1" applyBorder="1" applyAlignment="1">
      <alignment horizontal="center"/>
    </xf>
    <xf numFmtId="4" fontId="25" fillId="11" borderId="28" xfId="0" applyNumberFormat="1" applyFont="1" applyFill="1" applyBorder="1" applyAlignment="1">
      <alignment horizontal="center"/>
    </xf>
    <xf numFmtId="3" fontId="25" fillId="11" borderId="28" xfId="0" applyNumberFormat="1" applyFont="1" applyFill="1" applyBorder="1" applyAlignment="1">
      <alignment horizontal="center"/>
    </xf>
    <xf numFmtId="0" fontId="94" fillId="0" borderId="10" xfId="0" applyFont="1" applyBorder="1" applyAlignment="1">
      <alignment horizontal="right"/>
    </xf>
    <xf numFmtId="190" fontId="94" fillId="0" borderId="10" xfId="0" applyNumberFormat="1" applyFont="1" applyBorder="1" applyAlignment="1">
      <alignment horizontal="right"/>
    </xf>
    <xf numFmtId="49" fontId="94" fillId="0" borderId="10" xfId="0" applyNumberFormat="1" applyFont="1" applyBorder="1" applyAlignment="1">
      <alignment horizontal="right"/>
    </xf>
    <xf numFmtId="4" fontId="94" fillId="0" borderId="10" xfId="0" applyNumberFormat="1" applyFont="1" applyBorder="1" applyAlignment="1">
      <alignment horizontal="right"/>
    </xf>
    <xf numFmtId="3" fontId="94" fillId="0" borderId="10" xfId="0" applyNumberFormat="1" applyFont="1" applyBorder="1" applyAlignment="1">
      <alignment horizontal="right"/>
    </xf>
    <xf numFmtId="9" fontId="94"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4" fillId="16" borderId="28" xfId="0" applyFont="1" applyFill="1" applyBorder="1" applyAlignment="1">
      <alignment horizontal="right"/>
    </xf>
    <xf numFmtId="190" fontId="94" fillId="16" borderId="28" xfId="0" applyNumberFormat="1" applyFont="1" applyFill="1" applyBorder="1" applyAlignment="1">
      <alignment horizontal="right"/>
    </xf>
    <xf numFmtId="49" fontId="94" fillId="16" borderId="28" xfId="0" applyNumberFormat="1" applyFont="1" applyFill="1" applyBorder="1" applyAlignment="1">
      <alignment horizontal="right"/>
    </xf>
    <xf numFmtId="4" fontId="94" fillId="16" borderId="28" xfId="0" applyNumberFormat="1" applyFont="1" applyFill="1" applyBorder="1" applyAlignment="1">
      <alignment horizontal="right"/>
    </xf>
    <xf numFmtId="3" fontId="94" fillId="16" borderId="28" xfId="0" applyNumberFormat="1" applyFont="1" applyFill="1" applyBorder="1" applyAlignment="1">
      <alignment horizontal="right"/>
    </xf>
    <xf numFmtId="9" fontId="94" fillId="16" borderId="28" xfId="0" applyNumberFormat="1" applyFont="1" applyFill="1" applyBorder="1" applyAlignment="1">
      <alignment horizontal="right"/>
    </xf>
    <xf numFmtId="3" fontId="94" fillId="0" borderId="25" xfId="0" applyNumberFormat="1" applyFont="1" applyBorder="1" applyAlignment="1">
      <alignment horizontal="right"/>
    </xf>
    <xf numFmtId="3" fontId="94" fillId="16" borderId="29" xfId="0" applyNumberFormat="1" applyFont="1" applyFill="1" applyBorder="1" applyAlignment="1">
      <alignment horizontal="right"/>
    </xf>
    <xf numFmtId="4" fontId="94" fillId="0" borderId="30" xfId="0" applyNumberFormat="1" applyFont="1" applyBorder="1" applyAlignment="1">
      <alignment horizontal="right"/>
    </xf>
    <xf numFmtId="4" fontId="94" fillId="16" borderId="31"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73" fillId="37" borderId="0" xfId="0" applyFont="1" applyFill="1" applyAlignment="1">
      <alignment horizontal="center" vertical="center"/>
    </xf>
    <xf numFmtId="0" fontId="173"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74" fillId="37" borderId="0" xfId="0" applyFont="1" applyFill="1" applyAlignment="1">
      <alignment horizontal="center" vertical="center"/>
    </xf>
    <xf numFmtId="0" fontId="174" fillId="0" borderId="0" xfId="0" applyFont="1" applyAlignment="1">
      <alignment/>
    </xf>
    <xf numFmtId="2" fontId="174" fillId="37" borderId="0" xfId="0" applyNumberFormat="1" applyFont="1" applyFill="1" applyAlignment="1">
      <alignment horizontal="right"/>
    </xf>
    <xf numFmtId="0" fontId="174" fillId="0" borderId="0" xfId="0" applyFont="1" applyAlignment="1">
      <alignment horizontal="right"/>
    </xf>
    <xf numFmtId="0" fontId="174" fillId="37" borderId="11" xfId="0" applyFont="1" applyFill="1" applyBorder="1" applyAlignment="1">
      <alignment horizontal="center" vertical="center"/>
    </xf>
    <xf numFmtId="0" fontId="173" fillId="37" borderId="11" xfId="0" applyFont="1" applyFill="1" applyBorder="1" applyAlignment="1">
      <alignment horizontal="center" vertical="center"/>
    </xf>
    <xf numFmtId="0" fontId="173" fillId="37" borderId="11" xfId="0" applyFont="1" applyFill="1" applyBorder="1" applyAlignment="1">
      <alignment horizontal="center"/>
    </xf>
    <xf numFmtId="0" fontId="43" fillId="0" borderId="11" xfId="0" applyFont="1" applyBorder="1" applyAlignment="1">
      <alignment/>
    </xf>
    <xf numFmtId="2" fontId="174"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3"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3" fillId="36" borderId="0" xfId="0" applyFont="1" applyFill="1" applyAlignment="1">
      <alignment/>
    </xf>
    <xf numFmtId="0" fontId="63" fillId="36" borderId="0" xfId="0" applyFont="1" applyFill="1" applyAlignment="1">
      <alignment horizontal="center"/>
    </xf>
    <xf numFmtId="0" fontId="43" fillId="36" borderId="11" xfId="0" applyFont="1" applyFill="1" applyBorder="1" applyAlignment="1">
      <alignment/>
    </xf>
    <xf numFmtId="0" fontId="63" fillId="36" borderId="11" xfId="0" applyFont="1" applyFill="1" applyBorder="1" applyAlignment="1">
      <alignment horizontal="center"/>
    </xf>
    <xf numFmtId="2" fontId="43" fillId="39" borderId="11" xfId="0" applyNumberFormat="1" applyFont="1" applyFill="1" applyBorder="1" applyAlignment="1">
      <alignment/>
    </xf>
    <xf numFmtId="0" fontId="175" fillId="38" borderId="0" xfId="0" applyFont="1" applyFill="1" applyAlignment="1">
      <alignment horizontal="left"/>
    </xf>
    <xf numFmtId="0" fontId="175" fillId="36" borderId="0" xfId="0" applyFont="1" applyFill="1" applyAlignment="1">
      <alignment horizontal="left"/>
    </xf>
    <xf numFmtId="0" fontId="175" fillId="38" borderId="0" xfId="0" applyFont="1" applyFill="1" applyAlignment="1" applyProtection="1">
      <alignment horizontal="left" vertical="center"/>
      <protection locked="0"/>
    </xf>
    <xf numFmtId="0" fontId="175" fillId="36" borderId="11" xfId="0" applyFont="1" applyFill="1" applyBorder="1" applyAlignment="1">
      <alignment horizontal="left"/>
    </xf>
    <xf numFmtId="0" fontId="67" fillId="38" borderId="0" xfId="0" applyFont="1" applyFill="1" applyAlignment="1">
      <alignment horizontal="left"/>
    </xf>
    <xf numFmtId="0" fontId="67" fillId="36" borderId="0" xfId="0" applyFont="1" applyFill="1" applyAlignment="1">
      <alignment horizontal="left"/>
    </xf>
    <xf numFmtId="0" fontId="67" fillId="38" borderId="0" xfId="0" applyFont="1" applyFill="1" applyAlignment="1" applyProtection="1">
      <alignment horizontal="left" vertical="center"/>
      <protection locked="0"/>
    </xf>
    <xf numFmtId="0" fontId="67" fillId="36" borderId="11" xfId="0" applyFont="1" applyFill="1" applyBorder="1" applyAlignment="1">
      <alignment horizontal="left"/>
    </xf>
    <xf numFmtId="0" fontId="176" fillId="38" borderId="0" xfId="0" applyFont="1" applyFill="1" applyAlignment="1">
      <alignment/>
    </xf>
    <xf numFmtId="0" fontId="176" fillId="0" borderId="0" xfId="0" applyFont="1" applyAlignment="1">
      <alignment/>
    </xf>
    <xf numFmtId="0" fontId="177" fillId="38" borderId="0" xfId="0" applyFont="1" applyFill="1" applyAlignment="1">
      <alignment/>
    </xf>
    <xf numFmtId="0" fontId="177" fillId="0" borderId="0" xfId="0" applyFont="1" applyAlignment="1">
      <alignment/>
    </xf>
    <xf numFmtId="0" fontId="178" fillId="38" borderId="0" xfId="0" applyFont="1" applyFill="1" applyAlignment="1">
      <alignment/>
    </xf>
    <xf numFmtId="0" fontId="176" fillId="36" borderId="0" xfId="0" applyFont="1" applyFill="1" applyAlignment="1">
      <alignment/>
    </xf>
    <xf numFmtId="0" fontId="178"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1" applyNumberFormat="1" applyFont="1" applyFill="1" applyBorder="1" applyAlignment="1" applyProtection="1">
      <alignment vertical="center"/>
      <protection/>
    </xf>
    <xf numFmtId="4" fontId="45" fillId="35" borderId="11" xfId="71" applyNumberFormat="1" applyFont="1" applyFill="1" applyBorder="1" applyAlignment="1" applyProtection="1">
      <alignment vertical="center"/>
      <protection/>
    </xf>
    <xf numFmtId="192" fontId="45" fillId="35" borderId="11" xfId="71"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1" applyNumberFormat="1" applyFont="1" applyFill="1" applyBorder="1" applyAlignment="1" applyProtection="1">
      <alignment vertical="center"/>
      <protection/>
    </xf>
    <xf numFmtId="3" fontId="11" fillId="35" borderId="11" xfId="71" applyNumberFormat="1" applyFont="1" applyFill="1" applyBorder="1" applyAlignment="1" applyProtection="1">
      <alignment vertical="center"/>
      <protection/>
    </xf>
    <xf numFmtId="4" fontId="11" fillId="35" borderId="11" xfId="71"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33" fillId="36" borderId="17" xfId="0" applyNumberFormat="1" applyFont="1" applyFill="1" applyBorder="1" applyAlignment="1" applyProtection="1">
      <alignment horizontal="center" vertical="center"/>
      <protection/>
    </xf>
    <xf numFmtId="0" fontId="45" fillId="7" borderId="17" xfId="0" applyNumberFormat="1" applyFont="1" applyFill="1" applyBorder="1" applyAlignment="1" applyProtection="1">
      <alignment vertical="center"/>
      <protection locked="0"/>
    </xf>
    <xf numFmtId="0" fontId="179" fillId="36" borderId="17" xfId="0" applyNumberFormat="1" applyFont="1" applyFill="1" applyBorder="1" applyAlignment="1" applyProtection="1">
      <alignment horizontal="center" vertical="center"/>
      <protection/>
    </xf>
    <xf numFmtId="0" fontId="45" fillId="7" borderId="17" xfId="0" applyNumberFormat="1" applyFont="1" applyFill="1" applyBorder="1" applyAlignment="1">
      <alignment vertical="center"/>
    </xf>
    <xf numFmtId="0" fontId="33" fillId="40" borderId="17" xfId="0" applyNumberFormat="1" applyFont="1" applyFill="1" applyBorder="1" applyAlignment="1" applyProtection="1">
      <alignment horizontal="center" vertical="center"/>
      <protection/>
    </xf>
    <xf numFmtId="204" fontId="45" fillId="7" borderId="17" xfId="0" applyNumberFormat="1" applyFont="1" applyFill="1" applyBorder="1" applyAlignment="1">
      <alignment vertical="center"/>
    </xf>
    <xf numFmtId="0" fontId="179" fillId="41" borderId="17" xfId="0" applyNumberFormat="1" applyFont="1" applyFill="1" applyBorder="1" applyAlignment="1" applyProtection="1">
      <alignment horizontal="center" vertical="center"/>
      <protection/>
    </xf>
    <xf numFmtId="0" fontId="45" fillId="7" borderId="17" xfId="0" applyFont="1" applyFill="1" applyBorder="1" applyAlignment="1" applyProtection="1">
      <alignment vertical="center"/>
      <protection locked="0"/>
    </xf>
    <xf numFmtId="0" fontId="45" fillId="7" borderId="17" xfId="0" applyFont="1" applyFill="1" applyBorder="1" applyAlignment="1">
      <alignment vertical="center"/>
    </xf>
    <xf numFmtId="0" fontId="45" fillId="7" borderId="17" xfId="0" applyNumberFormat="1" applyFont="1" applyFill="1" applyBorder="1" applyAlignment="1" applyProtection="1">
      <alignment vertical="center"/>
      <protection/>
    </xf>
    <xf numFmtId="0" fontId="45" fillId="7" borderId="17" xfId="58" applyFont="1" applyFill="1" applyBorder="1" applyAlignment="1">
      <alignment vertical="center"/>
      <protection/>
    </xf>
    <xf numFmtId="0" fontId="11" fillId="0" borderId="17" xfId="0" applyNumberFormat="1" applyFont="1" applyFill="1" applyBorder="1" applyAlignment="1" applyProtection="1">
      <alignment horizontal="right" vertical="center"/>
      <protection locked="0"/>
    </xf>
    <xf numFmtId="4" fontId="11" fillId="0" borderId="17" xfId="0" applyNumberFormat="1"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3" fontId="11" fillId="0" borderId="17" xfId="0" applyNumberFormat="1" applyFont="1" applyFill="1" applyBorder="1" applyAlignment="1">
      <alignment horizontal="right" vertical="center"/>
    </xf>
    <xf numFmtId="190" fontId="11" fillId="0" borderId="17" xfId="0" applyNumberFormat="1" applyFont="1" applyFill="1" applyBorder="1" applyAlignment="1" applyProtection="1">
      <alignment horizontal="center" vertical="center"/>
      <protection/>
    </xf>
    <xf numFmtId="0" fontId="11" fillId="7" borderId="32" xfId="0" applyNumberFormat="1" applyFont="1" applyFill="1" applyBorder="1" applyAlignment="1" applyProtection="1">
      <alignment vertical="center"/>
      <protection/>
    </xf>
    <xf numFmtId="190" fontId="11" fillId="7" borderId="17" xfId="0" applyNumberFormat="1" applyFont="1" applyFill="1" applyBorder="1" applyAlignment="1" applyProtection="1">
      <alignment horizontal="center" vertical="center"/>
      <protection locked="0"/>
    </xf>
    <xf numFmtId="190" fontId="11" fillId="7" borderId="17" xfId="0" applyNumberFormat="1" applyFont="1" applyFill="1" applyBorder="1" applyAlignment="1" applyProtection="1">
      <alignment horizontal="center" vertical="center"/>
      <protection/>
    </xf>
    <xf numFmtId="0" fontId="179" fillId="42" borderId="17" xfId="0" applyNumberFormat="1" applyFont="1" applyFill="1" applyBorder="1" applyAlignment="1" applyProtection="1">
      <alignment horizontal="center" vertical="center"/>
      <protection/>
    </xf>
    <xf numFmtId="0" fontId="179" fillId="43" borderId="17" xfId="0" applyNumberFormat="1" applyFont="1" applyFill="1" applyBorder="1" applyAlignment="1" applyProtection="1">
      <alignment horizontal="center" vertical="center"/>
      <protection/>
    </xf>
    <xf numFmtId="0" fontId="33" fillId="44" borderId="17" xfId="0" applyNumberFormat="1" applyFont="1" applyFill="1" applyBorder="1" applyAlignment="1" applyProtection="1">
      <alignment horizontal="center" vertical="center"/>
      <protection/>
    </xf>
    <xf numFmtId="0" fontId="33" fillId="45" borderId="17" xfId="0" applyNumberFormat="1" applyFont="1" applyFill="1" applyBorder="1" applyAlignment="1" applyProtection="1">
      <alignment horizontal="center" vertical="center"/>
      <protection/>
    </xf>
    <xf numFmtId="0" fontId="33" fillId="46" borderId="17" xfId="0" applyNumberFormat="1" applyFont="1" applyFill="1" applyBorder="1" applyAlignment="1" applyProtection="1">
      <alignment horizontal="center" vertical="center"/>
      <protection/>
    </xf>
    <xf numFmtId="0" fontId="179" fillId="47" borderId="17" xfId="0" applyNumberFormat="1" applyFont="1" applyFill="1" applyBorder="1" applyAlignment="1" applyProtection="1">
      <alignment horizontal="center" vertical="center"/>
      <protection/>
    </xf>
    <xf numFmtId="0" fontId="179" fillId="48" borderId="17" xfId="0" applyNumberFormat="1" applyFont="1" applyFill="1" applyBorder="1" applyAlignment="1" applyProtection="1">
      <alignment horizontal="center" vertical="center"/>
      <protection/>
    </xf>
    <xf numFmtId="2" fontId="0" fillId="0" borderId="0" xfId="0" applyNumberFormat="1" applyFont="1" applyAlignment="1">
      <alignment/>
    </xf>
    <xf numFmtId="0" fontId="176" fillId="38" borderId="11" xfId="0" applyFont="1" applyFill="1" applyBorder="1" applyAlignment="1">
      <alignment/>
    </xf>
    <xf numFmtId="0" fontId="67" fillId="38" borderId="11" xfId="0" applyFont="1" applyFill="1" applyBorder="1" applyAlignment="1">
      <alignment horizontal="left"/>
    </xf>
    <xf numFmtId="0" fontId="178" fillId="36" borderId="0" xfId="0" applyFont="1" applyFill="1" applyAlignment="1">
      <alignment/>
    </xf>
    <xf numFmtId="0" fontId="43" fillId="0" borderId="0" xfId="0" applyFont="1" applyBorder="1" applyAlignment="1">
      <alignment/>
    </xf>
    <xf numFmtId="0" fontId="67" fillId="36" borderId="0" xfId="0" applyFont="1" applyFill="1" applyBorder="1" applyAlignment="1">
      <alignment horizontal="left"/>
    </xf>
    <xf numFmtId="0" fontId="0" fillId="0" borderId="0" xfId="0" applyFont="1" applyBorder="1" applyAlignment="1">
      <alignment horizontal="center"/>
    </xf>
    <xf numFmtId="0" fontId="63" fillId="0" borderId="0" xfId="0" applyFont="1" applyBorder="1" applyAlignment="1">
      <alignment/>
    </xf>
    <xf numFmtId="0" fontId="174" fillId="0" borderId="0" xfId="0" applyFont="1" applyBorder="1" applyAlignment="1">
      <alignment/>
    </xf>
    <xf numFmtId="0" fontId="0" fillId="0" borderId="0" xfId="0" applyBorder="1" applyAlignment="1">
      <alignment/>
    </xf>
    <xf numFmtId="2" fontId="174" fillId="37" borderId="0" xfId="0" applyNumberFormat="1" applyFont="1" applyFill="1" applyAlignment="1">
      <alignment/>
    </xf>
    <xf numFmtId="0" fontId="43" fillId="38" borderId="11" xfId="0" applyFont="1" applyFill="1" applyBorder="1" applyAlignment="1">
      <alignment/>
    </xf>
    <xf numFmtId="2" fontId="174"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4" fillId="0" borderId="28" xfId="0" applyFont="1" applyBorder="1" applyAlignment="1">
      <alignment horizontal="right"/>
    </xf>
    <xf numFmtId="190" fontId="94" fillId="0" borderId="28" xfId="0" applyNumberFormat="1" applyFont="1" applyBorder="1" applyAlignment="1">
      <alignment horizontal="right"/>
    </xf>
    <xf numFmtId="49" fontId="94" fillId="0" borderId="28" xfId="0" applyNumberFormat="1" applyFont="1" applyBorder="1" applyAlignment="1">
      <alignment horizontal="right"/>
    </xf>
    <xf numFmtId="4" fontId="94" fillId="0" borderId="28" xfId="0" applyNumberFormat="1" applyFont="1" applyBorder="1" applyAlignment="1">
      <alignment horizontal="right"/>
    </xf>
    <xf numFmtId="3" fontId="94" fillId="0" borderId="28" xfId="0" applyNumberFormat="1" applyFont="1" applyBorder="1" applyAlignment="1">
      <alignment horizontal="right"/>
    </xf>
    <xf numFmtId="9" fontId="94" fillId="0" borderId="28" xfId="0" applyNumberFormat="1" applyFont="1" applyBorder="1" applyAlignment="1">
      <alignment horizontal="right"/>
    </xf>
    <xf numFmtId="0" fontId="94" fillId="0" borderId="28" xfId="0" applyFont="1" applyBorder="1" applyAlignment="1">
      <alignment horizontal="center"/>
    </xf>
    <xf numFmtId="0" fontId="11" fillId="7" borderId="32" xfId="0" applyFont="1" applyFill="1" applyBorder="1" applyAlignment="1">
      <alignment vertical="center"/>
    </xf>
    <xf numFmtId="0" fontId="68" fillId="0" borderId="0" xfId="0" applyFont="1" applyFill="1" applyBorder="1" applyAlignment="1" applyProtection="1">
      <alignment horizontal="center" vertical="center"/>
      <protection/>
    </xf>
    <xf numFmtId="0" fontId="69" fillId="49" borderId="0" xfId="0" applyFont="1" applyFill="1" applyBorder="1" applyAlignment="1" applyProtection="1">
      <alignment horizontal="center" vertical="center"/>
      <protection/>
    </xf>
    <xf numFmtId="0" fontId="11" fillId="7" borderId="17" xfId="0" applyFont="1" applyFill="1" applyBorder="1" applyAlignment="1">
      <alignment horizontal="right" vertical="center"/>
    </xf>
    <xf numFmtId="0" fontId="11" fillId="7" borderId="17" xfId="0" applyFont="1" applyFill="1" applyBorder="1" applyAlignment="1" applyProtection="1">
      <alignment horizontal="right" vertical="center"/>
      <protection locked="0"/>
    </xf>
    <xf numFmtId="1" fontId="11" fillId="7" borderId="17" xfId="0" applyNumberFormat="1" applyFont="1" applyFill="1" applyBorder="1" applyAlignment="1">
      <alignment horizontal="right"/>
    </xf>
    <xf numFmtId="0" fontId="11" fillId="7" borderId="17" xfId="0" applyNumberFormat="1" applyFont="1" applyFill="1" applyBorder="1" applyAlignment="1" applyProtection="1">
      <alignment horizontal="right" vertical="center"/>
      <protection locked="0"/>
    </xf>
    <xf numFmtId="0" fontId="11" fillId="7" borderId="17" xfId="0" applyFont="1" applyFill="1" applyBorder="1" applyAlignment="1">
      <alignment vertical="center"/>
    </xf>
    <xf numFmtId="0" fontId="11" fillId="0" borderId="17" xfId="0" applyFont="1" applyFill="1" applyBorder="1" applyAlignment="1">
      <alignment vertical="center"/>
    </xf>
    <xf numFmtId="4" fontId="11" fillId="0" borderId="17" xfId="43" applyNumberFormat="1" applyFont="1" applyFill="1" applyBorder="1" applyAlignment="1" applyProtection="1">
      <alignment vertical="center"/>
      <protection/>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36" borderId="17" xfId="0" applyNumberFormat="1" applyFont="1" applyFill="1" applyBorder="1" applyAlignment="1">
      <alignment vertical="center"/>
    </xf>
    <xf numFmtId="3" fontId="11" fillId="36" borderId="17" xfId="0" applyNumberFormat="1" applyFont="1" applyFill="1" applyBorder="1" applyAlignment="1">
      <alignment vertical="center"/>
    </xf>
    <xf numFmtId="190" fontId="11" fillId="0" borderId="17" xfId="0" applyNumberFormat="1"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4" fontId="11" fillId="0" borderId="17" xfId="43"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xf>
    <xf numFmtId="1" fontId="11" fillId="7" borderId="17" xfId="0" applyNumberFormat="1" applyFont="1" applyFill="1" applyBorder="1" applyAlignment="1">
      <alignment vertical="center"/>
    </xf>
    <xf numFmtId="1"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0" fontId="11" fillId="7" borderId="17" xfId="0" applyFont="1" applyFill="1" applyBorder="1" applyAlignment="1" applyProtection="1">
      <alignment vertical="center"/>
      <protection locked="0"/>
    </xf>
    <xf numFmtId="4" fontId="11" fillId="0" borderId="17" xfId="44" applyNumberFormat="1" applyFont="1" applyFill="1" applyBorder="1" applyAlignment="1" applyProtection="1">
      <alignment vertical="center"/>
      <protection locked="0"/>
    </xf>
    <xf numFmtId="3" fontId="11" fillId="0" borderId="17" xfId="44" applyNumberFormat="1" applyFont="1" applyFill="1" applyBorder="1" applyAlignment="1" applyProtection="1">
      <alignment vertical="center"/>
      <protection locked="0"/>
    </xf>
    <xf numFmtId="0" fontId="11" fillId="7" borderId="17" xfId="0" applyNumberFormat="1" applyFont="1" applyFill="1" applyBorder="1" applyAlignment="1">
      <alignment vertical="center"/>
    </xf>
    <xf numFmtId="0" fontId="180" fillId="7" borderId="17" xfId="0" applyFont="1" applyFill="1" applyBorder="1" applyAlignment="1">
      <alignment vertical="center"/>
    </xf>
    <xf numFmtId="0" fontId="43" fillId="36" borderId="0" xfId="0" applyFont="1" applyFill="1" applyBorder="1" applyAlignment="1">
      <alignment/>
    </xf>
    <xf numFmtId="2" fontId="174"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81" fillId="0" borderId="0" xfId="0" applyFont="1" applyAlignment="1">
      <alignment horizontal="center"/>
    </xf>
    <xf numFmtId="0" fontId="182" fillId="7" borderId="17" xfId="0" applyNumberFormat="1" applyFont="1" applyFill="1" applyBorder="1" applyAlignment="1" applyProtection="1">
      <alignment vertical="center"/>
      <protection locked="0"/>
    </xf>
    <xf numFmtId="0" fontId="182" fillId="7" borderId="17" xfId="0" applyFont="1" applyFill="1" applyBorder="1" applyAlignment="1">
      <alignment vertical="center"/>
    </xf>
    <xf numFmtId="0" fontId="182" fillId="7" borderId="17" xfId="0" applyNumberFormat="1" applyFont="1" applyFill="1" applyBorder="1" applyAlignment="1">
      <alignment vertical="center"/>
    </xf>
    <xf numFmtId="0" fontId="33" fillId="0" borderId="20" xfId="0" applyFont="1" applyBorder="1" applyAlignment="1">
      <alignment horizontal="center"/>
    </xf>
    <xf numFmtId="0" fontId="11" fillId="7" borderId="32" xfId="0" applyFont="1" applyFill="1" applyBorder="1" applyAlignment="1" applyProtection="1">
      <alignment vertical="center"/>
      <protection/>
    </xf>
    <xf numFmtId="0" fontId="11" fillId="0" borderId="32" xfId="0" applyFont="1" applyFill="1" applyBorder="1" applyAlignment="1">
      <alignment vertical="center"/>
    </xf>
    <xf numFmtId="0" fontId="11" fillId="0" borderId="17" xfId="0" applyFont="1" applyFill="1" applyBorder="1" applyAlignment="1">
      <alignment horizontal="right" vertical="center" shrinkToFit="1"/>
    </xf>
    <xf numFmtId="4" fontId="11" fillId="36" borderId="17" xfId="43" applyNumberFormat="1" applyFont="1" applyFill="1" applyBorder="1" applyAlignment="1" applyProtection="1">
      <alignment horizontal="right" vertical="center"/>
      <protection locked="0"/>
    </xf>
    <xf numFmtId="3" fontId="11" fillId="36" borderId="17" xfId="43" applyNumberFormat="1" applyFont="1" applyFill="1" applyBorder="1" applyAlignment="1" applyProtection="1">
      <alignment horizontal="right" vertical="center"/>
      <protection locked="0"/>
    </xf>
    <xf numFmtId="190" fontId="11" fillId="36" borderId="17" xfId="0" applyNumberFormat="1" applyFont="1" applyFill="1" applyBorder="1" applyAlignment="1" applyProtection="1">
      <alignment horizontal="center" vertical="center"/>
      <protection/>
    </xf>
    <xf numFmtId="3" fontId="11" fillId="36" borderId="17" xfId="0" applyNumberFormat="1" applyFont="1" applyFill="1" applyBorder="1" applyAlignment="1">
      <alignment horizontal="right"/>
    </xf>
    <xf numFmtId="0" fontId="182" fillId="7" borderId="17" xfId="0" applyFont="1" applyFill="1" applyBorder="1" applyAlignment="1" applyProtection="1">
      <alignment vertical="center"/>
      <protection locked="0"/>
    </xf>
    <xf numFmtId="1" fontId="11" fillId="0" borderId="17" xfId="0" applyNumberFormat="1" applyFont="1" applyFill="1" applyBorder="1" applyAlignment="1">
      <alignment horizontal="right"/>
    </xf>
    <xf numFmtId="0" fontId="11" fillId="49" borderId="17" xfId="0" applyFont="1" applyFill="1" applyBorder="1" applyAlignment="1">
      <alignment vertical="center"/>
    </xf>
    <xf numFmtId="204" fontId="182" fillId="7" borderId="17" xfId="0" applyNumberFormat="1" applyFont="1" applyFill="1" applyBorder="1" applyAlignment="1">
      <alignment vertical="center"/>
    </xf>
    <xf numFmtId="0" fontId="183" fillId="7" borderId="17" xfId="0" applyFont="1" applyFill="1" applyBorder="1" applyAlignment="1">
      <alignment vertical="center"/>
    </xf>
    <xf numFmtId="0" fontId="182" fillId="7" borderId="17" xfId="0" applyNumberFormat="1" applyFont="1" applyFill="1" applyBorder="1" applyAlignment="1" applyProtection="1">
      <alignment vertical="center"/>
      <protection/>
    </xf>
    <xf numFmtId="3" fontId="11" fillId="36" borderId="17" xfId="44" applyNumberFormat="1" applyFont="1" applyFill="1" applyBorder="1" applyAlignment="1" applyProtection="1">
      <alignment horizontal="right" vertical="center"/>
      <protection locked="0"/>
    </xf>
    <xf numFmtId="0" fontId="182" fillId="7" borderId="17" xfId="0" applyFont="1" applyFill="1" applyBorder="1" applyAlignment="1">
      <alignment vertical="center"/>
    </xf>
    <xf numFmtId="3" fontId="11" fillId="36" borderId="17" xfId="0" applyNumberFormat="1" applyFont="1" applyFill="1" applyBorder="1" applyAlignment="1">
      <alignment horizontal="right" vertical="center"/>
    </xf>
    <xf numFmtId="0" fontId="9" fillId="33" borderId="17" xfId="0" applyFont="1" applyFill="1" applyBorder="1" applyAlignment="1" applyProtection="1">
      <alignment horizontal="left" vertical="center"/>
      <protection/>
    </xf>
    <xf numFmtId="0" fontId="33" fillId="0" borderId="0" xfId="0" applyFont="1" applyAlignment="1">
      <alignment horizontal="center" wrapText="1"/>
    </xf>
    <xf numFmtId="0" fontId="33" fillId="0" borderId="0" xfId="0" applyFont="1" applyAlignment="1">
      <alignment horizontal="center"/>
    </xf>
    <xf numFmtId="0" fontId="184" fillId="33" borderId="17"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4" fillId="36" borderId="17" xfId="0" applyNumberFormat="1" applyFont="1" applyFill="1" applyBorder="1" applyAlignment="1" applyProtection="1">
      <alignment horizontal="center" vertical="center"/>
      <protection/>
    </xf>
    <xf numFmtId="0" fontId="184" fillId="0" borderId="17" xfId="0" applyNumberFormat="1" applyFont="1" applyFill="1" applyBorder="1" applyAlignment="1" applyProtection="1">
      <alignment horizontal="center" vertical="center"/>
      <protection/>
    </xf>
    <xf numFmtId="0" fontId="184" fillId="43" borderId="17" xfId="0" applyNumberFormat="1" applyFont="1" applyFill="1" applyBorder="1" applyAlignment="1" applyProtection="1">
      <alignment horizontal="center" vertical="center"/>
      <protection/>
    </xf>
    <xf numFmtId="0" fontId="184" fillId="50" borderId="17" xfId="0" applyNumberFormat="1" applyFont="1" applyFill="1" applyBorder="1" applyAlignment="1" applyProtection="1">
      <alignment horizontal="center" vertical="center"/>
      <protection/>
    </xf>
    <xf numFmtId="0" fontId="184" fillId="41"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0" fontId="185" fillId="36" borderId="17" xfId="0" applyFont="1" applyFill="1" applyBorder="1" applyAlignment="1" applyProtection="1">
      <alignment horizontal="center" vertical="center"/>
      <protection/>
    </xf>
    <xf numFmtId="0" fontId="185" fillId="33" borderId="17" xfId="0"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71" fillId="46"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85" fillId="0" borderId="17" xfId="0" applyFont="1" applyFill="1" applyBorder="1" applyAlignment="1" applyProtection="1">
      <alignment horizontal="center" vertical="center"/>
      <protection/>
    </xf>
    <xf numFmtId="0" fontId="71" fillId="40" borderId="17" xfId="0" applyNumberFormat="1" applyFont="1" applyFill="1" applyBorder="1" applyAlignment="1" applyProtection="1">
      <alignment horizontal="center" vertical="center"/>
      <protection/>
    </xf>
    <xf numFmtId="0" fontId="71" fillId="36" borderId="32" xfId="0" applyNumberFormat="1" applyFont="1" applyFill="1" applyBorder="1" applyAlignment="1" applyProtection="1">
      <alignment horizontal="center" vertical="center"/>
      <protection/>
    </xf>
    <xf numFmtId="4" fontId="11" fillId="0" borderId="17" xfId="42" applyNumberFormat="1" applyFont="1" applyFill="1" applyBorder="1" applyAlignment="1" applyProtection="1">
      <alignment vertical="center"/>
      <protection/>
    </xf>
    <xf numFmtId="1" fontId="11" fillId="33" borderId="17" xfId="0" applyNumberFormat="1" applyFont="1" applyFill="1" applyBorder="1" applyAlignment="1">
      <alignment vertical="center"/>
    </xf>
    <xf numFmtId="49" fontId="108" fillId="34" borderId="33" xfId="0" applyNumberFormat="1" applyFont="1" applyFill="1" applyBorder="1" applyAlignment="1" applyProtection="1">
      <alignment horizontal="right" vertical="center"/>
      <protection/>
    </xf>
    <xf numFmtId="0" fontId="9" fillId="36" borderId="17" xfId="0" applyFont="1" applyFill="1" applyBorder="1" applyAlignment="1" applyProtection="1">
      <alignment horizontal="center" vertical="center"/>
      <protection/>
    </xf>
    <xf numFmtId="204" fontId="184" fillId="36" borderId="17" xfId="0" applyNumberFormat="1" applyFont="1" applyFill="1" applyBorder="1" applyAlignment="1" applyProtection="1">
      <alignment horizontal="center" vertical="center"/>
      <protection/>
    </xf>
    <xf numFmtId="4" fontId="186" fillId="0" borderId="17" xfId="42" applyNumberFormat="1" applyFont="1" applyFill="1" applyBorder="1" applyAlignment="1" applyProtection="1">
      <alignment vertical="center"/>
      <protection locked="0"/>
    </xf>
    <xf numFmtId="4" fontId="186" fillId="0" borderId="17" xfId="0" applyNumberFormat="1" applyFont="1" applyFill="1" applyBorder="1" applyAlignment="1">
      <alignment vertical="center"/>
    </xf>
    <xf numFmtId="4" fontId="186" fillId="0" borderId="17" xfId="42" applyNumberFormat="1" applyFont="1" applyFill="1" applyBorder="1" applyAlignment="1" applyProtection="1">
      <alignment vertical="center"/>
      <protection/>
    </xf>
    <xf numFmtId="4" fontId="186" fillId="0" borderId="17" xfId="43" applyNumberFormat="1" applyFont="1" applyFill="1" applyBorder="1" applyAlignment="1" applyProtection="1">
      <alignment vertical="center"/>
      <protection locked="0"/>
    </xf>
    <xf numFmtId="4" fontId="186" fillId="0" borderId="17" xfId="53" applyNumberFormat="1" applyFont="1" applyFill="1" applyBorder="1" applyAlignment="1" applyProtection="1">
      <alignment vertical="center"/>
      <protection/>
    </xf>
    <xf numFmtId="0" fontId="181" fillId="0" borderId="11" xfId="0" applyFont="1" applyBorder="1" applyAlignment="1">
      <alignment horizontal="center"/>
    </xf>
    <xf numFmtId="0" fontId="43" fillId="0" borderId="0" xfId="0" applyFont="1" applyFill="1" applyAlignment="1">
      <alignment/>
    </xf>
    <xf numFmtId="0" fontId="67" fillId="0" borderId="0" xfId="0" applyFont="1" applyFill="1" applyAlignment="1" applyProtection="1">
      <alignment horizontal="left" vertical="center"/>
      <protection locked="0"/>
    </xf>
    <xf numFmtId="0" fontId="43" fillId="38" borderId="0" xfId="0" applyFont="1" applyFill="1" applyBorder="1" applyAlignment="1">
      <alignment/>
    </xf>
    <xf numFmtId="0" fontId="67" fillId="38" borderId="0" xfId="0" applyFont="1" applyFill="1" applyBorder="1" applyAlignment="1">
      <alignment horizontal="left"/>
    </xf>
    <xf numFmtId="0" fontId="17" fillId="35" borderId="34" xfId="0" applyFont="1" applyFill="1" applyBorder="1" applyAlignment="1" applyProtection="1">
      <alignment vertical="center"/>
      <protection/>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0" fontId="187" fillId="47" borderId="28" xfId="0" applyFont="1" applyFill="1" applyBorder="1" applyAlignment="1">
      <alignment horizontal="right"/>
    </xf>
    <xf numFmtId="190" fontId="187" fillId="47" borderId="28" xfId="0" applyNumberFormat="1" applyFont="1" applyFill="1" applyBorder="1" applyAlignment="1">
      <alignment horizontal="right"/>
    </xf>
    <xf numFmtId="49" fontId="187" fillId="47" borderId="28" xfId="0" applyNumberFormat="1" applyFont="1" applyFill="1" applyBorder="1" applyAlignment="1">
      <alignment horizontal="right"/>
    </xf>
    <xf numFmtId="4" fontId="187" fillId="47" borderId="28" xfId="0" applyNumberFormat="1" applyFont="1" applyFill="1" applyBorder="1" applyAlignment="1">
      <alignment horizontal="right"/>
    </xf>
    <xf numFmtId="3" fontId="187" fillId="47" borderId="28" xfId="0" applyNumberFormat="1" applyFont="1" applyFill="1" applyBorder="1" applyAlignment="1">
      <alignment horizontal="right"/>
    </xf>
    <xf numFmtId="0" fontId="187" fillId="47" borderId="28" xfId="0" applyFont="1" applyFill="1" applyBorder="1" applyAlignment="1">
      <alignment horizontal="center"/>
    </xf>
    <xf numFmtId="0" fontId="188" fillId="0" borderId="10" xfId="0" applyFont="1" applyBorder="1" applyAlignment="1">
      <alignment horizontal="center"/>
    </xf>
    <xf numFmtId="0" fontId="188" fillId="16" borderId="28" xfId="0" applyFont="1" applyFill="1" applyBorder="1" applyAlignment="1">
      <alignment horizontal="center"/>
    </xf>
    <xf numFmtId="0" fontId="188" fillId="0" borderId="28" xfId="0" applyFont="1" applyBorder="1" applyAlignment="1">
      <alignment horizontal="center"/>
    </xf>
    <xf numFmtId="0" fontId="176" fillId="36" borderId="11" xfId="0" applyFont="1" applyFill="1" applyBorder="1" applyAlignment="1">
      <alignment/>
    </xf>
    <xf numFmtId="0" fontId="0" fillId="33" borderId="0" xfId="0" applyFont="1" applyFill="1" applyBorder="1" applyAlignment="1" applyProtection="1">
      <alignment vertical="center"/>
      <protection/>
    </xf>
    <xf numFmtId="0" fontId="17" fillId="35" borderId="11" xfId="0" applyFont="1" applyFill="1" applyBorder="1" applyAlignment="1" applyProtection="1">
      <alignment vertical="center"/>
      <protection/>
    </xf>
    <xf numFmtId="0" fontId="4" fillId="49" borderId="0" xfId="0" applyFont="1" applyFill="1" applyBorder="1" applyAlignment="1" applyProtection="1">
      <alignment vertical="center"/>
      <protection locked="0"/>
    </xf>
    <xf numFmtId="3" fontId="11" fillId="0" borderId="17" xfId="40" applyNumberFormat="1" applyFont="1" applyFill="1" applyBorder="1" applyAlignment="1" applyProtection="1">
      <alignment vertical="center"/>
      <protection locked="0"/>
    </xf>
    <xf numFmtId="185"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locked="0"/>
    </xf>
    <xf numFmtId="4" fontId="183" fillId="0" borderId="17" xfId="0" applyNumberFormat="1" applyFont="1" applyFill="1" applyBorder="1" applyAlignment="1">
      <alignment vertical="center"/>
    </xf>
    <xf numFmtId="3" fontId="183" fillId="0" borderId="17" xfId="0" applyNumberFormat="1" applyFont="1" applyFill="1" applyBorder="1" applyAlignment="1">
      <alignment vertical="center"/>
    </xf>
    <xf numFmtId="0" fontId="11" fillId="7" borderId="32" xfId="0" applyNumberFormat="1" applyFont="1" applyFill="1" applyBorder="1" applyAlignment="1" applyProtection="1">
      <alignment vertical="center"/>
      <protection locked="0"/>
    </xf>
    <xf numFmtId="0" fontId="15" fillId="34" borderId="35" xfId="0" applyFont="1" applyFill="1" applyBorder="1" applyAlignment="1" applyProtection="1">
      <alignment horizontal="center" vertical="center" wrapText="1"/>
      <protection/>
    </xf>
    <xf numFmtId="0" fontId="15" fillId="34" borderId="36" xfId="0" applyFont="1" applyFill="1" applyBorder="1" applyAlignment="1" applyProtection="1">
      <alignment horizontal="center" vertical="center" wrapText="1"/>
      <protection/>
    </xf>
    <xf numFmtId="0" fontId="15" fillId="35" borderId="37" xfId="0" applyFont="1" applyFill="1" applyBorder="1" applyAlignment="1" applyProtection="1">
      <alignment horizontal="center" vertical="center" wrapText="1"/>
      <protection/>
    </xf>
    <xf numFmtId="0" fontId="189" fillId="7" borderId="17" xfId="0" applyFont="1" applyFill="1" applyBorder="1" applyAlignment="1">
      <alignment vertical="center"/>
    </xf>
    <xf numFmtId="0" fontId="94" fillId="51" borderId="0" xfId="0" applyFont="1" applyFill="1" applyAlignment="1">
      <alignment horizontal="right"/>
    </xf>
    <xf numFmtId="190" fontId="94" fillId="51" borderId="0" xfId="0" applyNumberFormat="1" applyFont="1" applyFill="1" applyAlignment="1">
      <alignment horizontal="right"/>
    </xf>
    <xf numFmtId="49" fontId="94" fillId="51" borderId="0" xfId="0" applyNumberFormat="1" applyFont="1" applyFill="1" applyAlignment="1">
      <alignment horizontal="right"/>
    </xf>
    <xf numFmtId="4" fontId="94" fillId="51" borderId="0" xfId="0" applyNumberFormat="1" applyFont="1" applyFill="1" applyAlignment="1">
      <alignment horizontal="right"/>
    </xf>
    <xf numFmtId="3" fontId="94" fillId="51" borderId="0" xfId="0" applyNumberFormat="1" applyFont="1" applyFill="1" applyAlignment="1">
      <alignment horizontal="right"/>
    </xf>
    <xf numFmtId="0" fontId="94" fillId="51" borderId="0" xfId="0" applyFont="1" applyFill="1" applyAlignment="1">
      <alignment horizontal="center"/>
    </xf>
    <xf numFmtId="49" fontId="0" fillId="51" borderId="0" xfId="0" applyNumberFormat="1" applyFill="1" applyAlignment="1">
      <alignment horizontal="right"/>
    </xf>
    <xf numFmtId="0" fontId="94" fillId="52" borderId="28" xfId="0" applyFont="1" applyFill="1" applyBorder="1" applyAlignment="1">
      <alignment horizontal="right"/>
    </xf>
    <xf numFmtId="190" fontId="94" fillId="52" borderId="28" xfId="0" applyNumberFormat="1" applyFont="1" applyFill="1" applyBorder="1" applyAlignment="1">
      <alignment horizontal="right"/>
    </xf>
    <xf numFmtId="49" fontId="94" fillId="52" borderId="28" xfId="0" applyNumberFormat="1" applyFont="1" applyFill="1" applyBorder="1" applyAlignment="1">
      <alignment horizontal="right"/>
    </xf>
    <xf numFmtId="4" fontId="94" fillId="52" borderId="28" xfId="0" applyNumberFormat="1" applyFont="1" applyFill="1" applyBorder="1" applyAlignment="1">
      <alignment horizontal="right"/>
    </xf>
    <xf numFmtId="3" fontId="94" fillId="52" borderId="28" xfId="0" applyNumberFormat="1" applyFont="1" applyFill="1" applyBorder="1" applyAlignment="1">
      <alignment horizontal="right"/>
    </xf>
    <xf numFmtId="0" fontId="94" fillId="52" borderId="28" xfId="0" applyFont="1" applyFill="1" applyBorder="1" applyAlignment="1">
      <alignment horizontal="center"/>
    </xf>
    <xf numFmtId="0" fontId="176" fillId="0" borderId="0" xfId="0" applyFont="1" applyFill="1" applyAlignment="1">
      <alignment/>
    </xf>
    <xf numFmtId="0" fontId="175" fillId="0" borderId="0" xfId="0" applyFont="1" applyFill="1" applyAlignment="1">
      <alignment horizontal="left"/>
    </xf>
    <xf numFmtId="0" fontId="178" fillId="0" borderId="0" xfId="0" applyFont="1" applyFill="1" applyAlignment="1">
      <alignment/>
    </xf>
    <xf numFmtId="0" fontId="11" fillId="0" borderId="17" xfId="0" applyFont="1" applyFill="1" applyBorder="1" applyAlignment="1">
      <alignment vertical="center" shrinkToFit="1"/>
    </xf>
    <xf numFmtId="0" fontId="11" fillId="7" borderId="17" xfId="0" applyFont="1" applyFill="1" applyBorder="1" applyAlignment="1">
      <alignment vertical="center" shrinkToFit="1"/>
    </xf>
    <xf numFmtId="4" fontId="11" fillId="0" borderId="17" xfId="0" applyNumberFormat="1" applyFont="1" applyFill="1" applyBorder="1" applyAlignment="1">
      <alignment vertical="center" wrapText="1"/>
    </xf>
    <xf numFmtId="4" fontId="183" fillId="0" borderId="17" xfId="0" applyNumberFormat="1" applyFont="1" applyFill="1" applyBorder="1" applyAlignment="1">
      <alignment vertical="center" shrinkToFit="1"/>
    </xf>
    <xf numFmtId="3" fontId="183" fillId="0" borderId="17" xfId="0" applyNumberFormat="1" applyFont="1" applyFill="1" applyBorder="1" applyAlignment="1">
      <alignment vertical="center" shrinkToFit="1"/>
    </xf>
    <xf numFmtId="190" fontId="11" fillId="0" borderId="32" xfId="0" applyNumberFormat="1" applyFont="1" applyFill="1" applyBorder="1" applyAlignment="1" applyProtection="1">
      <alignment horizontal="center" vertical="center"/>
      <protection/>
    </xf>
    <xf numFmtId="0" fontId="0" fillId="0" borderId="0" xfId="0" applyFont="1" applyAlignment="1">
      <alignment/>
    </xf>
    <xf numFmtId="0" fontId="190" fillId="0" borderId="17" xfId="0" applyFont="1" applyBorder="1" applyAlignment="1">
      <alignment horizontal="center"/>
    </xf>
    <xf numFmtId="0" fontId="76" fillId="0" borderId="17" xfId="0" applyFont="1" applyBorder="1" applyAlignment="1">
      <alignment horizontal="center"/>
    </xf>
    <xf numFmtId="0" fontId="190" fillId="0" borderId="20" xfId="0" applyFont="1" applyBorder="1" applyAlignment="1">
      <alignment horizontal="center"/>
    </xf>
    <xf numFmtId="0" fontId="25" fillId="18" borderId="28" xfId="0" applyFont="1" applyFill="1" applyBorder="1" applyAlignment="1">
      <alignment horizontal="center"/>
    </xf>
    <xf numFmtId="190" fontId="25" fillId="18" borderId="28" xfId="0" applyNumberFormat="1" applyFont="1" applyFill="1" applyBorder="1" applyAlignment="1">
      <alignment horizontal="center"/>
    </xf>
    <xf numFmtId="49" fontId="25" fillId="18" borderId="28" xfId="0" applyNumberFormat="1" applyFont="1" applyFill="1" applyBorder="1" applyAlignment="1">
      <alignment horizontal="center"/>
    </xf>
    <xf numFmtId="4" fontId="25" fillId="18" borderId="28" xfId="0" applyNumberFormat="1" applyFont="1" applyFill="1" applyBorder="1" applyAlignment="1">
      <alignment horizontal="center"/>
    </xf>
    <xf numFmtId="3" fontId="25" fillId="18" borderId="28" xfId="0" applyNumberFormat="1" applyFont="1" applyFill="1" applyBorder="1" applyAlignment="1">
      <alignment horizontal="center"/>
    </xf>
    <xf numFmtId="0" fontId="25" fillId="18" borderId="12" xfId="0" applyFont="1" applyFill="1" applyBorder="1" applyAlignment="1">
      <alignment horizontal="center"/>
    </xf>
    <xf numFmtId="190" fontId="25" fillId="18" borderId="12" xfId="0" applyNumberFormat="1" applyFont="1" applyFill="1" applyBorder="1" applyAlignment="1">
      <alignment horizontal="center"/>
    </xf>
    <xf numFmtId="49" fontId="25" fillId="18" borderId="12" xfId="0" applyNumberFormat="1" applyFont="1" applyFill="1" applyBorder="1" applyAlignment="1">
      <alignment horizontal="center"/>
    </xf>
    <xf numFmtId="4" fontId="25" fillId="18" borderId="12" xfId="0" applyNumberFormat="1" applyFont="1" applyFill="1" applyBorder="1" applyAlignment="1">
      <alignment horizontal="center"/>
    </xf>
    <xf numFmtId="3" fontId="25" fillId="18" borderId="12" xfId="0" applyNumberFormat="1" applyFont="1" applyFill="1" applyBorder="1" applyAlignment="1">
      <alignment horizontal="center"/>
    </xf>
    <xf numFmtId="190" fontId="11" fillId="7" borderId="17" xfId="0" applyNumberFormat="1" applyFont="1" applyFill="1" applyBorder="1" applyAlignment="1" applyProtection="1">
      <alignment vertical="center"/>
      <protection locked="0"/>
    </xf>
    <xf numFmtId="190" fontId="11" fillId="7" borderId="17" xfId="0" applyNumberFormat="1" applyFont="1" applyFill="1" applyBorder="1" applyAlignment="1" applyProtection="1">
      <alignment vertical="center"/>
      <protection/>
    </xf>
    <xf numFmtId="0" fontId="11" fillId="36" borderId="17" xfId="0" applyFont="1" applyFill="1" applyBorder="1" applyAlignment="1">
      <alignment vertical="center"/>
    </xf>
    <xf numFmtId="0" fontId="184" fillId="36" borderId="17" xfId="0" applyFont="1" applyFill="1" applyBorder="1" applyAlignment="1" applyProtection="1">
      <alignment horizontal="center" vertical="center"/>
      <protection/>
    </xf>
    <xf numFmtId="0" fontId="191" fillId="36" borderId="17" xfId="0" applyFont="1" applyFill="1" applyBorder="1" applyAlignment="1" applyProtection="1">
      <alignment horizontal="center" vertical="center"/>
      <protection/>
    </xf>
    <xf numFmtId="0" fontId="184" fillId="50" borderId="32" xfId="0" applyNumberFormat="1" applyFont="1" applyFill="1" applyBorder="1" applyAlignment="1" applyProtection="1">
      <alignment horizontal="center" vertical="center"/>
      <protection/>
    </xf>
    <xf numFmtId="0" fontId="67" fillId="0" borderId="0" xfId="0" applyFont="1" applyFill="1" applyAlignment="1">
      <alignment horizontal="left"/>
    </xf>
    <xf numFmtId="0" fontId="192" fillId="0" borderId="17" xfId="0" applyFont="1" applyFill="1" applyBorder="1" applyAlignment="1" applyProtection="1">
      <alignment horizontal="center" vertical="center"/>
      <protection/>
    </xf>
    <xf numFmtId="190" fontId="11" fillId="7" borderId="32" xfId="0" applyNumberFormat="1" applyFont="1" applyFill="1" applyBorder="1" applyAlignment="1" applyProtection="1">
      <alignment horizontal="center" vertical="center"/>
      <protection locked="0"/>
    </xf>
    <xf numFmtId="4" fontId="11" fillId="0" borderId="32" xfId="43" applyNumberFormat="1" applyFont="1" applyFill="1" applyBorder="1" applyAlignment="1" applyProtection="1">
      <alignment vertical="center"/>
      <protection locked="0"/>
    </xf>
    <xf numFmtId="0" fontId="71" fillId="40" borderId="32" xfId="0" applyNumberFormat="1" applyFont="1" applyFill="1" applyBorder="1" applyAlignment="1" applyProtection="1">
      <alignment horizontal="center" vertical="center"/>
      <protection/>
    </xf>
    <xf numFmtId="3" fontId="11" fillId="0" borderId="32" xfId="43" applyNumberFormat="1" applyFont="1" applyFill="1" applyBorder="1" applyAlignment="1" applyProtection="1">
      <alignment vertical="center"/>
      <protection locked="0"/>
    </xf>
    <xf numFmtId="0" fontId="45" fillId="7" borderId="32" xfId="0" applyFont="1" applyFill="1" applyBorder="1" applyAlignment="1">
      <alignment vertical="center"/>
    </xf>
    <xf numFmtId="1" fontId="11" fillId="7" borderId="32" xfId="0" applyNumberFormat="1" applyFont="1" applyFill="1" applyBorder="1" applyAlignment="1">
      <alignment vertical="center"/>
    </xf>
    <xf numFmtId="0" fontId="182" fillId="7" borderId="32" xfId="0" applyFont="1" applyFill="1" applyBorder="1" applyAlignment="1">
      <alignment vertical="center"/>
    </xf>
    <xf numFmtId="4" fontId="11" fillId="10" borderId="17" xfId="0" applyNumberFormat="1" applyFont="1" applyFill="1" applyBorder="1" applyAlignment="1">
      <alignment vertical="center"/>
    </xf>
    <xf numFmtId="3" fontId="11" fillId="10" borderId="17" xfId="71" applyNumberFormat="1" applyFont="1" applyFill="1" applyBorder="1" applyAlignment="1" applyProtection="1">
      <alignment vertical="center"/>
      <protection/>
    </xf>
    <xf numFmtId="2" fontId="11" fillId="10" borderId="17" xfId="71" applyNumberFormat="1" applyFont="1" applyFill="1" applyBorder="1" applyAlignment="1" applyProtection="1">
      <alignment vertical="center"/>
      <protection/>
    </xf>
    <xf numFmtId="4" fontId="11" fillId="10" borderId="17" xfId="43" applyNumberFormat="1" applyFont="1" applyFill="1" applyBorder="1" applyAlignment="1">
      <alignment vertical="center"/>
    </xf>
    <xf numFmtId="9" fontId="11" fillId="10" borderId="17" xfId="71" applyNumberFormat="1" applyFont="1" applyFill="1" applyBorder="1" applyAlignment="1" applyProtection="1">
      <alignment vertical="center"/>
      <protection/>
    </xf>
    <xf numFmtId="4" fontId="11" fillId="10" borderId="17" xfId="43" applyNumberFormat="1" applyFont="1" applyFill="1" applyBorder="1" applyAlignment="1" applyProtection="1">
      <alignment vertical="center"/>
      <protection/>
    </xf>
    <xf numFmtId="185" fontId="11" fillId="10" borderId="17" xfId="43" applyNumberFormat="1" applyFont="1" applyFill="1" applyBorder="1" applyAlignment="1" applyProtection="1">
      <alignment vertical="center"/>
      <protection locked="0"/>
    </xf>
    <xf numFmtId="0" fontId="191" fillId="33" borderId="17" xfId="0" applyFont="1" applyFill="1" applyBorder="1" applyAlignment="1" applyProtection="1">
      <alignment horizontal="center" vertical="center"/>
      <protection/>
    </xf>
    <xf numFmtId="0" fontId="11" fillId="7" borderId="17" xfId="53" applyNumberFormat="1" applyFont="1" applyFill="1" applyBorder="1" applyAlignment="1" applyProtection="1">
      <alignment vertical="center"/>
      <protection locked="0"/>
    </xf>
    <xf numFmtId="0" fontId="33" fillId="46" borderId="17" xfId="0" applyNumberFormat="1" applyFont="1" applyFill="1" applyBorder="1" applyAlignment="1" applyProtection="1">
      <alignment horizontal="center" vertical="center"/>
      <protection/>
    </xf>
    <xf numFmtId="0" fontId="105" fillId="0" borderId="17" xfId="0" applyFont="1" applyFill="1" applyBorder="1" applyAlignment="1">
      <alignment horizontal="right" vertical="center"/>
    </xf>
    <xf numFmtId="0" fontId="11" fillId="0" borderId="17" xfId="0" applyFont="1" applyBorder="1" applyAlignment="1">
      <alignment horizontal="right" vertical="center"/>
    </xf>
    <xf numFmtId="1" fontId="11" fillId="0" borderId="17" xfId="0" applyNumberFormat="1" applyFont="1" applyFill="1" applyBorder="1" applyAlignment="1">
      <alignment horizontal="right" vertical="center"/>
    </xf>
    <xf numFmtId="1" fontId="11" fillId="33" borderId="17" xfId="0" applyNumberFormat="1" applyFont="1" applyFill="1" applyBorder="1" applyAlignment="1">
      <alignment horizontal="right" vertical="center"/>
    </xf>
    <xf numFmtId="4" fontId="182" fillId="10" borderId="17" xfId="0" applyNumberFormat="1" applyFont="1" applyFill="1" applyBorder="1" applyAlignment="1">
      <alignment vertical="center"/>
    </xf>
    <xf numFmtId="3" fontId="182" fillId="10" borderId="17" xfId="0" applyNumberFormat="1" applyFont="1" applyFill="1" applyBorder="1" applyAlignment="1">
      <alignment vertical="center"/>
    </xf>
    <xf numFmtId="0" fontId="17" fillId="34" borderId="33" xfId="0" applyFont="1" applyFill="1" applyBorder="1" applyAlignment="1" applyProtection="1">
      <alignment vertical="center"/>
      <protection/>
    </xf>
    <xf numFmtId="4" fontId="45" fillId="8" borderId="32" xfId="0" applyNumberFormat="1" applyFont="1" applyFill="1" applyBorder="1" applyAlignment="1">
      <alignment vertical="center"/>
    </xf>
    <xf numFmtId="3" fontId="45" fillId="8" borderId="38" xfId="0" applyNumberFormat="1" applyFont="1" applyFill="1" applyBorder="1" applyAlignment="1">
      <alignment vertical="center"/>
    </xf>
    <xf numFmtId="0" fontId="15" fillId="33" borderId="36" xfId="0" applyFont="1" applyFill="1" applyBorder="1" applyAlignment="1" applyProtection="1">
      <alignment horizontal="center" vertical="center" wrapText="1"/>
      <protection/>
    </xf>
    <xf numFmtId="3" fontId="186" fillId="0" borderId="23" xfId="42" applyNumberFormat="1" applyFont="1" applyFill="1" applyBorder="1" applyAlignment="1" applyProtection="1">
      <alignment vertical="center"/>
      <protection locked="0"/>
    </xf>
    <xf numFmtId="3" fontId="186" fillId="0" borderId="23" xfId="0" applyNumberFormat="1" applyFont="1" applyFill="1" applyBorder="1" applyAlignment="1">
      <alignment vertical="center"/>
    </xf>
    <xf numFmtId="3" fontId="186" fillId="0" borderId="23" xfId="42" applyNumberFormat="1" applyFont="1" applyFill="1" applyBorder="1" applyAlignment="1" applyProtection="1">
      <alignment vertical="center"/>
      <protection/>
    </xf>
    <xf numFmtId="3" fontId="186" fillId="0" borderId="23" xfId="43" applyNumberFormat="1" applyFont="1" applyFill="1" applyBorder="1" applyAlignment="1" applyProtection="1">
      <alignment vertical="center"/>
      <protection locked="0"/>
    </xf>
    <xf numFmtId="3" fontId="186" fillId="0" borderId="23" xfId="53" applyNumberFormat="1" applyFont="1" applyFill="1" applyBorder="1" applyAlignment="1" applyProtection="1">
      <alignment vertical="center"/>
      <protection/>
    </xf>
    <xf numFmtId="4" fontId="186" fillId="0" borderId="20" xfId="0" applyNumberFormat="1" applyFont="1" applyFill="1" applyBorder="1" applyAlignment="1">
      <alignment vertical="center"/>
    </xf>
    <xf numFmtId="3" fontId="186" fillId="0" borderId="24" xfId="0" applyNumberFormat="1" applyFont="1" applyFill="1" applyBorder="1" applyAlignment="1">
      <alignment vertical="center"/>
    </xf>
    <xf numFmtId="1" fontId="11" fillId="7" borderId="17" xfId="0" applyNumberFormat="1" applyFont="1" applyFill="1" applyBorder="1" applyAlignment="1">
      <alignment horizontal="right" vertical="center"/>
    </xf>
    <xf numFmtId="0" fontId="11" fillId="7" borderId="17" xfId="0" applyNumberFormat="1" applyFont="1" applyFill="1" applyBorder="1" applyAlignment="1">
      <alignment horizontal="right" vertical="center"/>
    </xf>
    <xf numFmtId="0" fontId="190" fillId="0" borderId="20" xfId="0" applyFont="1" applyBorder="1" applyAlignment="1">
      <alignment horizontal="right"/>
    </xf>
    <xf numFmtId="0" fontId="76" fillId="0" borderId="20" xfId="0" applyFont="1" applyBorder="1" applyAlignment="1">
      <alignment horizontal="right"/>
    </xf>
    <xf numFmtId="2" fontId="11" fillId="0" borderId="17" xfId="0" applyNumberFormat="1" applyFont="1" applyFill="1" applyBorder="1" applyAlignment="1" applyProtection="1">
      <alignment vertical="center"/>
      <protection/>
    </xf>
    <xf numFmtId="4" fontId="11" fillId="0" borderId="17" xfId="53" applyNumberFormat="1" applyFont="1" applyFill="1" applyBorder="1" applyAlignment="1" applyProtection="1">
      <alignment horizontal="right" vertical="center"/>
      <protection/>
    </xf>
    <xf numFmtId="4" fontId="11" fillId="0" borderId="17" xfId="43" applyNumberFormat="1" applyFont="1" applyFill="1" applyBorder="1" applyAlignment="1">
      <alignment horizontal="right" vertical="center"/>
    </xf>
    <xf numFmtId="3" fontId="11" fillId="0" borderId="17" xfId="43" applyNumberFormat="1" applyFont="1" applyFill="1" applyBorder="1" applyAlignment="1">
      <alignment horizontal="right" vertical="center"/>
    </xf>
    <xf numFmtId="4" fontId="11" fillId="0" borderId="17" xfId="40" applyNumberFormat="1" applyFont="1" applyFill="1" applyBorder="1" applyAlignment="1" applyProtection="1">
      <alignment horizontal="right" vertical="center"/>
      <protection locked="0"/>
    </xf>
    <xf numFmtId="3" fontId="11" fillId="0" borderId="17" xfId="40" applyNumberFormat="1" applyFont="1" applyFill="1" applyBorder="1" applyAlignment="1" applyProtection="1">
      <alignment horizontal="right" vertical="center"/>
      <protection locked="0"/>
    </xf>
    <xf numFmtId="4" fontId="11" fillId="0" borderId="17" xfId="43" applyNumberFormat="1" applyFont="1" applyFill="1" applyBorder="1" applyAlignment="1" applyProtection="1">
      <alignment horizontal="right" vertical="center"/>
      <protection locked="0"/>
    </xf>
    <xf numFmtId="3" fontId="11" fillId="0" borderId="17" xfId="43" applyNumberFormat="1" applyFont="1" applyFill="1" applyBorder="1" applyAlignment="1" applyProtection="1">
      <alignment horizontal="right" vertical="center"/>
      <protection locked="0"/>
    </xf>
    <xf numFmtId="3" fontId="11" fillId="0" borderId="17" xfId="53" applyNumberFormat="1" applyFont="1" applyFill="1" applyBorder="1" applyAlignment="1" applyProtection="1">
      <alignment horizontal="right" vertical="center"/>
      <protection/>
    </xf>
    <xf numFmtId="0" fontId="74" fillId="7" borderId="17" xfId="0" applyFont="1" applyFill="1" applyBorder="1" applyAlignment="1" applyProtection="1">
      <alignment vertical="center"/>
      <protection/>
    </xf>
    <xf numFmtId="0" fontId="74" fillId="7" borderId="17" xfId="0" applyFont="1" applyFill="1" applyBorder="1" applyAlignment="1">
      <alignment vertical="center"/>
    </xf>
    <xf numFmtId="0" fontId="74" fillId="7" borderId="17" xfId="0" applyNumberFormat="1" applyFont="1" applyFill="1" applyBorder="1" applyAlignment="1" applyProtection="1">
      <alignment vertical="center"/>
      <protection locked="0"/>
    </xf>
    <xf numFmtId="190" fontId="74" fillId="7" borderId="17" xfId="0" applyNumberFormat="1" applyFont="1" applyFill="1" applyBorder="1" applyAlignment="1" applyProtection="1">
      <alignment horizontal="center" vertical="center"/>
      <protection locked="0"/>
    </xf>
    <xf numFmtId="0" fontId="74" fillId="7" borderId="17" xfId="0" applyNumberFormat="1" applyFont="1" applyFill="1" applyBorder="1" applyAlignment="1" applyProtection="1">
      <alignment vertical="center"/>
      <protection/>
    </xf>
    <xf numFmtId="204" fontId="74" fillId="7" borderId="17" xfId="0" applyNumberFormat="1" applyFont="1" applyFill="1" applyBorder="1" applyAlignment="1">
      <alignment vertical="center"/>
    </xf>
    <xf numFmtId="190" fontId="74" fillId="7" borderId="17" xfId="0" applyNumberFormat="1" applyFont="1" applyFill="1" applyBorder="1" applyAlignment="1" applyProtection="1">
      <alignment horizontal="center" vertical="center"/>
      <protection/>
    </xf>
    <xf numFmtId="0" fontId="74" fillId="7" borderId="17" xfId="58" applyFont="1" applyFill="1" applyBorder="1" applyAlignment="1">
      <alignment vertical="center"/>
      <protection/>
    </xf>
    <xf numFmtId="0" fontId="74" fillId="7" borderId="17" xfId="0" applyNumberFormat="1" applyFont="1" applyFill="1" applyBorder="1" applyAlignment="1">
      <alignment vertical="center"/>
    </xf>
    <xf numFmtId="0" fontId="74" fillId="7" borderId="17" xfId="0" applyFont="1" applyFill="1" applyBorder="1" applyAlignment="1" applyProtection="1">
      <alignment vertical="center"/>
      <protection locked="0"/>
    </xf>
    <xf numFmtId="190" fontId="74" fillId="7" borderId="17" xfId="0" applyNumberFormat="1" applyFont="1" applyFill="1" applyBorder="1" applyAlignment="1">
      <alignment horizontal="center" vertical="center"/>
    </xf>
    <xf numFmtId="0" fontId="75" fillId="35" borderId="11" xfId="0" applyNumberFormat="1" applyFont="1" applyFill="1" applyBorder="1" applyAlignment="1" applyProtection="1">
      <alignment vertical="center"/>
      <protection/>
    </xf>
    <xf numFmtId="0" fontId="74" fillId="14" borderId="17" xfId="0" applyNumberFormat="1" applyFont="1" applyFill="1" applyBorder="1" applyAlignment="1" applyProtection="1">
      <alignment vertical="center"/>
      <protection locked="0"/>
    </xf>
    <xf numFmtId="204" fontId="45" fillId="14" borderId="17" xfId="0" applyNumberFormat="1" applyFont="1" applyFill="1" applyBorder="1" applyAlignment="1">
      <alignment vertical="center"/>
    </xf>
    <xf numFmtId="0" fontId="74" fillId="14" borderId="17" xfId="0" applyFont="1" applyFill="1" applyBorder="1" applyAlignment="1">
      <alignment vertical="center"/>
    </xf>
    <xf numFmtId="204" fontId="74" fillId="14" borderId="17" xfId="0" applyNumberFormat="1" applyFont="1" applyFill="1" applyBorder="1" applyAlignment="1">
      <alignment vertical="center"/>
    </xf>
    <xf numFmtId="0" fontId="45" fillId="14" borderId="17" xfId="0" applyNumberFormat="1" applyFont="1" applyFill="1" applyBorder="1" applyAlignment="1" applyProtection="1">
      <alignment vertical="center"/>
      <protection locked="0"/>
    </xf>
    <xf numFmtId="0" fontId="45" fillId="14" borderId="17" xfId="0" applyNumberFormat="1" applyFont="1" applyFill="1" applyBorder="1" applyAlignment="1" applyProtection="1">
      <alignment vertical="center"/>
      <protection/>
    </xf>
    <xf numFmtId="0" fontId="74" fillId="14" borderId="17" xfId="0" applyNumberFormat="1" applyFont="1" applyFill="1" applyBorder="1" applyAlignment="1" applyProtection="1">
      <alignment vertical="center"/>
      <protection/>
    </xf>
    <xf numFmtId="4" fontId="11" fillId="0" borderId="17" xfId="42" applyNumberFormat="1" applyFont="1" applyFill="1" applyBorder="1" applyAlignment="1">
      <alignment vertical="center"/>
    </xf>
    <xf numFmtId="3" fontId="11" fillId="0" borderId="17" xfId="42" applyNumberFormat="1" applyFont="1" applyFill="1" applyBorder="1" applyAlignment="1">
      <alignment vertical="center"/>
    </xf>
    <xf numFmtId="4" fontId="11" fillId="33" borderId="17" xfId="0" applyNumberFormat="1" applyFont="1" applyFill="1" applyBorder="1" applyAlignment="1">
      <alignment vertical="center"/>
    </xf>
    <xf numFmtId="4" fontId="11" fillId="0" borderId="17" xfId="53" applyNumberFormat="1" applyFont="1" applyFill="1" applyBorder="1" applyAlignment="1" applyProtection="1">
      <alignment vertical="center"/>
      <protection/>
    </xf>
    <xf numFmtId="3" fontId="11" fillId="0" borderId="17" xfId="53" applyNumberFormat="1" applyFont="1" applyFill="1" applyBorder="1" applyAlignment="1" applyProtection="1">
      <alignment vertical="center"/>
      <protection/>
    </xf>
    <xf numFmtId="0" fontId="43" fillId="0" borderId="17" xfId="0" applyFont="1" applyBorder="1" applyAlignment="1">
      <alignment/>
    </xf>
    <xf numFmtId="0" fontId="11" fillId="7" borderId="17" xfId="0" applyFont="1" applyFill="1" applyBorder="1" applyAlignment="1" applyProtection="1">
      <alignment horizontal="left" vertical="center"/>
      <protection locked="0"/>
    </xf>
    <xf numFmtId="0" fontId="11" fillId="7" borderId="17" xfId="0" applyNumberFormat="1" applyFont="1" applyFill="1" applyBorder="1" applyAlignment="1" applyProtection="1">
      <alignment horizontal="left" vertical="center"/>
      <protection/>
    </xf>
    <xf numFmtId="190" fontId="11" fillId="7" borderId="17" xfId="0" applyNumberFormat="1" applyFont="1" applyFill="1" applyBorder="1" applyAlignment="1" applyProtection="1">
      <alignment horizontal="center" vertical="center"/>
      <protection locked="0"/>
    </xf>
    <xf numFmtId="4" fontId="11" fillId="0" borderId="17" xfId="0" applyNumberFormat="1" applyFont="1" applyBorder="1" applyAlignment="1">
      <alignment horizontal="right" vertical="center"/>
    </xf>
    <xf numFmtId="3" fontId="11" fillId="0" borderId="17" xfId="0" applyNumberFormat="1" applyFont="1" applyBorder="1" applyAlignment="1">
      <alignment horizontal="right" vertical="center"/>
    </xf>
    <xf numFmtId="204" fontId="11" fillId="7" borderId="17" xfId="0" applyNumberFormat="1" applyFont="1" applyFill="1" applyBorder="1" applyAlignment="1">
      <alignment horizontal="left" vertical="center"/>
    </xf>
    <xf numFmtId="0" fontId="11" fillId="7" borderId="17" xfId="0" applyFont="1" applyFill="1" applyBorder="1" applyAlignment="1">
      <alignment horizontal="left" vertical="center"/>
    </xf>
    <xf numFmtId="0" fontId="11" fillId="7" borderId="17" xfId="0" applyFont="1" applyFill="1" applyBorder="1" applyAlignment="1" applyProtection="1">
      <alignment horizontal="left" vertical="center"/>
      <protection/>
    </xf>
    <xf numFmtId="204" fontId="183" fillId="7" borderId="17" xfId="0" applyNumberFormat="1" applyFont="1" applyFill="1" applyBorder="1" applyAlignment="1">
      <alignment horizontal="left" vertical="center"/>
    </xf>
    <xf numFmtId="0" fontId="183" fillId="7" borderId="17" xfId="0" applyNumberFormat="1" applyFont="1" applyFill="1" applyBorder="1" applyAlignment="1">
      <alignment horizontal="left" vertical="center"/>
    </xf>
    <xf numFmtId="0" fontId="11" fillId="7" borderId="17" xfId="0" applyNumberFormat="1" applyFont="1" applyFill="1" applyBorder="1" applyAlignment="1">
      <alignment horizontal="left" vertical="center"/>
    </xf>
    <xf numFmtId="4" fontId="11" fillId="0" borderId="17" xfId="0" applyNumberFormat="1" applyFont="1" applyFill="1" applyBorder="1" applyAlignment="1">
      <alignment horizontal="right"/>
    </xf>
    <xf numFmtId="3" fontId="11" fillId="0" borderId="17" xfId="0" applyNumberFormat="1" applyFont="1" applyFill="1" applyBorder="1" applyAlignment="1">
      <alignment horizontal="right"/>
    </xf>
    <xf numFmtId="0" fontId="183" fillId="7" borderId="17" xfId="0" applyFont="1" applyFill="1" applyBorder="1" applyAlignment="1" applyProtection="1">
      <alignment horizontal="left" vertical="center"/>
      <protection locked="0"/>
    </xf>
    <xf numFmtId="4" fontId="11" fillId="0" borderId="17" xfId="0" applyNumberFormat="1" applyFont="1" applyFill="1" applyBorder="1" applyAlignment="1">
      <alignment horizontal="right" wrapText="1"/>
    </xf>
    <xf numFmtId="0" fontId="183" fillId="7" borderId="17" xfId="0" applyNumberFormat="1" applyFont="1" applyFill="1" applyBorder="1" applyAlignment="1" applyProtection="1">
      <alignment horizontal="left" vertical="center"/>
      <protection locked="0"/>
    </xf>
    <xf numFmtId="0" fontId="11" fillId="7" borderId="17" xfId="0" applyNumberFormat="1" applyFont="1" applyFill="1" applyBorder="1" applyAlignment="1" applyProtection="1">
      <alignment horizontal="left" vertical="center"/>
      <protection locked="0"/>
    </xf>
    <xf numFmtId="190" fontId="11" fillId="7" borderId="17" xfId="0" applyNumberFormat="1" applyFont="1" applyFill="1" applyBorder="1" applyAlignment="1" applyProtection="1">
      <alignment horizontal="center" vertical="center"/>
      <protection/>
    </xf>
    <xf numFmtId="0" fontId="183" fillId="7" borderId="17" xfId="0" applyFont="1" applyFill="1" applyBorder="1" applyAlignment="1">
      <alignment horizontal="left" vertical="center"/>
    </xf>
    <xf numFmtId="0" fontId="183" fillId="7" borderId="17" xfId="0" applyFont="1" applyFill="1" applyBorder="1" applyAlignment="1">
      <alignment horizontal="right" vertical="center"/>
    </xf>
    <xf numFmtId="0" fontId="183" fillId="7" borderId="17" xfId="0" applyNumberFormat="1" applyFont="1" applyFill="1" applyBorder="1" applyAlignment="1" applyProtection="1">
      <alignment horizontal="left" vertical="center"/>
      <protection/>
    </xf>
    <xf numFmtId="4" fontId="11" fillId="0" borderId="17" xfId="44" applyNumberFormat="1" applyFont="1" applyFill="1" applyBorder="1" applyAlignment="1" applyProtection="1">
      <alignment horizontal="right" vertical="center"/>
      <protection locked="0"/>
    </xf>
    <xf numFmtId="3" fontId="11" fillId="0" borderId="17" xfId="44" applyNumberFormat="1" applyFont="1" applyFill="1" applyBorder="1" applyAlignment="1" applyProtection="1">
      <alignment horizontal="right" vertical="center"/>
      <protection locked="0"/>
    </xf>
    <xf numFmtId="4" fontId="11" fillId="0" borderId="17" xfId="0" applyNumberFormat="1" applyFont="1" applyFill="1" applyBorder="1" applyAlignment="1">
      <alignment horizontal="right" vertical="center" wrapText="1"/>
    </xf>
    <xf numFmtId="0" fontId="11" fillId="7" borderId="17" xfId="58" applyFont="1" applyFill="1" applyBorder="1" applyAlignment="1">
      <alignment horizontal="left" vertical="center"/>
      <protection/>
    </xf>
    <xf numFmtId="0" fontId="183" fillId="7" borderId="17" xfId="58" applyFont="1" applyFill="1" applyBorder="1" applyAlignment="1">
      <alignment horizontal="left" vertical="center"/>
      <protection/>
    </xf>
    <xf numFmtId="4" fontId="11" fillId="0" borderId="17" xfId="43" applyNumberFormat="1" applyFont="1" applyFill="1" applyBorder="1" applyAlignment="1" applyProtection="1">
      <alignment horizontal="right" vertical="center"/>
      <protection/>
    </xf>
    <xf numFmtId="3" fontId="11" fillId="0" borderId="17" xfId="43" applyNumberFormat="1" applyFont="1" applyFill="1" applyBorder="1" applyAlignment="1" applyProtection="1">
      <alignment horizontal="right" vertical="center"/>
      <protection/>
    </xf>
    <xf numFmtId="4" fontId="11" fillId="0" borderId="17" xfId="40" applyNumberFormat="1" applyFont="1" applyFill="1" applyBorder="1" applyAlignment="1" applyProtection="1">
      <alignment horizontal="right" vertical="center"/>
      <protection/>
    </xf>
    <xf numFmtId="3" fontId="11" fillId="0" borderId="17" xfId="40" applyNumberFormat="1" applyFont="1" applyFill="1" applyBorder="1" applyAlignment="1" applyProtection="1">
      <alignment horizontal="right" vertical="center"/>
      <protection/>
    </xf>
    <xf numFmtId="0" fontId="11" fillId="7" borderId="17" xfId="0" applyFont="1" applyFill="1" applyBorder="1" applyAlignment="1">
      <alignment horizontal="right" vertical="center" shrinkToFit="1"/>
    </xf>
    <xf numFmtId="3" fontId="183" fillId="0" borderId="17" xfId="0" applyNumberFormat="1" applyFont="1" applyFill="1" applyBorder="1" applyAlignment="1">
      <alignment horizontal="right" vertical="center"/>
    </xf>
    <xf numFmtId="0" fontId="11" fillId="7" borderId="17" xfId="53" applyNumberFormat="1" applyFont="1" applyFill="1" applyBorder="1" applyAlignment="1" applyProtection="1">
      <alignment horizontal="right" vertical="center"/>
      <protection locked="0"/>
    </xf>
    <xf numFmtId="190" fontId="11" fillId="7" borderId="17" xfId="0" applyNumberFormat="1" applyFont="1" applyFill="1" applyBorder="1" applyAlignment="1">
      <alignment horizontal="center" vertical="center"/>
    </xf>
    <xf numFmtId="188" fontId="11" fillId="0" borderId="17" xfId="43" applyNumberFormat="1" applyFont="1" applyFill="1" applyBorder="1" applyAlignment="1" applyProtection="1">
      <alignment horizontal="right" vertical="center"/>
      <protection locked="0"/>
    </xf>
    <xf numFmtId="185" fontId="11" fillId="0" borderId="17" xfId="43" applyNumberFormat="1" applyFont="1" applyFill="1" applyBorder="1" applyAlignment="1" applyProtection="1">
      <alignment horizontal="right" vertical="center"/>
      <protection locked="0"/>
    </xf>
    <xf numFmtId="3" fontId="11" fillId="36" borderId="17" xfId="53" applyNumberFormat="1" applyFont="1" applyFill="1" applyBorder="1" applyAlignment="1" applyProtection="1">
      <alignment horizontal="right" vertical="center"/>
      <protection/>
    </xf>
    <xf numFmtId="4" fontId="11" fillId="0" borderId="17" xfId="0" applyNumberFormat="1" applyFont="1" applyFill="1" applyBorder="1" applyAlignment="1">
      <alignment horizontal="right" vertical="center" shrinkToFit="1"/>
    </xf>
    <xf numFmtId="3" fontId="11" fillId="0" borderId="17" xfId="0" applyNumberFormat="1" applyFont="1" applyFill="1" applyBorder="1" applyAlignment="1">
      <alignment horizontal="right" vertical="center" shrinkToFit="1"/>
    </xf>
    <xf numFmtId="3" fontId="183" fillId="0" borderId="17" xfId="0" applyNumberFormat="1" applyFont="1" applyFill="1" applyBorder="1" applyAlignment="1">
      <alignment horizontal="right" vertical="center" shrinkToFit="1"/>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204" fontId="11" fillId="7" borderId="17" xfId="0" applyNumberFormat="1" applyFont="1" applyFill="1" applyBorder="1" applyAlignment="1">
      <alignment vertical="center"/>
    </xf>
    <xf numFmtId="0" fontId="11" fillId="7" borderId="17" xfId="58" applyFont="1" applyFill="1" applyBorder="1" applyAlignment="1">
      <alignment vertical="center"/>
      <protection/>
    </xf>
    <xf numFmtId="0" fontId="11" fillId="36" borderId="32" xfId="0" applyFont="1" applyFill="1" applyBorder="1" applyAlignment="1" applyProtection="1">
      <alignment horizontal="center" vertical="center"/>
      <protection/>
    </xf>
    <xf numFmtId="0" fontId="11" fillId="7" borderId="32" xfId="0" applyNumberFormat="1" applyFont="1" applyFill="1" applyBorder="1" applyAlignment="1" applyProtection="1">
      <alignment horizontal="left" vertical="center"/>
      <protection locked="0"/>
    </xf>
    <xf numFmtId="0" fontId="11" fillId="7" borderId="32" xfId="0" applyFont="1" applyFill="1" applyBorder="1" applyAlignment="1">
      <alignment horizontal="left" vertical="center"/>
    </xf>
    <xf numFmtId="190" fontId="11" fillId="7" borderId="32" xfId="0" applyNumberFormat="1" applyFont="1" applyFill="1" applyBorder="1" applyAlignment="1" applyProtection="1">
      <alignment horizontal="center" vertical="center"/>
      <protection/>
    </xf>
    <xf numFmtId="0" fontId="11" fillId="7" borderId="32" xfId="0" applyNumberFormat="1" applyFont="1" applyFill="1" applyBorder="1" applyAlignment="1" applyProtection="1">
      <alignment vertical="center"/>
      <protection/>
    </xf>
    <xf numFmtId="0" fontId="11" fillId="7" borderId="32" xfId="0" applyFont="1" applyFill="1" applyBorder="1" applyAlignment="1">
      <alignment vertical="center"/>
    </xf>
    <xf numFmtId="4" fontId="11" fillId="0" borderId="32" xfId="0" applyNumberFormat="1" applyFont="1" applyFill="1" applyBorder="1" applyAlignment="1">
      <alignment vertical="center"/>
    </xf>
    <xf numFmtId="3" fontId="11" fillId="0" borderId="32" xfId="0" applyNumberFormat="1" applyFont="1" applyFill="1" applyBorder="1" applyAlignment="1">
      <alignment vertical="center"/>
    </xf>
    <xf numFmtId="4" fontId="11" fillId="0" borderId="32" xfId="0" applyNumberFormat="1" applyFont="1" applyBorder="1" applyAlignment="1">
      <alignment vertical="center"/>
    </xf>
    <xf numFmtId="3" fontId="11" fillId="0" borderId="32" xfId="0" applyNumberFormat="1" applyFont="1" applyBorder="1" applyAlignment="1">
      <alignment vertical="center"/>
    </xf>
    <xf numFmtId="190" fontId="11" fillId="36" borderId="32" xfId="0" applyNumberFormat="1" applyFont="1" applyFill="1" applyBorder="1" applyAlignment="1" applyProtection="1">
      <alignment horizontal="center" vertical="center"/>
      <protection/>
    </xf>
    <xf numFmtId="0" fontId="11" fillId="7" borderId="17" xfId="0" applyNumberFormat="1" applyFont="1" applyFill="1" applyBorder="1" applyAlignment="1" applyProtection="1">
      <alignment horizontal="right" vertical="center"/>
      <protection locked="0"/>
    </xf>
    <xf numFmtId="0" fontId="11" fillId="7" borderId="17" xfId="0" applyFont="1" applyFill="1" applyBorder="1" applyAlignment="1">
      <alignment horizontal="right" vertical="center"/>
    </xf>
    <xf numFmtId="1" fontId="11" fillId="7" borderId="17" xfId="0" applyNumberFormat="1" applyFont="1" applyFill="1" applyBorder="1" applyAlignment="1">
      <alignment horizontal="right" vertical="center"/>
    </xf>
    <xf numFmtId="1" fontId="11" fillId="7" borderId="17" xfId="0" applyNumberFormat="1" applyFont="1" applyFill="1" applyBorder="1" applyAlignment="1">
      <alignment vertical="center"/>
    </xf>
    <xf numFmtId="0" fontId="33" fillId="0" borderId="0" xfId="0" applyFont="1" applyFill="1" applyAlignment="1">
      <alignment horizontal="center" wrapText="1"/>
    </xf>
    <xf numFmtId="0" fontId="33" fillId="0" borderId="20" xfId="0" applyFont="1" applyFill="1" applyBorder="1" applyAlignment="1">
      <alignment horizontal="center"/>
    </xf>
    <xf numFmtId="0" fontId="73" fillId="0" borderId="0" xfId="0" applyFont="1" applyFill="1" applyAlignment="1">
      <alignment/>
    </xf>
    <xf numFmtId="0" fontId="0" fillId="0" borderId="0" xfId="0" applyFill="1" applyAlignment="1">
      <alignment/>
    </xf>
    <xf numFmtId="0" fontId="11" fillId="7" borderId="17" xfId="0" applyNumberFormat="1" applyFont="1" applyFill="1" applyBorder="1" applyAlignment="1" applyProtection="1">
      <alignment horizontal="left" vertical="center"/>
      <protection locked="0"/>
    </xf>
    <xf numFmtId="0" fontId="193" fillId="0" borderId="0" xfId="0" applyFont="1" applyAlignment="1">
      <alignment horizontal="center" wrapText="1"/>
    </xf>
    <xf numFmtId="0" fontId="193" fillId="0" borderId="20" xfId="0" applyFont="1" applyBorder="1" applyAlignment="1">
      <alignment horizontal="center"/>
    </xf>
    <xf numFmtId="0" fontId="182" fillId="7" borderId="17" xfId="0" applyNumberFormat="1" applyFont="1" applyFill="1" applyBorder="1" applyAlignment="1" applyProtection="1">
      <alignment horizontal="left" vertical="center"/>
      <protection locked="0"/>
    </xf>
    <xf numFmtId="0" fontId="194" fillId="0" borderId="0" xfId="0" applyFont="1" applyAlignment="1">
      <alignment/>
    </xf>
    <xf numFmtId="4" fontId="11" fillId="0" borderId="17" xfId="43" applyNumberFormat="1" applyFont="1" applyFill="1" applyBorder="1" applyAlignment="1">
      <alignment vertical="center"/>
    </xf>
    <xf numFmtId="3" fontId="11" fillId="0" borderId="17" xfId="43" applyNumberFormat="1" applyFont="1" applyFill="1" applyBorder="1" applyAlignment="1">
      <alignment vertical="center"/>
    </xf>
    <xf numFmtId="4" fontId="11" fillId="0" borderId="17" xfId="40" applyNumberFormat="1" applyFont="1" applyFill="1" applyBorder="1" applyAlignment="1">
      <alignment vertical="center"/>
    </xf>
    <xf numFmtId="3" fontId="11" fillId="0" borderId="17" xfId="40" applyNumberFormat="1" applyFont="1" applyFill="1" applyBorder="1" applyAlignment="1">
      <alignment vertical="center"/>
    </xf>
    <xf numFmtId="0" fontId="11" fillId="0" borderId="17" xfId="57" applyNumberFormat="1" applyFont="1" applyFill="1" applyBorder="1" applyAlignment="1" applyProtection="1">
      <alignment vertical="center"/>
      <protection locked="0"/>
    </xf>
    <xf numFmtId="0" fontId="184" fillId="33" borderId="32" xfId="0" applyNumberFormat="1" applyFont="1" applyFill="1" applyBorder="1" applyAlignment="1" applyProtection="1">
      <alignment horizontal="center" vertical="center"/>
      <protection/>
    </xf>
    <xf numFmtId="0" fontId="74" fillId="7" borderId="32" xfId="0" applyFont="1" applyFill="1" applyBorder="1" applyAlignment="1" applyProtection="1">
      <alignment vertical="center"/>
      <protection/>
    </xf>
    <xf numFmtId="0" fontId="74" fillId="7" borderId="32" xfId="0" applyFont="1" applyFill="1" applyBorder="1" applyAlignment="1">
      <alignment vertical="center"/>
    </xf>
    <xf numFmtId="0" fontId="74" fillId="7" borderId="32" xfId="0" applyNumberFormat="1" applyFont="1" applyFill="1" applyBorder="1" applyAlignment="1" applyProtection="1">
      <alignment vertical="center"/>
      <protection locked="0"/>
    </xf>
    <xf numFmtId="190" fontId="74" fillId="7" borderId="32" xfId="0" applyNumberFormat="1" applyFont="1" applyFill="1" applyBorder="1" applyAlignment="1" applyProtection="1">
      <alignment horizontal="center" vertical="center"/>
      <protection locked="0"/>
    </xf>
    <xf numFmtId="0" fontId="74" fillId="7" borderId="32" xfId="0" applyNumberFormat="1" applyFont="1" applyFill="1" applyBorder="1" applyAlignment="1" applyProtection="1">
      <alignment vertical="center"/>
      <protection/>
    </xf>
    <xf numFmtId="4" fontId="11" fillId="0" borderId="32" xfId="43" applyNumberFormat="1" applyFont="1" applyFill="1" applyBorder="1" applyAlignment="1">
      <alignment vertical="center"/>
    </xf>
    <xf numFmtId="3" fontId="11" fillId="0" borderId="32" xfId="43" applyNumberFormat="1" applyFont="1" applyFill="1" applyBorder="1" applyAlignment="1">
      <alignment vertical="center"/>
    </xf>
    <xf numFmtId="4" fontId="182" fillId="10" borderId="32" xfId="0" applyNumberFormat="1" applyFont="1" applyFill="1" applyBorder="1" applyAlignment="1">
      <alignment vertical="center"/>
    </xf>
    <xf numFmtId="3" fontId="182" fillId="10" borderId="32" xfId="0" applyNumberFormat="1" applyFont="1" applyFill="1" applyBorder="1" applyAlignment="1">
      <alignment vertical="center"/>
    </xf>
    <xf numFmtId="3" fontId="11" fillId="10" borderId="32" xfId="71" applyNumberFormat="1" applyFont="1" applyFill="1" applyBorder="1" applyAlignment="1" applyProtection="1">
      <alignment vertical="center"/>
      <protection/>
    </xf>
    <xf numFmtId="2" fontId="11" fillId="10" borderId="32" xfId="71" applyNumberFormat="1" applyFont="1" applyFill="1" applyBorder="1" applyAlignment="1" applyProtection="1">
      <alignment vertical="center"/>
      <protection/>
    </xf>
    <xf numFmtId="4" fontId="11" fillId="10" borderId="32" xfId="43" applyNumberFormat="1" applyFont="1" applyFill="1" applyBorder="1" applyAlignment="1" applyProtection="1">
      <alignment vertical="center"/>
      <protection/>
    </xf>
    <xf numFmtId="9" fontId="11" fillId="10" borderId="32" xfId="71" applyNumberFormat="1" applyFont="1" applyFill="1" applyBorder="1" applyAlignment="1" applyProtection="1">
      <alignment vertical="center"/>
      <protection/>
    </xf>
    <xf numFmtId="2" fontId="11" fillId="0" borderId="32" xfId="0" applyNumberFormat="1" applyFont="1" applyFill="1" applyBorder="1" applyAlignment="1" applyProtection="1">
      <alignment vertical="center"/>
      <protection/>
    </xf>
    <xf numFmtId="0" fontId="192" fillId="0" borderId="32" xfId="0" applyFont="1" applyFill="1" applyBorder="1" applyAlignment="1" applyProtection="1">
      <alignment horizontal="center" vertical="center"/>
      <protection/>
    </xf>
    <xf numFmtId="0" fontId="15" fillId="19" borderId="12" xfId="0" applyFont="1" applyFill="1" applyBorder="1" applyAlignment="1" applyProtection="1">
      <alignment horizontal="center"/>
      <protection/>
    </xf>
    <xf numFmtId="4" fontId="15" fillId="19" borderId="12" xfId="0" applyNumberFormat="1" applyFont="1" applyFill="1" applyBorder="1" applyAlignment="1" applyProtection="1">
      <alignment horizontal="center" vertical="center" wrapText="1"/>
      <protection/>
    </xf>
    <xf numFmtId="3" fontId="15" fillId="19" borderId="12" xfId="0" applyNumberFormat="1" applyFont="1" applyFill="1" applyBorder="1" applyAlignment="1" applyProtection="1">
      <alignment horizontal="center" vertical="center" wrapText="1"/>
      <protection/>
    </xf>
    <xf numFmtId="4" fontId="15" fillId="35" borderId="12" xfId="0" applyNumberFormat="1" applyFont="1" applyFill="1" applyBorder="1" applyAlignment="1" applyProtection="1">
      <alignment horizontal="center" vertical="center" wrapText="1"/>
      <protection/>
    </xf>
    <xf numFmtId="3" fontId="15" fillId="35" borderId="12" xfId="0" applyNumberFormat="1" applyFont="1" applyFill="1" applyBorder="1" applyAlignment="1" applyProtection="1">
      <alignment horizontal="center" vertical="center" wrapText="1"/>
      <protection/>
    </xf>
    <xf numFmtId="192" fontId="15" fillId="35" borderId="12" xfId="0" applyNumberFormat="1" applyFont="1" applyFill="1" applyBorder="1" applyAlignment="1" applyProtection="1">
      <alignment horizontal="center" vertical="center" wrapText="1"/>
      <protection/>
    </xf>
    <xf numFmtId="4" fontId="15" fillId="13" borderId="26" xfId="0" applyNumberFormat="1" applyFont="1" applyFill="1" applyBorder="1" applyAlignment="1" applyProtection="1">
      <alignment horizontal="center" vertical="center" wrapText="1"/>
      <protection/>
    </xf>
    <xf numFmtId="0" fontId="15" fillId="34" borderId="36" xfId="0" applyFont="1" applyFill="1" applyBorder="1" applyAlignment="1" applyProtection="1">
      <alignment horizontal="center"/>
      <protection/>
    </xf>
    <xf numFmtId="0" fontId="45" fillId="14" borderId="32" xfId="0" applyFont="1" applyFill="1" applyBorder="1" applyAlignment="1">
      <alignment vertical="center"/>
    </xf>
    <xf numFmtId="0" fontId="74" fillId="14" borderId="32" xfId="0" applyFont="1" applyFill="1" applyBorder="1" applyAlignment="1" applyProtection="1">
      <alignment vertical="center"/>
      <protection/>
    </xf>
    <xf numFmtId="0" fontId="74" fillId="14" borderId="32" xfId="0" applyNumberFormat="1" applyFont="1" applyFill="1" applyBorder="1" applyAlignment="1" applyProtection="1">
      <alignment vertical="center"/>
      <protection locked="0"/>
    </xf>
    <xf numFmtId="0" fontId="15" fillId="35" borderId="27" xfId="0" applyFont="1" applyFill="1" applyBorder="1" applyAlignment="1" applyProtection="1">
      <alignment horizontal="center" vertical="center" wrapText="1"/>
      <protection/>
    </xf>
    <xf numFmtId="0" fontId="15" fillId="35" borderId="39" xfId="0" applyFont="1" applyFill="1" applyBorder="1" applyAlignment="1" applyProtection="1">
      <alignment horizontal="center" vertical="center" wrapText="1"/>
      <protection/>
    </xf>
    <xf numFmtId="0" fontId="195" fillId="47" borderId="17" xfId="0" applyFont="1" applyFill="1" applyBorder="1" applyAlignment="1" applyProtection="1">
      <alignment horizontal="left" vertical="center" wrapText="1"/>
      <protection/>
    </xf>
    <xf numFmtId="0" fontId="195" fillId="48" borderId="17" xfId="0" applyFont="1" applyFill="1" applyBorder="1" applyAlignment="1" applyProtection="1">
      <alignment horizontal="left" vertical="center" wrapText="1"/>
      <protection/>
    </xf>
    <xf numFmtId="0" fontId="45" fillId="45" borderId="17" xfId="0" applyFont="1" applyFill="1" applyBorder="1" applyAlignment="1" applyProtection="1">
      <alignment horizontal="left" vertical="center" wrapText="1"/>
      <protection/>
    </xf>
    <xf numFmtId="0" fontId="45" fillId="44" borderId="17" xfId="0" applyFont="1" applyFill="1" applyBorder="1" applyAlignment="1" applyProtection="1">
      <alignment horizontal="left" vertical="center" wrapText="1"/>
      <protection/>
    </xf>
    <xf numFmtId="0" fontId="45" fillId="44" borderId="17"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4" fillId="33" borderId="4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40" xfId="0" applyFont="1" applyFill="1" applyBorder="1" applyAlignment="1" applyProtection="1">
      <alignment vertical="center" wrapText="1"/>
      <protection/>
    </xf>
    <xf numFmtId="0" fontId="16" fillId="34" borderId="16" xfId="0" applyFont="1" applyFill="1" applyBorder="1" applyAlignment="1" applyProtection="1">
      <alignment horizontal="center" vertical="center" wrapText="1"/>
      <protection/>
    </xf>
    <xf numFmtId="0" fontId="16" fillId="34" borderId="41" xfId="0" applyFont="1" applyFill="1" applyBorder="1" applyAlignment="1" applyProtection="1">
      <alignment horizontal="center" vertical="center" wrapText="1"/>
      <protection/>
    </xf>
    <xf numFmtId="0" fontId="16" fillId="34" borderId="42" xfId="0" applyFont="1" applyFill="1" applyBorder="1" applyAlignment="1" applyProtection="1">
      <alignment horizontal="center" vertical="center" wrapText="1"/>
      <protection/>
    </xf>
    <xf numFmtId="0" fontId="195" fillId="42" borderId="17" xfId="0" applyFont="1" applyFill="1" applyBorder="1" applyAlignment="1" applyProtection="1">
      <alignment horizontal="left" vertical="center" wrapText="1"/>
      <protection/>
    </xf>
    <xf numFmtId="0" fontId="195" fillId="42" borderId="17"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8" fillId="0" borderId="0" xfId="0" applyFont="1" applyAlignment="1">
      <alignment vertical="center" wrapText="1"/>
    </xf>
    <xf numFmtId="2" fontId="35" fillId="36" borderId="0" xfId="0" applyNumberFormat="1" applyFont="1" applyFill="1" applyBorder="1" applyAlignment="1">
      <alignment horizontal="right" vertical="center" wrapText="1" indent="1"/>
    </xf>
    <xf numFmtId="4" fontId="25" fillId="36" borderId="0" xfId="0" applyNumberFormat="1" applyFont="1" applyFill="1" applyBorder="1" applyAlignment="1">
      <alignment horizontal="right" vertical="center" wrapText="1" indent="1"/>
    </xf>
    <xf numFmtId="0" fontId="55" fillId="14" borderId="43" xfId="0" applyFont="1" applyFill="1" applyBorder="1" applyAlignment="1" applyProtection="1">
      <alignment horizontal="center" vertical="center" wrapText="1"/>
      <protection/>
    </xf>
    <xf numFmtId="0" fontId="57" fillId="14" borderId="43" xfId="0" applyFont="1" applyFill="1" applyBorder="1" applyAlignment="1" applyProtection="1">
      <alignment horizontal="center" vertical="center" wrapText="1"/>
      <protection/>
    </xf>
    <xf numFmtId="0" fontId="58"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5" fillId="34" borderId="10" xfId="0"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2"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15" fillId="35" borderId="19" xfId="0"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15" fillId="34" borderId="26" xfId="40" applyNumberFormat="1" applyFont="1" applyFill="1" applyBorder="1" applyAlignment="1" applyProtection="1">
      <alignment horizontal="center" wrapText="1"/>
      <protection/>
    </xf>
    <xf numFmtId="0" fontId="0" fillId="0" borderId="44" xfId="0" applyNumberFormat="1" applyBorder="1" applyAlignment="1">
      <alignment horizontal="center" wrapText="1"/>
    </xf>
    <xf numFmtId="0" fontId="0" fillId="0" borderId="45" xfId="0" applyNumberFormat="1" applyBorder="1" applyAlignment="1">
      <alignment horizontal="center" wrapText="1"/>
    </xf>
    <xf numFmtId="0" fontId="45" fillId="46" borderId="17" xfId="0" applyFont="1" applyFill="1" applyBorder="1" applyAlignment="1" applyProtection="1">
      <alignment horizontal="left" vertical="center" wrapText="1"/>
      <protection/>
    </xf>
    <xf numFmtId="0" fontId="25" fillId="33" borderId="46" xfId="0" applyFont="1" applyFill="1" applyBorder="1" applyAlignment="1" applyProtection="1">
      <alignment horizontal="center" vertical="center" wrapText="1"/>
      <protection/>
    </xf>
    <xf numFmtId="190" fontId="25" fillId="33" borderId="46" xfId="0" applyNumberFormat="1" applyFont="1" applyFill="1" applyBorder="1" applyAlignment="1" applyProtection="1">
      <alignment horizontal="center" vertical="center" wrapText="1"/>
      <protection/>
    </xf>
    <xf numFmtId="0" fontId="45" fillId="40" borderId="17" xfId="0" applyFont="1" applyFill="1" applyBorder="1" applyAlignment="1" applyProtection="1">
      <alignment horizontal="left" vertical="center" wrapText="1"/>
      <protection/>
    </xf>
    <xf numFmtId="0" fontId="195" fillId="43" borderId="17" xfId="0" applyFont="1" applyFill="1" applyBorder="1" applyAlignment="1" applyProtection="1">
      <alignment horizontal="left" vertical="center" wrapText="1"/>
      <protection/>
    </xf>
    <xf numFmtId="190" fontId="13" fillId="33" borderId="47" xfId="0" applyNumberFormat="1" applyFont="1" applyFill="1" applyBorder="1" applyAlignment="1" applyProtection="1">
      <alignment horizontal="left" vertical="center" wrapText="1"/>
      <protection/>
    </xf>
    <xf numFmtId="0" fontId="0" fillId="33" borderId="43" xfId="0" applyFill="1" applyBorder="1" applyAlignment="1" applyProtection="1">
      <alignment vertical="center" wrapText="1"/>
      <protection/>
    </xf>
    <xf numFmtId="0" fontId="0" fillId="33" borderId="48" xfId="0" applyFill="1" applyBorder="1" applyAlignment="1" applyProtection="1">
      <alignment vertical="center" wrapText="1"/>
      <protection/>
    </xf>
    <xf numFmtId="0" fontId="0" fillId="33" borderId="40"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49" xfId="0" applyFill="1" applyBorder="1" applyAlignment="1" applyProtection="1">
      <alignment vertical="center" wrapText="1"/>
      <protection/>
    </xf>
    <xf numFmtId="0" fontId="0" fillId="33" borderId="34"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0" xfId="0" applyFill="1" applyBorder="1" applyAlignment="1" applyProtection="1">
      <alignment vertical="center" wrapText="1"/>
      <protection/>
    </xf>
    <xf numFmtId="0" fontId="196" fillId="14" borderId="11" xfId="0" applyFont="1" applyFill="1" applyBorder="1" applyAlignment="1" applyProtection="1">
      <alignment horizontal="center" vertical="center" wrapText="1"/>
      <protection/>
    </xf>
    <xf numFmtId="0" fontId="197" fillId="14" borderId="0" xfId="0" applyFont="1" applyFill="1" applyBorder="1" applyAlignment="1">
      <alignment horizontal="center" vertical="center" wrapText="1"/>
    </xf>
    <xf numFmtId="0" fontId="197" fillId="14" borderId="11" xfId="0" applyFont="1" applyFill="1" applyBorder="1" applyAlignment="1">
      <alignment horizontal="center" vertical="center" wrapText="1"/>
    </xf>
    <xf numFmtId="0" fontId="15" fillId="33" borderId="19" xfId="0"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1" fillId="14" borderId="0"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98" fillId="53" borderId="51" xfId="0" applyFont="1" applyFill="1" applyBorder="1" applyAlignment="1">
      <alignment horizontal="center" wrapText="1"/>
    </xf>
    <xf numFmtId="0" fontId="0" fillId="0" borderId="52" xfId="0" applyFont="1" applyBorder="1" applyAlignment="1">
      <alignment wrapText="1"/>
    </xf>
    <xf numFmtId="0" fontId="0" fillId="0" borderId="53" xfId="0" applyFont="1" applyBorder="1" applyAlignment="1">
      <alignment wrapText="1"/>
    </xf>
    <xf numFmtId="0" fontId="190" fillId="0" borderId="54" xfId="0" applyFont="1" applyBorder="1" applyAlignment="1">
      <alignment horizontal="center" wrapText="1"/>
    </xf>
    <xf numFmtId="0" fontId="190" fillId="0" borderId="55" xfId="0" applyFont="1" applyBorder="1" applyAlignment="1">
      <alignment horizontal="center" wrapText="1"/>
    </xf>
    <xf numFmtId="0" fontId="190" fillId="0" borderId="56" xfId="0" applyFont="1" applyBorder="1" applyAlignment="1">
      <alignment horizontal="center" wrapText="1"/>
    </xf>
    <xf numFmtId="0" fontId="167" fillId="53" borderId="0" xfId="0" applyNumberFormat="1" applyFont="1" applyFill="1" applyAlignment="1">
      <alignment horizontal="center" wrapText="1"/>
    </xf>
    <xf numFmtId="0" fontId="181" fillId="0" borderId="11" xfId="0" applyFont="1" applyBorder="1" applyAlignment="1">
      <alignment horizontal="center" wrapText="1"/>
    </xf>
    <xf numFmtId="9" fontId="199" fillId="0" borderId="57" xfId="0" applyNumberFormat="1" applyFont="1" applyBorder="1" applyAlignment="1">
      <alignment horizontal="center" vertical="center" wrapText="1"/>
    </xf>
    <xf numFmtId="9" fontId="200" fillId="0" borderId="58" xfId="0" applyNumberFormat="1" applyFont="1" applyBorder="1" applyAlignment="1">
      <alignment horizontal="center" vertical="center" wrapText="1"/>
    </xf>
    <xf numFmtId="0" fontId="199" fillId="5" borderId="59" xfId="0" applyFont="1" applyFill="1" applyBorder="1" applyAlignment="1">
      <alignment horizontal="center" wrapText="1"/>
    </xf>
    <xf numFmtId="0" fontId="200" fillId="5" borderId="59" xfId="0" applyFont="1" applyFill="1" applyBorder="1" applyAlignment="1">
      <alignment horizontal="center" wrapText="1"/>
    </xf>
    <xf numFmtId="9" fontId="201" fillId="0" borderId="57" xfId="0" applyNumberFormat="1" applyFont="1" applyBorder="1" applyAlignment="1">
      <alignment horizontal="center" vertical="center" wrapText="1"/>
    </xf>
    <xf numFmtId="9" fontId="202" fillId="0" borderId="58" xfId="0" applyNumberFormat="1" applyFont="1" applyBorder="1" applyAlignment="1">
      <alignment horizontal="center" vertical="center" wrapText="1"/>
    </xf>
    <xf numFmtId="9" fontId="203" fillId="0" borderId="57" xfId="0" applyNumberFormat="1" applyFont="1" applyBorder="1" applyAlignment="1">
      <alignment horizontal="center" vertical="center" wrapText="1"/>
    </xf>
    <xf numFmtId="9" fontId="204" fillId="0" borderId="58" xfId="0" applyNumberFormat="1" applyFont="1" applyBorder="1" applyAlignment="1">
      <alignment horizontal="center" vertical="center" wrapText="1"/>
    </xf>
    <xf numFmtId="0" fontId="205" fillId="54" borderId="0" xfId="0" applyFont="1" applyFill="1" applyAlignment="1">
      <alignment horizontal="center" vertical="center" textRotation="180" wrapText="1"/>
    </xf>
    <xf numFmtId="0" fontId="0" fillId="0" borderId="0" xfId="0" applyAlignment="1">
      <alignment wrapText="1"/>
    </xf>
    <xf numFmtId="0" fontId="205" fillId="51" borderId="0" xfId="0" applyFont="1" applyFill="1" applyAlignment="1">
      <alignment horizontal="center" vertical="center" textRotation="180" wrapText="1"/>
    </xf>
    <xf numFmtId="9" fontId="206" fillId="0" borderId="57" xfId="0" applyNumberFormat="1" applyFont="1" applyBorder="1" applyAlignment="1">
      <alignment horizontal="center" vertical="center" wrapText="1"/>
    </xf>
    <xf numFmtId="9" fontId="207" fillId="0" borderId="58" xfId="0" applyNumberFormat="1" applyFont="1" applyBorder="1" applyAlignment="1">
      <alignment horizontal="center" vertical="center" wrapText="1"/>
    </xf>
    <xf numFmtId="0" fontId="205" fillId="37" borderId="0" xfId="0" applyFont="1" applyFill="1" applyAlignment="1">
      <alignment horizontal="center" vertical="center" textRotation="180" wrapText="1"/>
    </xf>
    <xf numFmtId="0" fontId="0" fillId="37" borderId="0" xfId="0" applyFill="1" applyAlignment="1">
      <alignment wrapText="1"/>
    </xf>
    <xf numFmtId="0" fontId="208" fillId="43" borderId="0" xfId="0" applyFont="1" applyFill="1" applyAlignment="1">
      <alignment horizontal="center" wrapText="1"/>
    </xf>
    <xf numFmtId="0" fontId="209" fillId="43" borderId="0" xfId="0" applyFont="1" applyFill="1" applyAlignment="1">
      <alignment horizontal="center" wrapText="1"/>
    </xf>
    <xf numFmtId="4" fontId="15" fillId="35" borderId="60" xfId="0" applyNumberFormat="1" applyFont="1" applyFill="1" applyBorder="1" applyAlignment="1" applyProtection="1">
      <alignment horizontal="center" vertical="center" wrapText="1"/>
      <protection/>
    </xf>
    <xf numFmtId="3" fontId="15" fillId="35" borderId="60" xfId="0" applyNumberFormat="1" applyFont="1" applyFill="1" applyBorder="1" applyAlignment="1" applyProtection="1">
      <alignment horizontal="center" vertical="center" wrapText="1"/>
      <protection/>
    </xf>
    <xf numFmtId="4" fontId="20" fillId="44" borderId="60" xfId="0" applyNumberFormat="1" applyFont="1" applyFill="1" applyBorder="1" applyAlignment="1" applyProtection="1">
      <alignment horizontal="center" vertical="center" wrapText="1"/>
      <protection/>
    </xf>
    <xf numFmtId="3" fontId="20" fillId="44" borderId="60" xfId="0" applyNumberFormat="1" applyFont="1" applyFill="1" applyBorder="1" applyAlignment="1" applyProtection="1">
      <alignment horizontal="center" vertical="center" wrapText="1"/>
      <protection/>
    </xf>
    <xf numFmtId="192" fontId="15" fillId="35" borderId="60" xfId="0" applyNumberFormat="1" applyFont="1" applyFill="1" applyBorder="1" applyAlignment="1" applyProtection="1">
      <alignment horizontal="center" vertical="center" wrapText="1"/>
      <protection/>
    </xf>
    <xf numFmtId="4" fontId="15" fillId="44" borderId="60" xfId="0" applyNumberFormat="1" applyFont="1" applyFill="1" applyBorder="1" applyAlignment="1" applyProtection="1">
      <alignment horizontal="center" vertical="center" wrapText="1"/>
      <protection/>
    </xf>
    <xf numFmtId="4" fontId="11" fillId="2" borderId="17" xfId="71" applyNumberFormat="1" applyFont="1" applyFill="1" applyBorder="1" applyAlignment="1" applyProtection="1">
      <alignment vertical="center"/>
      <protection/>
    </xf>
    <xf numFmtId="3" fontId="11" fillId="2" borderId="17" xfId="71" applyNumberFormat="1" applyFont="1" applyFill="1" applyBorder="1" applyAlignment="1" applyProtection="1">
      <alignment vertical="center"/>
      <protection/>
    </xf>
    <xf numFmtId="9" fontId="11" fillId="2" borderId="17" xfId="71" applyNumberFormat="1" applyFont="1" applyFill="1" applyBorder="1" applyAlignment="1" applyProtection="1">
      <alignment vertical="center"/>
      <protection/>
    </xf>
    <xf numFmtId="2" fontId="11" fillId="2" borderId="17" xfId="71" applyNumberFormat="1" applyFont="1" applyFill="1" applyBorder="1" applyAlignment="1" applyProtection="1">
      <alignment vertical="center"/>
      <protection/>
    </xf>
    <xf numFmtId="4" fontId="11" fillId="2" borderId="17" xfId="43" applyNumberFormat="1" applyFont="1" applyFill="1" applyBorder="1" applyAlignment="1" applyProtection="1">
      <alignment vertical="center"/>
      <protection locked="0"/>
    </xf>
    <xf numFmtId="4" fontId="11" fillId="2" borderId="17" xfId="0" applyNumberFormat="1" applyFont="1" applyFill="1" applyBorder="1" applyAlignment="1">
      <alignment vertical="center"/>
    </xf>
    <xf numFmtId="4" fontId="11" fillId="2" borderId="17" xfId="43" applyNumberFormat="1" applyFont="1" applyFill="1" applyBorder="1" applyAlignment="1" applyProtection="1">
      <alignment vertical="center"/>
      <protection/>
    </xf>
    <xf numFmtId="4" fontId="192" fillId="2" borderId="17" xfId="53" applyNumberFormat="1" applyFont="1" applyFill="1" applyBorder="1" applyAlignment="1" applyProtection="1">
      <alignment vertical="center"/>
      <protection/>
    </xf>
    <xf numFmtId="3" fontId="192" fillId="2" borderId="17" xfId="53" applyNumberFormat="1" applyFont="1" applyFill="1" applyBorder="1" applyAlignment="1" applyProtection="1">
      <alignment vertical="center"/>
      <protection/>
    </xf>
    <xf numFmtId="4" fontId="192" fillId="2" borderId="17" xfId="0" applyNumberFormat="1" applyFont="1" applyFill="1" applyBorder="1" applyAlignment="1">
      <alignment vertical="center"/>
    </xf>
    <xf numFmtId="3" fontId="192" fillId="2" borderId="17" xfId="0" applyNumberFormat="1" applyFont="1" applyFill="1" applyBorder="1" applyAlignment="1">
      <alignment vertical="center"/>
    </xf>
    <xf numFmtId="4" fontId="192" fillId="2" borderId="17" xfId="42" applyNumberFormat="1" applyFont="1" applyFill="1" applyBorder="1" applyAlignment="1" applyProtection="1">
      <alignment vertical="center"/>
      <protection locked="0"/>
    </xf>
    <xf numFmtId="3" fontId="192" fillId="2" borderId="17" xfId="42" applyNumberFormat="1" applyFont="1" applyFill="1" applyBorder="1" applyAlignment="1" applyProtection="1">
      <alignment vertical="center"/>
      <protection locked="0"/>
    </xf>
    <xf numFmtId="4" fontId="192" fillId="2" borderId="17" xfId="42" applyNumberFormat="1" applyFont="1" applyFill="1" applyBorder="1" applyAlignment="1" applyProtection="1">
      <alignment vertical="center"/>
      <protection/>
    </xf>
    <xf numFmtId="3" fontId="192" fillId="2" borderId="17" xfId="42" applyNumberFormat="1" applyFont="1" applyFill="1" applyBorder="1" applyAlignment="1" applyProtection="1">
      <alignment vertical="center"/>
      <protection/>
    </xf>
    <xf numFmtId="4" fontId="192" fillId="2" borderId="17" xfId="43" applyNumberFormat="1" applyFont="1" applyFill="1" applyBorder="1" applyAlignment="1" applyProtection="1">
      <alignment vertical="center"/>
      <protection locked="0"/>
    </xf>
    <xf numFmtId="3" fontId="192" fillId="2" borderId="17" xfId="43" applyNumberFormat="1" applyFont="1" applyFill="1" applyBorder="1" applyAlignment="1" applyProtection="1">
      <alignment vertical="center"/>
      <protection locked="0"/>
    </xf>
    <xf numFmtId="4" fontId="15" fillId="19" borderId="60" xfId="0" applyNumberFormat="1" applyFont="1" applyFill="1" applyBorder="1" applyAlignment="1" applyProtection="1">
      <alignment horizontal="center" vertical="center" wrapText="1"/>
      <protection/>
    </xf>
    <xf numFmtId="3" fontId="15" fillId="19" borderId="60" xfId="0" applyNumberFormat="1" applyFont="1" applyFill="1" applyBorder="1" applyAlignment="1" applyProtection="1">
      <alignment horizontal="center" vertical="center" wrapText="1"/>
      <protection/>
    </xf>
    <xf numFmtId="4" fontId="76" fillId="0" borderId="17" xfId="0" applyNumberFormat="1" applyFont="1" applyFill="1" applyBorder="1" applyAlignment="1">
      <alignment horizontal="right" vertical="center"/>
    </xf>
    <xf numFmtId="3" fontId="76" fillId="0" borderId="17" xfId="0" applyNumberFormat="1" applyFont="1" applyFill="1" applyBorder="1" applyAlignment="1">
      <alignment horizontal="right" vertical="center"/>
    </xf>
    <xf numFmtId="4" fontId="76" fillId="0" borderId="17" xfId="42" applyNumberFormat="1" applyFont="1" applyFill="1" applyBorder="1" applyAlignment="1" applyProtection="1">
      <alignment horizontal="right" vertical="center"/>
      <protection locked="0"/>
    </xf>
    <xf numFmtId="3" fontId="76" fillId="0" borderId="17" xfId="42" applyNumberFormat="1" applyFont="1" applyFill="1" applyBorder="1" applyAlignment="1" applyProtection="1">
      <alignment horizontal="right" vertical="center"/>
      <protection locked="0"/>
    </xf>
    <xf numFmtId="4" fontId="76" fillId="0" borderId="17" xfId="42" applyNumberFormat="1" applyFont="1" applyFill="1" applyBorder="1" applyAlignment="1" applyProtection="1">
      <alignment horizontal="right" vertical="center"/>
      <protection/>
    </xf>
    <xf numFmtId="4" fontId="76" fillId="0" borderId="17" xfId="43" applyNumberFormat="1" applyFont="1" applyFill="1" applyBorder="1" applyAlignment="1" applyProtection="1">
      <alignment horizontal="right" vertical="center"/>
      <protection locked="0"/>
    </xf>
    <xf numFmtId="3" fontId="76" fillId="0" borderId="17" xfId="43" applyNumberFormat="1" applyFont="1" applyFill="1" applyBorder="1" applyAlignment="1" applyProtection="1">
      <alignment horizontal="right" vertical="center"/>
      <protection locked="0"/>
    </xf>
    <xf numFmtId="190" fontId="11" fillId="36" borderId="17" xfId="0" applyNumberFormat="1" applyFont="1" applyFill="1" applyBorder="1" applyAlignment="1" applyProtection="1">
      <alignment vertical="center"/>
      <protection/>
    </xf>
    <xf numFmtId="0" fontId="9" fillId="33" borderId="17" xfId="0" applyFont="1" applyFill="1" applyBorder="1" applyAlignment="1" applyProtection="1">
      <alignment horizontal="center" vertical="center"/>
      <protection/>
    </xf>
    <xf numFmtId="0" fontId="184" fillId="33" borderId="0" xfId="0" applyNumberFormat="1" applyFont="1" applyFill="1" applyBorder="1" applyAlignment="1" applyProtection="1">
      <alignment horizontal="center" vertical="center"/>
      <protection/>
    </xf>
    <xf numFmtId="4" fontId="76" fillId="0" borderId="17" xfId="43" applyNumberFormat="1" applyFont="1" applyFill="1" applyBorder="1" applyAlignment="1" applyProtection="1">
      <alignment vertical="center"/>
      <protection locked="0"/>
    </xf>
    <xf numFmtId="3" fontId="76" fillId="0" borderId="17" xfId="43" applyNumberFormat="1" applyFont="1" applyFill="1" applyBorder="1" applyAlignment="1" applyProtection="1">
      <alignment vertical="center"/>
      <protection locked="0"/>
    </xf>
    <xf numFmtId="4" fontId="76" fillId="0" borderId="17" xfId="42" applyNumberFormat="1" applyFont="1" applyFill="1" applyBorder="1" applyAlignment="1" applyProtection="1">
      <alignment vertical="center"/>
      <protection locked="0"/>
    </xf>
    <xf numFmtId="3" fontId="76" fillId="0" borderId="17" xfId="42" applyNumberFormat="1" applyFont="1" applyFill="1" applyBorder="1" applyAlignment="1" applyProtection="1">
      <alignment vertical="center"/>
      <protection locked="0"/>
    </xf>
    <xf numFmtId="4" fontId="76" fillId="0" borderId="17" xfId="0" applyNumberFormat="1" applyFont="1" applyFill="1" applyBorder="1" applyAlignment="1">
      <alignment vertical="center"/>
    </xf>
    <xf numFmtId="3" fontId="76" fillId="0" borderId="17" xfId="0" applyNumberFormat="1" applyFont="1" applyFill="1" applyBorder="1" applyAlignment="1">
      <alignment vertical="center"/>
    </xf>
    <xf numFmtId="4" fontId="76" fillId="0" borderId="17" xfId="44" applyNumberFormat="1" applyFont="1" applyFill="1" applyBorder="1" applyAlignment="1" applyProtection="1">
      <alignment vertical="center"/>
      <protection locked="0"/>
    </xf>
    <xf numFmtId="3" fontId="76" fillId="0" borderId="17" xfId="44" applyNumberFormat="1" applyFont="1" applyFill="1" applyBorder="1" applyAlignment="1" applyProtection="1">
      <alignment vertical="center"/>
      <protection locked="0"/>
    </xf>
    <xf numFmtId="4" fontId="182" fillId="2" borderId="17" xfId="43" applyNumberFormat="1" applyFont="1" applyFill="1" applyBorder="1" applyAlignment="1" applyProtection="1">
      <alignment vertical="center"/>
      <protection locked="0"/>
    </xf>
    <xf numFmtId="3" fontId="182" fillId="2" borderId="17" xfId="43" applyNumberFormat="1" applyFont="1" applyFill="1" applyBorder="1" applyAlignment="1" applyProtection="1">
      <alignment vertical="center"/>
      <protection locked="0"/>
    </xf>
    <xf numFmtId="4" fontId="182" fillId="2" borderId="17" xfId="0" applyNumberFormat="1" applyFont="1" applyFill="1" applyBorder="1" applyAlignment="1">
      <alignment vertical="center"/>
    </xf>
    <xf numFmtId="3" fontId="182" fillId="2" borderId="17" xfId="0" applyNumberFormat="1" applyFont="1" applyFill="1" applyBorder="1" applyAlignment="1">
      <alignment vertical="center"/>
    </xf>
    <xf numFmtId="4" fontId="182" fillId="2" borderId="17" xfId="42" applyNumberFormat="1" applyFont="1" applyFill="1" applyBorder="1" applyAlignment="1" applyProtection="1">
      <alignment vertical="center"/>
      <protection locked="0"/>
    </xf>
    <xf numFmtId="3" fontId="182" fillId="2" borderId="17" xfId="42" applyNumberFormat="1" applyFont="1" applyFill="1" applyBorder="1" applyAlignment="1" applyProtection="1">
      <alignment vertical="center"/>
      <protection locked="0"/>
    </xf>
    <xf numFmtId="4" fontId="182" fillId="2" borderId="17" xfId="53" applyNumberFormat="1" applyFont="1" applyFill="1" applyBorder="1" applyAlignment="1" applyProtection="1">
      <alignment vertical="center"/>
      <protection/>
    </xf>
    <xf numFmtId="3" fontId="182" fillId="2" borderId="17" xfId="53" applyNumberFormat="1" applyFont="1" applyFill="1" applyBorder="1" applyAlignment="1" applyProtection="1">
      <alignment vertical="center"/>
      <protection/>
    </xf>
    <xf numFmtId="4" fontId="182" fillId="2" borderId="17" xfId="44" applyNumberFormat="1" applyFont="1" applyFill="1" applyBorder="1" applyAlignment="1" applyProtection="1">
      <alignment vertical="center"/>
      <protection locked="0"/>
    </xf>
    <xf numFmtId="3" fontId="182" fillId="2" borderId="17" xfId="44" applyNumberFormat="1" applyFont="1" applyFill="1" applyBorder="1" applyAlignment="1" applyProtection="1">
      <alignment vertical="center"/>
      <protection locked="0"/>
    </xf>
    <xf numFmtId="4" fontId="186" fillId="0" borderId="32" xfId="0" applyNumberFormat="1" applyFont="1" applyFill="1" applyBorder="1" applyAlignment="1">
      <alignment vertical="center"/>
    </xf>
    <xf numFmtId="3" fontId="186" fillId="0" borderId="38" xfId="0" applyNumberFormat="1" applyFont="1" applyFill="1" applyBorder="1" applyAlignment="1">
      <alignment vertical="center"/>
    </xf>
    <xf numFmtId="0" fontId="45" fillId="2" borderId="32" xfId="0" applyFont="1" applyFill="1" applyBorder="1" applyAlignment="1">
      <alignment vertical="center"/>
    </xf>
    <xf numFmtId="0" fontId="74" fillId="2" borderId="32" xfId="0" applyFont="1" applyFill="1" applyBorder="1" applyAlignment="1" applyProtection="1">
      <alignment vertical="center"/>
      <protection/>
    </xf>
    <xf numFmtId="0" fontId="74" fillId="2" borderId="32" xfId="0" applyNumberFormat="1" applyFont="1" applyFill="1" applyBorder="1" applyAlignment="1" applyProtection="1">
      <alignment vertical="center"/>
      <protection locked="0"/>
    </xf>
    <xf numFmtId="204" fontId="45" fillId="2" borderId="17" xfId="0" applyNumberFormat="1" applyFont="1" applyFill="1" applyBorder="1" applyAlignment="1">
      <alignment vertical="center"/>
    </xf>
    <xf numFmtId="0" fontId="74" fillId="2" borderId="17" xfId="0" applyFont="1" applyFill="1" applyBorder="1" applyAlignment="1">
      <alignment vertical="center"/>
    </xf>
    <xf numFmtId="204" fontId="74" fillId="2" borderId="17" xfId="0" applyNumberFormat="1" applyFont="1" applyFill="1" applyBorder="1" applyAlignment="1">
      <alignment vertical="center"/>
    </xf>
    <xf numFmtId="0" fontId="45" fillId="2" borderId="17" xfId="0" applyNumberFormat="1" applyFont="1" applyFill="1" applyBorder="1" applyAlignment="1" applyProtection="1">
      <alignment vertical="center"/>
      <protection/>
    </xf>
    <xf numFmtId="0" fontId="74" fillId="2" borderId="17" xfId="0" applyNumberFormat="1" applyFont="1" applyFill="1" applyBorder="1" applyAlignment="1" applyProtection="1">
      <alignment vertical="center"/>
      <protection/>
    </xf>
    <xf numFmtId="0" fontId="45" fillId="2" borderId="17" xfId="0" applyNumberFormat="1" applyFont="1" applyFill="1" applyBorder="1" applyAlignment="1" applyProtection="1">
      <alignment vertical="center"/>
      <protection locked="0"/>
    </xf>
    <xf numFmtId="0" fontId="74" fillId="2" borderId="17" xfId="0" applyNumberFormat="1" applyFont="1" applyFill="1" applyBorder="1" applyAlignment="1" applyProtection="1">
      <alignment vertical="center"/>
      <protection locked="0"/>
    </xf>
    <xf numFmtId="0" fontId="1" fillId="0" borderId="0" xfId="0" applyFont="1" applyAlignment="1">
      <alignment/>
    </xf>
    <xf numFmtId="0" fontId="71" fillId="0" borderId="17" xfId="0" applyFont="1" applyFill="1" applyBorder="1" applyAlignment="1" applyProtection="1">
      <alignment horizontal="center" vertical="center"/>
      <protection/>
    </xf>
    <xf numFmtId="0" fontId="155" fillId="36" borderId="17" xfId="0" applyFont="1" applyFill="1" applyBorder="1" applyAlignment="1" applyProtection="1">
      <alignment horizontal="center" vertical="center"/>
      <protection/>
    </xf>
    <xf numFmtId="0" fontId="71" fillId="36" borderId="17" xfId="0" applyFont="1" applyFill="1" applyBorder="1" applyAlignment="1" applyProtection="1">
      <alignment horizontal="center" vertical="center"/>
      <protection/>
    </xf>
    <xf numFmtId="0" fontId="11" fillId="36" borderId="32" xfId="0" applyNumberFormat="1" applyFont="1" applyFill="1" applyBorder="1" applyAlignment="1" applyProtection="1">
      <alignment horizontal="center" vertical="center"/>
      <protection/>
    </xf>
    <xf numFmtId="0" fontId="185" fillId="50" borderId="32" xfId="0" applyNumberFormat="1" applyFont="1" applyFill="1" applyBorder="1" applyAlignment="1" applyProtection="1">
      <alignment horizontal="center" vertical="center"/>
      <protection/>
    </xf>
    <xf numFmtId="0" fontId="11" fillId="36" borderId="17" xfId="0" applyNumberFormat="1" applyFont="1" applyFill="1" applyBorder="1" applyAlignment="1" applyProtection="1">
      <alignment horizontal="center" vertical="center"/>
      <protection/>
    </xf>
    <xf numFmtId="0" fontId="185" fillId="36" borderId="17" xfId="0" applyNumberFormat="1" applyFont="1" applyFill="1" applyBorder="1" applyAlignment="1" applyProtection="1">
      <alignment horizontal="center" vertical="center"/>
      <protection/>
    </xf>
    <xf numFmtId="0" fontId="185" fillId="50" borderId="17" xfId="0" applyNumberFormat="1" applyFont="1" applyFill="1" applyBorder="1" applyAlignment="1" applyProtection="1">
      <alignment horizontal="center" vertical="center"/>
      <protection/>
    </xf>
    <xf numFmtId="0" fontId="185" fillId="0" borderId="17"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11" fillId="36" borderId="17" xfId="0" applyNumberFormat="1" applyFont="1" applyFill="1" applyBorder="1" applyAlignment="1" applyProtection="1">
      <alignment horizontal="center" vertical="center"/>
      <protection/>
    </xf>
    <xf numFmtId="0" fontId="185" fillId="36" borderId="17" xfId="0" applyNumberFormat="1" applyFont="1" applyFill="1" applyBorder="1" applyAlignment="1" applyProtection="1">
      <alignment horizontal="center" vertical="center"/>
      <protection/>
    </xf>
    <xf numFmtId="0" fontId="185" fillId="0" borderId="17" xfId="0" applyNumberFormat="1" applyFont="1" applyFill="1" applyBorder="1" applyAlignment="1" applyProtection="1">
      <alignment horizontal="center" vertical="center"/>
      <protection/>
    </xf>
    <xf numFmtId="0" fontId="185" fillId="33"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85" fillId="41" borderId="17" xfId="0" applyNumberFormat="1"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185" fillId="41" borderId="17" xfId="0" applyNumberFormat="1" applyFont="1" applyFill="1" applyBorder="1" applyAlignment="1" applyProtection="1">
      <alignment horizontal="center" vertical="center"/>
      <protection/>
    </xf>
    <xf numFmtId="0" fontId="185" fillId="50" borderId="17" xfId="0" applyNumberFormat="1" applyFont="1" applyFill="1" applyBorder="1" applyAlignment="1" applyProtection="1">
      <alignment horizontal="center" vertical="center"/>
      <protection/>
    </xf>
    <xf numFmtId="0" fontId="11" fillId="44" borderId="17" xfId="0" applyNumberFormat="1"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46" borderId="17" xfId="0" applyNumberFormat="1" applyFont="1" applyFill="1" applyBorder="1" applyAlignment="1" applyProtection="1">
      <alignment horizontal="center" vertical="center"/>
      <protection/>
    </xf>
    <xf numFmtId="0" fontId="11" fillId="44" borderId="17" xfId="0" applyNumberFormat="1" applyFont="1" applyFill="1" applyBorder="1" applyAlignment="1" applyProtection="1">
      <alignment horizontal="center" vertical="center"/>
      <protection/>
    </xf>
    <xf numFmtId="0" fontId="11" fillId="46" borderId="17" xfId="0" applyNumberFormat="1" applyFont="1" applyFill="1" applyBorder="1" applyAlignment="1" applyProtection="1">
      <alignment horizontal="center" vertical="center"/>
      <protection/>
    </xf>
    <xf numFmtId="0" fontId="11" fillId="40" borderId="17" xfId="0" applyNumberFormat="1" applyFont="1" applyFill="1" applyBorder="1" applyAlignment="1" applyProtection="1">
      <alignment horizontal="center" vertical="center"/>
      <protection/>
    </xf>
    <xf numFmtId="0" fontId="185" fillId="36" borderId="17" xfId="0" applyFont="1" applyFill="1" applyBorder="1" applyAlignment="1" applyProtection="1">
      <alignment horizontal="center" vertical="center"/>
      <protection/>
    </xf>
    <xf numFmtId="0" fontId="185" fillId="0" borderId="17" xfId="0" applyFont="1" applyFill="1" applyBorder="1" applyAlignment="1" applyProtection="1">
      <alignment horizontal="center" vertical="center"/>
      <protection/>
    </xf>
    <xf numFmtId="204" fontId="185" fillId="0" borderId="17" xfId="0" applyNumberFormat="1" applyFont="1" applyFill="1" applyBorder="1" applyAlignment="1" applyProtection="1">
      <alignment horizontal="center" vertical="center"/>
      <protection/>
    </xf>
    <xf numFmtId="204" fontId="185" fillId="36" borderId="17" xfId="0" applyNumberFormat="1" applyFont="1" applyFill="1" applyBorder="1" applyAlignment="1" applyProtection="1">
      <alignment horizontal="center" vertical="center"/>
      <protection/>
    </xf>
    <xf numFmtId="0" fontId="11" fillId="45" borderId="17" xfId="0" applyNumberFormat="1" applyFont="1" applyFill="1" applyBorder="1" applyAlignment="1" applyProtection="1">
      <alignment horizontal="center" vertical="center"/>
      <protection/>
    </xf>
    <xf numFmtId="204" fontId="185" fillId="33" borderId="17" xfId="0" applyNumberFormat="1" applyFont="1" applyFill="1" applyBorder="1" applyAlignment="1" applyProtection="1">
      <alignment horizontal="center" vertical="center"/>
      <protection/>
    </xf>
    <xf numFmtId="204" fontId="185" fillId="36" borderId="17" xfId="0" applyNumberFormat="1" applyFont="1" applyFill="1" applyBorder="1" applyAlignment="1" applyProtection="1">
      <alignment horizontal="center" vertical="center"/>
      <protection/>
    </xf>
    <xf numFmtId="0" fontId="185" fillId="33" borderId="17" xfId="0" applyFont="1" applyFill="1" applyBorder="1" applyAlignment="1" applyProtection="1">
      <alignment horizontal="center" vertical="center"/>
      <protection/>
    </xf>
    <xf numFmtId="0" fontId="11" fillId="45" borderId="17"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0" fillId="0" borderId="0" xfId="0" applyFont="1" applyAlignment="1">
      <alignment horizontal="center"/>
    </xf>
    <xf numFmtId="0" fontId="198" fillId="53" borderId="0" xfId="0" applyNumberFormat="1" applyFont="1" applyFill="1" applyAlignment="1">
      <alignment horizontal="center" wrapText="1"/>
    </xf>
    <xf numFmtId="0" fontId="76" fillId="7" borderId="17" xfId="0" applyNumberFormat="1" applyFont="1" applyFill="1" applyBorder="1" applyAlignment="1" applyProtection="1">
      <alignment vertical="center"/>
      <protection/>
    </xf>
    <xf numFmtId="0" fontId="11" fillId="0" borderId="17" xfId="0" applyFont="1" applyFill="1" applyBorder="1" applyAlignment="1">
      <alignment horizontal="right" vertical="center"/>
    </xf>
    <xf numFmtId="4" fontId="11" fillId="0" borderId="17" xfId="0" applyNumberFormat="1" applyFont="1" applyFill="1" applyBorder="1" applyAlignment="1">
      <alignment horizontal="right" vertical="center"/>
    </xf>
    <xf numFmtId="3" fontId="11" fillId="0" borderId="17" xfId="0" applyNumberFormat="1" applyFont="1" applyFill="1" applyBorder="1" applyAlignment="1">
      <alignment horizontal="right" vertical="center"/>
    </xf>
    <xf numFmtId="2" fontId="11" fillId="0" borderId="17" xfId="0" applyNumberFormat="1" applyFont="1" applyFill="1" applyBorder="1" applyAlignment="1" applyProtection="1">
      <alignment horizontal="right" vertical="center"/>
      <protection/>
    </xf>
    <xf numFmtId="190" fontId="11" fillId="0" borderId="17" xfId="0" applyNumberFormat="1" applyFont="1" applyFill="1" applyBorder="1" applyAlignment="1" applyProtection="1">
      <alignment horizontal="center" vertical="center"/>
      <protection/>
    </xf>
    <xf numFmtId="204" fontId="76" fillId="7" borderId="17" xfId="0" applyNumberFormat="1" applyFont="1" applyFill="1" applyBorder="1" applyAlignment="1">
      <alignment vertical="center"/>
    </xf>
    <xf numFmtId="4" fontId="11" fillId="0" borderId="17" xfId="43" applyNumberFormat="1"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2" fontId="11" fillId="0" borderId="17" xfId="0" applyNumberFormat="1" applyFont="1" applyFill="1" applyBorder="1" applyAlignment="1" applyProtection="1">
      <alignment vertical="center"/>
      <protection/>
    </xf>
    <xf numFmtId="0" fontId="76" fillId="7" borderId="17" xfId="0" applyFont="1" applyFill="1" applyBorder="1" applyAlignment="1">
      <alignment vertical="center"/>
    </xf>
    <xf numFmtId="0" fontId="76" fillId="7" borderId="17"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17" xfId="0" applyFont="1" applyFill="1" applyBorder="1" applyAlignment="1">
      <alignment vertical="center"/>
    </xf>
    <xf numFmtId="0" fontId="11" fillId="0" borderId="17" xfId="0" applyFont="1" applyFill="1" applyBorder="1" applyAlignment="1" applyProtection="1">
      <alignment horizontal="right" vertical="center"/>
      <protection locked="0"/>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4" fontId="11" fillId="0" borderId="17" xfId="53" applyNumberFormat="1" applyFont="1" applyFill="1" applyBorder="1" applyAlignment="1" applyProtection="1">
      <alignment vertical="center"/>
      <protection/>
    </xf>
    <xf numFmtId="3" fontId="11" fillId="0" borderId="17" xfId="53" applyNumberFormat="1" applyFont="1" applyFill="1" applyBorder="1" applyAlignment="1" applyProtection="1">
      <alignment vertical="center"/>
      <protection/>
    </xf>
    <xf numFmtId="0" fontId="76" fillId="7" borderId="17" xfId="0" applyNumberFormat="1" applyFont="1" applyFill="1" applyBorder="1" applyAlignment="1" applyProtection="1">
      <alignment vertical="center"/>
      <protection locked="0"/>
    </xf>
    <xf numFmtId="0" fontId="190" fillId="7" borderId="17" xfId="0" applyFont="1" applyFill="1" applyBorder="1" applyAlignment="1">
      <alignment vertical="center"/>
    </xf>
    <xf numFmtId="0" fontId="11" fillId="7" borderId="51" xfId="0" applyNumberFormat="1" applyFont="1" applyFill="1" applyBorder="1" applyAlignment="1" applyProtection="1">
      <alignment vertical="center"/>
      <protection/>
    </xf>
    <xf numFmtId="0" fontId="11" fillId="7" borderId="51" xfId="0" applyFont="1" applyFill="1" applyBorder="1" applyAlignment="1">
      <alignment vertical="center"/>
    </xf>
    <xf numFmtId="0" fontId="76" fillId="7" borderId="17" xfId="0" applyNumberFormat="1" applyFont="1" applyFill="1" applyBorder="1" applyAlignment="1">
      <alignment vertical="center"/>
    </xf>
    <xf numFmtId="0" fontId="11" fillId="0" borderId="17" xfId="0" applyFont="1" applyFill="1" applyBorder="1" applyAlignment="1">
      <alignment/>
    </xf>
    <xf numFmtId="0" fontId="76" fillId="7" borderId="32" xfId="0" applyFont="1" applyFill="1" applyBorder="1" applyAlignment="1">
      <alignment vertical="center"/>
    </xf>
    <xf numFmtId="0" fontId="11" fillId="7" borderId="32" xfId="0" applyFont="1" applyFill="1" applyBorder="1" applyAlignment="1">
      <alignment horizontal="right" vertical="center"/>
    </xf>
    <xf numFmtId="0" fontId="184" fillId="0" borderId="17" xfId="0" applyFont="1" applyFill="1" applyBorder="1" applyAlignment="1" applyProtection="1">
      <alignment horizontal="center" vertical="center"/>
      <protection/>
    </xf>
    <xf numFmtId="0" fontId="182" fillId="7" borderId="32" xfId="0" applyNumberFormat="1" applyFont="1" applyFill="1" applyBorder="1" applyAlignment="1">
      <alignment vertical="center"/>
    </xf>
    <xf numFmtId="0" fontId="11" fillId="0" borderId="32" xfId="0" applyFont="1" applyFill="1" applyBorder="1" applyAlignment="1">
      <alignment horizontal="right" vertical="center"/>
    </xf>
    <xf numFmtId="4" fontId="76" fillId="0" borderId="32" xfId="43" applyNumberFormat="1" applyFont="1" applyFill="1" applyBorder="1" applyAlignment="1" applyProtection="1">
      <alignment horizontal="right" vertical="center"/>
      <protection locked="0"/>
    </xf>
    <xf numFmtId="3" fontId="76" fillId="0" borderId="32" xfId="43" applyNumberFormat="1" applyFont="1" applyFill="1" applyBorder="1" applyAlignment="1" applyProtection="1">
      <alignment horizontal="right" vertical="center"/>
      <protection locked="0"/>
    </xf>
    <xf numFmtId="4" fontId="190" fillId="0" borderId="17" xfId="43" applyNumberFormat="1" applyFont="1" applyFill="1" applyBorder="1" applyAlignment="1" applyProtection="1">
      <alignment horizontal="right" vertical="center"/>
      <protection locked="0"/>
    </xf>
    <xf numFmtId="3" fontId="190" fillId="0" borderId="17" xfId="43" applyNumberFormat="1" applyFont="1" applyFill="1" applyBorder="1" applyAlignment="1" applyProtection="1">
      <alignment horizontal="right" vertical="center"/>
      <protection locked="0"/>
    </xf>
    <xf numFmtId="4" fontId="76" fillId="0" borderId="17" xfId="0" applyNumberFormat="1" applyFont="1" applyFill="1" applyBorder="1" applyAlignment="1">
      <alignment horizontal="right"/>
    </xf>
    <xf numFmtId="3" fontId="76" fillId="0" borderId="17" xfId="0" applyNumberFormat="1" applyFont="1" applyFill="1" applyBorder="1" applyAlignment="1">
      <alignment horizontal="right"/>
    </xf>
    <xf numFmtId="4" fontId="76" fillId="0" borderId="17" xfId="40" applyNumberFormat="1" applyFont="1" applyFill="1" applyBorder="1" applyAlignment="1" applyProtection="1">
      <alignment horizontal="right" vertical="center"/>
      <protection locked="0"/>
    </xf>
    <xf numFmtId="3" fontId="76" fillId="0" borderId="17" xfId="40" applyNumberFormat="1" applyFont="1" applyFill="1" applyBorder="1" applyAlignment="1" applyProtection="1">
      <alignment horizontal="right" vertical="center"/>
      <protection locked="0"/>
    </xf>
    <xf numFmtId="4" fontId="76" fillId="0" borderId="17" xfId="40" applyNumberFormat="1" applyFont="1" applyFill="1" applyBorder="1" applyAlignment="1" applyProtection="1">
      <alignment horizontal="right" vertical="center"/>
      <protection/>
    </xf>
    <xf numFmtId="3" fontId="76" fillId="0" borderId="17" xfId="40" applyNumberFormat="1" applyFont="1" applyFill="1" applyBorder="1" applyAlignment="1" applyProtection="1">
      <alignment horizontal="right" vertical="center"/>
      <protection/>
    </xf>
    <xf numFmtId="3" fontId="76" fillId="0" borderId="17" xfId="42" applyNumberFormat="1" applyFont="1" applyFill="1" applyBorder="1" applyAlignment="1" applyProtection="1">
      <alignment horizontal="right" vertical="center"/>
      <protection/>
    </xf>
    <xf numFmtId="4" fontId="76" fillId="0" borderId="17" xfId="0" applyNumberFormat="1" applyFont="1" applyFill="1" applyBorder="1" applyAlignment="1">
      <alignment horizontal="right" wrapText="1"/>
    </xf>
    <xf numFmtId="4" fontId="76" fillId="0" borderId="17" xfId="0" applyNumberFormat="1" applyFont="1" applyFill="1" applyBorder="1" applyAlignment="1">
      <alignment horizontal="right" vertical="center" wrapText="1"/>
    </xf>
    <xf numFmtId="4" fontId="190" fillId="0" borderId="17" xfId="0" applyNumberFormat="1" applyFont="1" applyFill="1" applyBorder="1" applyAlignment="1">
      <alignment vertical="center" shrinkToFit="1"/>
    </xf>
    <xf numFmtId="3" fontId="190" fillId="0" borderId="17" xfId="0" applyNumberFormat="1" applyFont="1" applyFill="1" applyBorder="1" applyAlignment="1">
      <alignment vertical="center" shrinkToFit="1"/>
    </xf>
    <xf numFmtId="4" fontId="190" fillId="0" borderId="17" xfId="0" applyNumberFormat="1" applyFont="1" applyFill="1" applyBorder="1" applyAlignment="1">
      <alignment vertical="center"/>
    </xf>
    <xf numFmtId="3" fontId="190" fillId="0" borderId="17" xfId="0" applyNumberFormat="1" applyFont="1" applyFill="1" applyBorder="1" applyAlignment="1">
      <alignment vertical="center"/>
    </xf>
    <xf numFmtId="4" fontId="190" fillId="0" borderId="17" xfId="43" applyNumberFormat="1" applyFont="1" applyFill="1" applyBorder="1" applyAlignment="1" applyProtection="1">
      <alignment vertical="center"/>
      <protection locked="0"/>
    </xf>
    <xf numFmtId="3" fontId="190" fillId="0" borderId="17" xfId="43" applyNumberFormat="1" applyFont="1" applyFill="1" applyBorder="1" applyAlignment="1" applyProtection="1">
      <alignment vertical="center"/>
      <protection locked="0"/>
    </xf>
    <xf numFmtId="4" fontId="76" fillId="0" borderId="17" xfId="43" applyNumberFormat="1" applyFont="1" applyFill="1" applyBorder="1" applyAlignment="1" applyProtection="1">
      <alignment vertical="center"/>
      <protection/>
    </xf>
    <xf numFmtId="3" fontId="76" fillId="0" borderId="17" xfId="43" applyNumberFormat="1" applyFont="1" applyFill="1" applyBorder="1" applyAlignment="1" applyProtection="1">
      <alignment vertical="center"/>
      <protection/>
    </xf>
    <xf numFmtId="4" fontId="76" fillId="0" borderId="17" xfId="44" applyNumberFormat="1" applyFont="1" applyFill="1" applyBorder="1" applyAlignment="1" applyProtection="1">
      <alignment horizontal="right" vertical="center"/>
      <protection locked="0"/>
    </xf>
    <xf numFmtId="3" fontId="76" fillId="0" borderId="17" xfId="44" applyNumberFormat="1" applyFont="1" applyFill="1" applyBorder="1" applyAlignment="1" applyProtection="1">
      <alignment horizontal="right" vertical="center"/>
      <protection locked="0"/>
    </xf>
    <xf numFmtId="4" fontId="76" fillId="0" borderId="17" xfId="42" applyNumberFormat="1" applyFont="1" applyFill="1" applyBorder="1" applyAlignment="1" applyProtection="1">
      <alignment vertical="center"/>
      <protection/>
    </xf>
    <xf numFmtId="3" fontId="76" fillId="0" borderId="17" xfId="42" applyNumberFormat="1" applyFont="1" applyFill="1" applyBorder="1" applyAlignment="1" applyProtection="1">
      <alignment vertical="center"/>
      <protection/>
    </xf>
    <xf numFmtId="4" fontId="76" fillId="0" borderId="17" xfId="0" applyNumberFormat="1" applyFont="1" applyFill="1" applyBorder="1" applyAlignment="1">
      <alignment vertical="center" wrapText="1"/>
    </xf>
    <xf numFmtId="4" fontId="76" fillId="0" borderId="17" xfId="40" applyNumberFormat="1" applyFont="1" applyFill="1" applyBorder="1" applyAlignment="1" applyProtection="1">
      <alignment vertical="center"/>
      <protection locked="0"/>
    </xf>
    <xf numFmtId="3" fontId="76" fillId="0" borderId="17" xfId="40" applyNumberFormat="1" applyFont="1" applyFill="1" applyBorder="1" applyAlignment="1" applyProtection="1">
      <alignment vertical="center"/>
      <protection locked="0"/>
    </xf>
    <xf numFmtId="4" fontId="76" fillId="0" borderId="17" xfId="43" applyNumberFormat="1" applyFont="1" applyFill="1" applyBorder="1" applyAlignment="1" applyProtection="1">
      <alignment horizontal="right" vertical="center"/>
      <protection/>
    </xf>
    <xf numFmtId="3" fontId="76" fillId="0" borderId="17" xfId="43" applyNumberFormat="1" applyFont="1" applyFill="1" applyBorder="1" applyAlignment="1" applyProtection="1">
      <alignment horizontal="right" vertical="center"/>
      <protection/>
    </xf>
    <xf numFmtId="4" fontId="76" fillId="0" borderId="17" xfId="40" applyNumberFormat="1" applyFont="1" applyFill="1" applyBorder="1" applyAlignment="1" applyProtection="1">
      <alignment vertical="center"/>
      <protection/>
    </xf>
    <xf numFmtId="3" fontId="76" fillId="0" borderId="17" xfId="40" applyNumberFormat="1" applyFont="1" applyFill="1" applyBorder="1" applyAlignment="1" applyProtection="1">
      <alignment vertical="center"/>
      <protection/>
    </xf>
    <xf numFmtId="0" fontId="187" fillId="55" borderId="0" xfId="0" applyFont="1" applyFill="1" applyAlignment="1">
      <alignment horizontal="right"/>
    </xf>
    <xf numFmtId="190" fontId="187" fillId="55" borderId="0" xfId="0" applyNumberFormat="1" applyFont="1" applyFill="1" applyAlignment="1">
      <alignment horizontal="right"/>
    </xf>
    <xf numFmtId="49" fontId="187" fillId="55" borderId="0" xfId="0" applyNumberFormat="1" applyFont="1" applyFill="1" applyAlignment="1">
      <alignment horizontal="right"/>
    </xf>
    <xf numFmtId="4" fontId="187" fillId="55" borderId="0" xfId="0" applyNumberFormat="1" applyFont="1" applyFill="1" applyAlignment="1">
      <alignment horizontal="right"/>
    </xf>
    <xf numFmtId="3" fontId="187" fillId="55" borderId="0" xfId="0" applyNumberFormat="1" applyFont="1" applyFill="1" applyAlignment="1">
      <alignment horizontal="right"/>
    </xf>
    <xf numFmtId="0" fontId="187" fillId="55" borderId="0" xfId="0" applyFont="1" applyFill="1" applyAlignment="1">
      <alignment horizontal="center"/>
    </xf>
    <xf numFmtId="0" fontId="187" fillId="56" borderId="0" xfId="0" applyFont="1" applyFill="1" applyAlignment="1">
      <alignment horizontal="right"/>
    </xf>
    <xf numFmtId="190" fontId="187" fillId="56" borderId="0" xfId="0" applyNumberFormat="1" applyFont="1" applyFill="1" applyAlignment="1">
      <alignment horizontal="right"/>
    </xf>
    <xf numFmtId="49" fontId="187" fillId="56" borderId="0" xfId="0" applyNumberFormat="1" applyFont="1" applyFill="1" applyAlignment="1">
      <alignment horizontal="right"/>
    </xf>
    <xf numFmtId="4" fontId="187" fillId="56" borderId="0" xfId="0" applyNumberFormat="1" applyFont="1" applyFill="1" applyAlignment="1">
      <alignment horizontal="right"/>
    </xf>
    <xf numFmtId="3" fontId="187" fillId="56" borderId="0" xfId="0" applyNumberFormat="1" applyFont="1" applyFill="1" applyAlignment="1">
      <alignment horizontal="right"/>
    </xf>
    <xf numFmtId="0" fontId="187" fillId="56" borderId="0" xfId="0" applyFont="1" applyFill="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 3" xfId="57"/>
    <cellStyle name="Normal_1-7Şubat,2008"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 name="Yüzde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02965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951547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30</xdr:col>
      <xdr:colOff>247650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7353300" y="1409700"/>
          <a:ext cx="24098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74199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74199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6000750"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74199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74199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7439025"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9591675"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59721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6000750"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743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74390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7562850"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153525" y="3810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216"/>
  <sheetViews>
    <sheetView tabSelected="1" zoomScale="70" zoomScaleNormal="70" zoomScalePageLayoutView="0" workbookViewId="0" topLeftCell="A1">
      <pane xSplit="18" ySplit="10" topLeftCell="S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3.421875" style="11" bestFit="1" customWidth="1"/>
    <col min="2" max="8" width="2.421875" style="12" customWidth="1"/>
    <col min="9" max="9" width="2.421875" style="13" customWidth="1"/>
    <col min="10" max="10" width="51.57421875" style="14" customWidth="1"/>
    <col min="11" max="13" width="8.28125" style="14" customWidth="1"/>
    <col min="14" max="14" width="7.28125" style="15" bestFit="1" customWidth="1"/>
    <col min="15" max="15" width="13.00390625" style="12" bestFit="1" customWidth="1"/>
    <col min="16" max="16" width="6.00390625" style="15" bestFit="1" customWidth="1"/>
    <col min="17" max="17" width="8.57421875" style="16" customWidth="1"/>
    <col min="18" max="18" width="8.57421875" style="17" customWidth="1"/>
    <col min="19" max="19" width="10.28125" style="16" hidden="1" customWidth="1"/>
    <col min="20" max="20" width="6.8515625" style="17" hidden="1" customWidth="1"/>
    <col min="21" max="21" width="11.7109375" style="16" hidden="1" customWidth="1"/>
    <col min="22" max="22" width="7.8515625" style="17" hidden="1" customWidth="1"/>
    <col min="23" max="23" width="11.7109375" style="18" hidden="1" customWidth="1"/>
    <col min="24" max="24" width="7.8515625" style="19" hidden="1" customWidth="1"/>
    <col min="25" max="25" width="14.421875" style="44" hidden="1" customWidth="1"/>
    <col min="26" max="26" width="9.28125" style="45" hidden="1" customWidth="1"/>
    <col min="27" max="27" width="10.57421875" style="20" hidden="1" customWidth="1"/>
    <col min="28" max="28" width="7.7109375" style="22" hidden="1" customWidth="1"/>
    <col min="29" max="29" width="11.7109375" style="22" hidden="1" customWidth="1"/>
    <col min="30" max="30" width="7.421875" style="23" hidden="1" customWidth="1"/>
    <col min="31" max="31" width="11.7109375" style="22" customWidth="1"/>
    <col min="32" max="32" width="7.8515625" style="92" customWidth="1"/>
    <col min="33" max="33" width="14.421875" style="28" bestFit="1" customWidth="1"/>
    <col min="34" max="34" width="9.28125" style="26" customWidth="1"/>
    <col min="35" max="35" width="7.7109375" style="30" bestFit="1" customWidth="1"/>
    <col min="36" max="36" width="8.28125" style="30" bestFit="1" customWidth="1"/>
    <col min="37" max="37" width="9.28125" style="24" customWidth="1"/>
    <col min="38" max="38" width="9.28125" style="29" customWidth="1"/>
    <col min="39" max="39" width="11.7109375" style="16" bestFit="1" customWidth="1"/>
    <col min="40" max="40" width="7.421875" style="17" customWidth="1"/>
    <col min="41" max="41" width="14.28125" style="16" bestFit="1" customWidth="1"/>
    <col min="42" max="42" width="13.00390625" style="14" bestFit="1" customWidth="1"/>
    <col min="43" max="43" width="9.57421875" style="14" bestFit="1" customWidth="1"/>
    <col min="44" max="44" width="8.28125" style="14" bestFit="1" customWidth="1"/>
    <col min="45" max="45" width="6.00390625" style="14" bestFit="1" customWidth="1"/>
    <col min="46" max="46" width="4.421875" style="14" bestFit="1" customWidth="1"/>
    <col min="47" max="16384" width="65.7109375" style="14" customWidth="1"/>
  </cols>
  <sheetData>
    <row r="1" spans="1:45" s="2" customFormat="1" ht="49.5">
      <c r="A1" s="593" t="s">
        <v>737</v>
      </c>
      <c r="B1" s="594"/>
      <c r="C1" s="594"/>
      <c r="D1" s="594"/>
      <c r="E1" s="594"/>
      <c r="F1" s="594"/>
      <c r="G1" s="594"/>
      <c r="H1" s="594"/>
      <c r="I1" s="594"/>
      <c r="J1" s="594"/>
      <c r="K1" s="594"/>
      <c r="L1" s="594"/>
      <c r="M1" s="594"/>
      <c r="N1" s="594"/>
      <c r="O1" s="594"/>
      <c r="P1" s="594"/>
      <c r="Q1" s="594"/>
      <c r="R1" s="594"/>
      <c r="S1" s="41"/>
      <c r="T1" s="43"/>
      <c r="U1" s="41"/>
      <c r="V1" s="43"/>
      <c r="W1" s="41"/>
      <c r="X1" s="608" t="s">
        <v>225</v>
      </c>
      <c r="Y1" s="609"/>
      <c r="Z1" s="609"/>
      <c r="AA1" s="609"/>
      <c r="AB1" s="609"/>
      <c r="AC1" s="609"/>
      <c r="AD1" s="609"/>
      <c r="AE1" s="609"/>
      <c r="AF1" s="609"/>
      <c r="AG1" s="609"/>
      <c r="AH1" s="609"/>
      <c r="AI1" s="609"/>
      <c r="AJ1" s="609"/>
      <c r="AK1" s="609"/>
      <c r="AL1" s="609"/>
      <c r="AM1" s="609"/>
      <c r="AN1" s="609"/>
      <c r="AO1" s="609"/>
      <c r="AP1" s="609"/>
      <c r="AQ1" s="601"/>
      <c r="AR1" s="601"/>
      <c r="AS1" s="601"/>
    </row>
    <row r="2" spans="1:45" s="2" customFormat="1" ht="26.25">
      <c r="A2" s="595" t="s">
        <v>226</v>
      </c>
      <c r="B2" s="596"/>
      <c r="C2" s="596"/>
      <c r="D2" s="596"/>
      <c r="E2" s="596"/>
      <c r="F2" s="596"/>
      <c r="G2" s="596"/>
      <c r="H2" s="596"/>
      <c r="I2" s="596"/>
      <c r="J2" s="596"/>
      <c r="K2" s="596"/>
      <c r="L2" s="596"/>
      <c r="M2" s="596"/>
      <c r="N2" s="596"/>
      <c r="O2" s="596"/>
      <c r="P2" s="596"/>
      <c r="Q2" s="596"/>
      <c r="R2" s="596"/>
      <c r="S2" s="42"/>
      <c r="V2" s="615"/>
      <c r="W2" s="610"/>
      <c r="X2" s="610"/>
      <c r="Y2" s="616"/>
      <c r="Z2" s="617"/>
      <c r="AA2" s="617"/>
      <c r="AB2" s="617"/>
      <c r="AC2" s="617"/>
      <c r="AD2" s="617"/>
      <c r="AE2" s="27"/>
      <c r="AF2" s="25"/>
      <c r="AG2" s="34"/>
      <c r="AH2" s="35"/>
      <c r="AI2" s="36"/>
      <c r="AJ2" s="36"/>
      <c r="AK2" s="35"/>
      <c r="AL2" s="34"/>
      <c r="AM2" s="99"/>
      <c r="AN2" s="99"/>
      <c r="AO2" s="611"/>
      <c r="AP2" s="611"/>
      <c r="AQ2" s="625"/>
      <c r="AR2" s="625"/>
      <c r="AS2" s="618"/>
    </row>
    <row r="3" spans="1:45" s="2" customFormat="1" ht="27" thickBot="1">
      <c r="A3" s="597" t="s">
        <v>46</v>
      </c>
      <c r="B3" s="598"/>
      <c r="C3" s="598"/>
      <c r="D3" s="598"/>
      <c r="E3" s="598"/>
      <c r="F3" s="598"/>
      <c r="G3" s="598"/>
      <c r="H3" s="598"/>
      <c r="I3" s="598"/>
      <c r="J3" s="598"/>
      <c r="K3" s="598"/>
      <c r="L3" s="598"/>
      <c r="M3" s="598"/>
      <c r="N3" s="598"/>
      <c r="O3" s="598"/>
      <c r="P3" s="598"/>
      <c r="Q3" s="598"/>
      <c r="R3" s="598"/>
      <c r="S3" s="69"/>
      <c r="V3" s="615"/>
      <c r="W3" s="618"/>
      <c r="X3" s="610"/>
      <c r="Y3" s="616"/>
      <c r="Z3" s="617"/>
      <c r="AA3" s="617"/>
      <c r="AB3" s="617"/>
      <c r="AC3" s="617"/>
      <c r="AD3" s="617"/>
      <c r="AE3" s="70"/>
      <c r="AF3" s="71"/>
      <c r="AG3" s="31"/>
      <c r="AH3" s="32"/>
      <c r="AI3" s="31"/>
      <c r="AJ3" s="31"/>
      <c r="AK3" s="33"/>
      <c r="AL3" s="31"/>
      <c r="AM3" s="99"/>
      <c r="AN3" s="99"/>
      <c r="AO3" s="611"/>
      <c r="AP3" s="611"/>
      <c r="AQ3" s="618"/>
      <c r="AR3" s="618"/>
      <c r="AS3" s="618"/>
    </row>
    <row r="4" spans="1:45" s="2" customFormat="1" ht="32.25">
      <c r="A4" s="612" t="s">
        <v>738</v>
      </c>
      <c r="B4" s="613"/>
      <c r="C4" s="613"/>
      <c r="D4" s="613"/>
      <c r="E4" s="613"/>
      <c r="F4" s="613"/>
      <c r="G4" s="613"/>
      <c r="H4" s="613"/>
      <c r="I4" s="613"/>
      <c r="J4" s="613"/>
      <c r="K4" s="613"/>
      <c r="L4" s="613"/>
      <c r="M4" s="613"/>
      <c r="N4" s="613"/>
      <c r="O4" s="72"/>
      <c r="P4" s="73"/>
      <c r="Q4" s="73"/>
      <c r="R4" s="73"/>
      <c r="S4" s="74"/>
      <c r="V4" s="615"/>
      <c r="W4" s="610"/>
      <c r="X4" s="610"/>
      <c r="Y4" s="616"/>
      <c r="Z4" s="620"/>
      <c r="AA4" s="620"/>
      <c r="AB4" s="620"/>
      <c r="AC4" s="620"/>
      <c r="AD4" s="620"/>
      <c r="AE4" s="75"/>
      <c r="AF4" s="76"/>
      <c r="AG4" s="621"/>
      <c r="AH4" s="622"/>
      <c r="AI4" s="622"/>
      <c r="AJ4" s="622"/>
      <c r="AK4" s="622"/>
      <c r="AL4" s="77"/>
      <c r="AM4" s="99"/>
      <c r="AN4" s="99"/>
      <c r="AO4" s="611"/>
      <c r="AP4" s="618"/>
      <c r="AQ4" s="625"/>
      <c r="AR4" s="625"/>
      <c r="AS4" s="618"/>
    </row>
    <row r="5" spans="1:45" s="2" customFormat="1" ht="33" thickBot="1">
      <c r="A5" s="614"/>
      <c r="B5" s="614"/>
      <c r="C5" s="614"/>
      <c r="D5" s="614"/>
      <c r="E5" s="614"/>
      <c r="F5" s="614"/>
      <c r="G5" s="614"/>
      <c r="H5" s="614"/>
      <c r="I5" s="614"/>
      <c r="J5" s="614"/>
      <c r="K5" s="614"/>
      <c r="L5" s="614"/>
      <c r="M5" s="614"/>
      <c r="N5" s="614"/>
      <c r="O5" s="72"/>
      <c r="P5" s="73"/>
      <c r="Q5" s="73"/>
      <c r="R5" s="73"/>
      <c r="S5" s="74"/>
      <c r="V5" s="615"/>
      <c r="W5" s="610"/>
      <c r="X5" s="610"/>
      <c r="Y5" s="616"/>
      <c r="Z5" s="620"/>
      <c r="AA5" s="620"/>
      <c r="AB5" s="620"/>
      <c r="AC5" s="620"/>
      <c r="AD5" s="620"/>
      <c r="AE5" s="75"/>
      <c r="AF5" s="76"/>
      <c r="AG5" s="37"/>
      <c r="AH5" s="78"/>
      <c r="AI5" s="78"/>
      <c r="AJ5" s="78"/>
      <c r="AK5" s="78"/>
      <c r="AL5" s="78"/>
      <c r="AM5" s="99"/>
      <c r="AN5" s="99"/>
      <c r="AO5" s="618"/>
      <c r="AP5" s="618"/>
      <c r="AQ5" s="618"/>
      <c r="AR5" s="618"/>
      <c r="AS5" s="618"/>
    </row>
    <row r="6" spans="1:45" s="5" customFormat="1" ht="15.75" thickBot="1">
      <c r="A6" s="38"/>
      <c r="B6" s="46"/>
      <c r="C6" s="46"/>
      <c r="D6" s="46"/>
      <c r="E6" s="46"/>
      <c r="F6" s="46"/>
      <c r="G6" s="46"/>
      <c r="H6" s="46"/>
      <c r="I6" s="46"/>
      <c r="J6" s="603" t="s">
        <v>227</v>
      </c>
      <c r="K6" s="603"/>
      <c r="L6" s="603"/>
      <c r="M6" s="603"/>
      <c r="N6" s="603"/>
      <c r="O6" s="603"/>
      <c r="P6" s="603"/>
      <c r="Q6" s="603" t="s">
        <v>228</v>
      </c>
      <c r="R6" s="603"/>
      <c r="S6" s="603" t="s">
        <v>229</v>
      </c>
      <c r="T6" s="603"/>
      <c r="U6" s="603"/>
      <c r="V6" s="603"/>
      <c r="W6" s="603"/>
      <c r="X6" s="603"/>
      <c r="Y6" s="603"/>
      <c r="Z6" s="603"/>
      <c r="AA6" s="603"/>
      <c r="AB6" s="603"/>
      <c r="AC6" s="603"/>
      <c r="AD6" s="603"/>
      <c r="AE6" s="603" t="s">
        <v>230</v>
      </c>
      <c r="AF6" s="603"/>
      <c r="AG6" s="603" t="s">
        <v>231</v>
      </c>
      <c r="AH6" s="603"/>
      <c r="AI6" s="603" t="s">
        <v>232</v>
      </c>
      <c r="AJ6" s="603"/>
      <c r="AK6" s="603" t="s">
        <v>233</v>
      </c>
      <c r="AL6" s="603"/>
      <c r="AM6" s="46"/>
      <c r="AN6" s="46"/>
      <c r="AO6" s="603" t="s">
        <v>234</v>
      </c>
      <c r="AP6" s="603"/>
      <c r="AQ6" s="603"/>
      <c r="AR6" s="604"/>
      <c r="AS6" s="605"/>
    </row>
    <row r="7" spans="1:45" s="6" customFormat="1" ht="12.75">
      <c r="A7" s="39"/>
      <c r="B7" s="47"/>
      <c r="C7" s="47"/>
      <c r="D7" s="47"/>
      <c r="E7" s="47"/>
      <c r="F7" s="47"/>
      <c r="G7" s="47"/>
      <c r="H7" s="47"/>
      <c r="I7" s="47"/>
      <c r="J7" s="48"/>
      <c r="K7" s="48"/>
      <c r="L7" s="48"/>
      <c r="M7" s="48"/>
      <c r="N7" s="49" t="s">
        <v>15</v>
      </c>
      <c r="O7" s="48"/>
      <c r="P7" s="48" t="s">
        <v>18</v>
      </c>
      <c r="Q7" s="48" t="s">
        <v>18</v>
      </c>
      <c r="R7" s="48" t="s">
        <v>20</v>
      </c>
      <c r="S7" s="586" t="s">
        <v>2</v>
      </c>
      <c r="T7" s="587"/>
      <c r="U7" s="586" t="s">
        <v>3</v>
      </c>
      <c r="V7" s="587"/>
      <c r="W7" s="586" t="s">
        <v>4</v>
      </c>
      <c r="X7" s="587"/>
      <c r="Y7" s="619" t="s">
        <v>11</v>
      </c>
      <c r="Z7" s="619"/>
      <c r="AA7" s="619" t="s">
        <v>30</v>
      </c>
      <c r="AB7" s="619"/>
      <c r="AC7" s="619" t="s">
        <v>0</v>
      </c>
      <c r="AD7" s="619"/>
      <c r="AE7" s="619"/>
      <c r="AF7" s="619"/>
      <c r="AG7" s="624"/>
      <c r="AH7" s="624"/>
      <c r="AI7" s="619" t="s">
        <v>41</v>
      </c>
      <c r="AJ7" s="619"/>
      <c r="AK7" s="619" t="s">
        <v>44</v>
      </c>
      <c r="AL7" s="619"/>
      <c r="AM7" s="619" t="s">
        <v>50</v>
      </c>
      <c r="AN7" s="619"/>
      <c r="AO7" s="619"/>
      <c r="AP7" s="619"/>
      <c r="AQ7" s="50" t="s">
        <v>30</v>
      </c>
      <c r="AR7" s="100" t="s">
        <v>297</v>
      </c>
      <c r="AS7" s="366" t="s">
        <v>297</v>
      </c>
    </row>
    <row r="8" spans="1:45" s="6" customFormat="1" ht="13.5" thickBot="1">
      <c r="A8" s="40"/>
      <c r="B8" s="626" t="s">
        <v>279</v>
      </c>
      <c r="C8" s="627"/>
      <c r="D8" s="627"/>
      <c r="E8" s="627"/>
      <c r="F8" s="627"/>
      <c r="G8" s="627"/>
      <c r="H8" s="627"/>
      <c r="I8" s="628"/>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101" t="s">
        <v>301</v>
      </c>
      <c r="AS8" s="367" t="s">
        <v>298</v>
      </c>
    </row>
    <row r="9" spans="1:45" s="9" customFormat="1" ht="12.75">
      <c r="A9" s="79"/>
      <c r="B9" s="80"/>
      <c r="C9" s="80"/>
      <c r="D9" s="80"/>
      <c r="E9" s="80"/>
      <c r="F9" s="80"/>
      <c r="G9" s="80"/>
      <c r="H9" s="80"/>
      <c r="I9" s="80"/>
      <c r="J9" s="80"/>
      <c r="K9" s="80"/>
      <c r="L9" s="80"/>
      <c r="M9" s="80"/>
      <c r="N9" s="81" t="s">
        <v>22</v>
      </c>
      <c r="O9" s="80"/>
      <c r="P9" s="80" t="s">
        <v>25</v>
      </c>
      <c r="Q9" s="82" t="s">
        <v>27</v>
      </c>
      <c r="R9" s="82" t="s">
        <v>28</v>
      </c>
      <c r="S9" s="586" t="s">
        <v>32</v>
      </c>
      <c r="T9" s="587"/>
      <c r="U9" s="586" t="s">
        <v>33</v>
      </c>
      <c r="V9" s="587"/>
      <c r="W9" s="586" t="s">
        <v>34</v>
      </c>
      <c r="X9" s="587"/>
      <c r="Y9" s="623" t="s">
        <v>43</v>
      </c>
      <c r="Z9" s="623"/>
      <c r="AA9" s="623" t="s">
        <v>36</v>
      </c>
      <c r="AB9" s="623"/>
      <c r="AC9" s="623" t="s">
        <v>380</v>
      </c>
      <c r="AD9" s="623"/>
      <c r="AE9" s="83"/>
      <c r="AF9" s="84"/>
      <c r="AG9" s="85"/>
      <c r="AH9" s="86"/>
      <c r="AI9" s="623" t="s">
        <v>40</v>
      </c>
      <c r="AJ9" s="623"/>
      <c r="AK9" s="623" t="s">
        <v>45</v>
      </c>
      <c r="AL9" s="623"/>
      <c r="AM9" s="623" t="s">
        <v>51</v>
      </c>
      <c r="AN9" s="623"/>
      <c r="AO9" s="83"/>
      <c r="AP9" s="84"/>
      <c r="AQ9" s="87" t="s">
        <v>36</v>
      </c>
      <c r="AR9" s="102" t="s">
        <v>302</v>
      </c>
      <c r="AS9" s="368" t="s">
        <v>299</v>
      </c>
    </row>
    <row r="10" spans="1:45" s="9" customFormat="1" ht="13.5" thickBot="1">
      <c r="A10" s="88"/>
      <c r="B10" s="626" t="s">
        <v>278</v>
      </c>
      <c r="C10" s="627"/>
      <c r="D10" s="627"/>
      <c r="E10" s="627"/>
      <c r="F10" s="627"/>
      <c r="G10" s="627"/>
      <c r="H10" s="627"/>
      <c r="I10" s="628"/>
      <c r="J10" s="51" t="s">
        <v>61</v>
      </c>
      <c r="K10" s="51" t="s">
        <v>75</v>
      </c>
      <c r="L10" s="51" t="s">
        <v>78</v>
      </c>
      <c r="M10" s="51" t="s">
        <v>63</v>
      </c>
      <c r="N10" s="52" t="s">
        <v>23</v>
      </c>
      <c r="O10" s="53" t="s">
        <v>24</v>
      </c>
      <c r="P10" s="53" t="s">
        <v>26</v>
      </c>
      <c r="Q10" s="575" t="s">
        <v>26</v>
      </c>
      <c r="R10" s="575" t="s">
        <v>29</v>
      </c>
      <c r="S10" s="576" t="s">
        <v>38</v>
      </c>
      <c r="T10" s="577" t="s">
        <v>35</v>
      </c>
      <c r="U10" s="576" t="s">
        <v>38</v>
      </c>
      <c r="V10" s="577" t="s">
        <v>35</v>
      </c>
      <c r="W10" s="576" t="s">
        <v>38</v>
      </c>
      <c r="X10" s="577" t="s">
        <v>35</v>
      </c>
      <c r="Y10" s="578" t="s">
        <v>38</v>
      </c>
      <c r="Z10" s="579" t="s">
        <v>35</v>
      </c>
      <c r="AA10" s="579" t="s">
        <v>35</v>
      </c>
      <c r="AB10" s="578" t="s">
        <v>37</v>
      </c>
      <c r="AC10" s="576" t="s">
        <v>38</v>
      </c>
      <c r="AD10" s="580" t="s">
        <v>39</v>
      </c>
      <c r="AE10" s="684" t="s">
        <v>38</v>
      </c>
      <c r="AF10" s="685" t="s">
        <v>35</v>
      </c>
      <c r="AG10" s="686" t="s">
        <v>38</v>
      </c>
      <c r="AH10" s="687" t="s">
        <v>35</v>
      </c>
      <c r="AI10" s="688" t="s">
        <v>35</v>
      </c>
      <c r="AJ10" s="688" t="s">
        <v>35</v>
      </c>
      <c r="AK10" s="685" t="s">
        <v>35</v>
      </c>
      <c r="AL10" s="684" t="s">
        <v>37</v>
      </c>
      <c r="AM10" s="689" t="s">
        <v>38</v>
      </c>
      <c r="AN10" s="688" t="s">
        <v>39</v>
      </c>
      <c r="AO10" s="707" t="s">
        <v>38</v>
      </c>
      <c r="AP10" s="708" t="s">
        <v>37</v>
      </c>
      <c r="AQ10" s="684" t="s">
        <v>37</v>
      </c>
      <c r="AR10" s="581" t="s">
        <v>303</v>
      </c>
      <c r="AS10" s="582" t="s">
        <v>300</v>
      </c>
    </row>
    <row r="11" spans="1:46" s="10" customFormat="1" ht="15" customHeight="1">
      <c r="A11" s="331">
        <v>1</v>
      </c>
      <c r="B11" s="559"/>
      <c r="C11" s="328"/>
      <c r="D11" s="328"/>
      <c r="E11" s="328"/>
      <c r="F11" s="416">
        <v>2</v>
      </c>
      <c r="G11" s="328"/>
      <c r="H11" s="328"/>
      <c r="I11" s="411" t="s">
        <v>54</v>
      </c>
      <c r="J11" s="418" t="s">
        <v>643</v>
      </c>
      <c r="K11" s="560" t="s">
        <v>644</v>
      </c>
      <c r="L11" s="561"/>
      <c r="M11" s="562" t="s">
        <v>643</v>
      </c>
      <c r="N11" s="563">
        <v>40956</v>
      </c>
      <c r="O11" s="564" t="s">
        <v>68</v>
      </c>
      <c r="P11" s="419">
        <v>440</v>
      </c>
      <c r="Q11" s="293">
        <v>572</v>
      </c>
      <c r="R11" s="293">
        <v>4</v>
      </c>
      <c r="S11" s="565">
        <v>655944.56</v>
      </c>
      <c r="T11" s="566">
        <v>76866</v>
      </c>
      <c r="U11" s="565">
        <v>1351806.5</v>
      </c>
      <c r="V11" s="566">
        <v>148077</v>
      </c>
      <c r="W11" s="565">
        <v>1446906.5</v>
      </c>
      <c r="X11" s="566">
        <v>157145</v>
      </c>
      <c r="Y11" s="567">
        <f>SUM(S11+U11+W11)</f>
        <v>3454657.56</v>
      </c>
      <c r="Z11" s="568">
        <f>T11+V11+X11</f>
        <v>382088</v>
      </c>
      <c r="AA11" s="569">
        <f>IF(Y11&lt;&gt;0,Z11/Q11,"")</f>
        <v>667.986013986014</v>
      </c>
      <c r="AB11" s="570">
        <f>IF(Y11&lt;&gt;0,Y11/Z11,"")</f>
        <v>9.041523314000964</v>
      </c>
      <c r="AC11" s="571">
        <v>5063154.45</v>
      </c>
      <c r="AD11" s="572">
        <f>IF(AC11&lt;&gt;0,-(AC11-Y11)/AC11,"")</f>
        <v>-0.3176867120851903</v>
      </c>
      <c r="AE11" s="690">
        <f>AG11-Y11</f>
        <v>1768702.3199999998</v>
      </c>
      <c r="AF11" s="691">
        <f>AH11-Z11</f>
        <v>241308</v>
      </c>
      <c r="AG11" s="727">
        <v>5223359.88</v>
      </c>
      <c r="AH11" s="728">
        <v>623396</v>
      </c>
      <c r="AI11" s="692">
        <f>Z11*1/AH11</f>
        <v>0.6129137819299451</v>
      </c>
      <c r="AJ11" s="692">
        <f>AF11*1/AH11</f>
        <v>0.387086218070055</v>
      </c>
      <c r="AK11" s="691">
        <f>AH11/Q11</f>
        <v>1089.8531468531469</v>
      </c>
      <c r="AL11" s="693">
        <f>AG11/AH11</f>
        <v>8.378879363999769</v>
      </c>
      <c r="AM11" s="695">
        <v>8091852.8</v>
      </c>
      <c r="AN11" s="692">
        <f aca="true" t="shared" si="0" ref="AN11:AN68">IF(AM11&lt;&gt;0,-(AM11-AG11)/AM11,"")</f>
        <v>-0.3544914855594012</v>
      </c>
      <c r="AO11" s="270">
        <f>21413320.22+14038209.72+8091830.8+5223359.88</f>
        <v>48766720.62</v>
      </c>
      <c r="AP11" s="272">
        <f>2475453+1630117+937421+623396</f>
        <v>5666387</v>
      </c>
      <c r="AQ11" s="452">
        <f>AO11/AP11</f>
        <v>8.606316621155596</v>
      </c>
      <c r="AR11" s="716">
        <v>40977</v>
      </c>
      <c r="AS11" s="574">
        <v>1</v>
      </c>
      <c r="AT11" s="60"/>
    </row>
    <row r="12" spans="1:46" s="10" customFormat="1" ht="15" customHeight="1">
      <c r="A12" s="331" t="s">
        <v>470</v>
      </c>
      <c r="B12" s="312"/>
      <c r="C12" s="312"/>
      <c r="D12" s="312"/>
      <c r="E12" s="312"/>
      <c r="F12" s="312"/>
      <c r="G12" s="318"/>
      <c r="H12" s="313"/>
      <c r="I12" s="316" t="s">
        <v>54</v>
      </c>
      <c r="J12" s="207" t="s">
        <v>697</v>
      </c>
      <c r="K12" s="462" t="s">
        <v>348</v>
      </c>
      <c r="L12" s="461"/>
      <c r="M12" s="466" t="s">
        <v>697</v>
      </c>
      <c r="N12" s="467">
        <v>40970</v>
      </c>
      <c r="O12" s="465" t="s">
        <v>12</v>
      </c>
      <c r="P12" s="258">
        <v>285</v>
      </c>
      <c r="Q12" s="259">
        <v>475</v>
      </c>
      <c r="R12" s="259">
        <v>2</v>
      </c>
      <c r="S12" s="556">
        <v>455046</v>
      </c>
      <c r="T12" s="557">
        <v>69397</v>
      </c>
      <c r="U12" s="556">
        <v>1119121</v>
      </c>
      <c r="V12" s="557">
        <v>125339</v>
      </c>
      <c r="W12" s="556">
        <v>1213825</v>
      </c>
      <c r="X12" s="557">
        <v>125598</v>
      </c>
      <c r="Y12" s="435">
        <f>SUM(S12+U12+W12)</f>
        <v>2787992</v>
      </c>
      <c r="Z12" s="436">
        <f>T12+V12+X12</f>
        <v>320334</v>
      </c>
      <c r="AA12" s="422">
        <f>IF(Y12&lt;&gt;0,Z12/Q12,"")</f>
        <v>674.3873684210527</v>
      </c>
      <c r="AB12" s="423">
        <f>IF(Y12&lt;&gt;0,Y12/Z12,"")</f>
        <v>8.703390835815117</v>
      </c>
      <c r="AC12" s="426">
        <v>3575336</v>
      </c>
      <c r="AD12" s="425">
        <f>IF(AC12&lt;&gt;0,-(AC12-Y12)/AC12,"")</f>
        <v>-0.22021538674966493</v>
      </c>
      <c r="AE12" s="690">
        <f>AG12-Y12</f>
        <v>1301164</v>
      </c>
      <c r="AF12" s="691">
        <f>AH12-Z12</f>
        <v>131472</v>
      </c>
      <c r="AG12" s="729">
        <v>4089156</v>
      </c>
      <c r="AH12" s="730">
        <v>451806</v>
      </c>
      <c r="AI12" s="692">
        <f>Z12*1/AH12</f>
        <v>0.7090078485013479</v>
      </c>
      <c r="AJ12" s="692">
        <f>AF12*1/AH12</f>
        <v>0.2909921514986521</v>
      </c>
      <c r="AK12" s="691">
        <f>AH12/Q12</f>
        <v>951.1705263157895</v>
      </c>
      <c r="AL12" s="693">
        <f>AG12/AH12</f>
        <v>9.050689897876522</v>
      </c>
      <c r="AM12" s="694">
        <v>5679112</v>
      </c>
      <c r="AN12" s="692">
        <f t="shared" si="0"/>
        <v>-0.27996560025581463</v>
      </c>
      <c r="AO12" s="263">
        <v>9768268</v>
      </c>
      <c r="AP12" s="264">
        <v>1083406</v>
      </c>
      <c r="AQ12" s="452">
        <f>AO12/AP12</f>
        <v>9.016257986387375</v>
      </c>
      <c r="AR12" s="716">
        <v>40977</v>
      </c>
      <c r="AS12" s="413" t="s">
        <v>470</v>
      </c>
      <c r="AT12" s="60"/>
    </row>
    <row r="13" spans="1:46" s="10" customFormat="1" ht="15" customHeight="1">
      <c r="A13" s="331" t="s">
        <v>471</v>
      </c>
      <c r="B13" s="430" t="s">
        <v>56</v>
      </c>
      <c r="C13" s="312"/>
      <c r="D13" s="324" t="s">
        <v>223</v>
      </c>
      <c r="E13" s="312"/>
      <c r="F13" s="327">
        <v>2</v>
      </c>
      <c r="G13" s="312"/>
      <c r="H13" s="317" t="s">
        <v>55</v>
      </c>
      <c r="I13" s="312"/>
      <c r="J13" s="210" t="s">
        <v>728</v>
      </c>
      <c r="K13" s="461" t="s">
        <v>725</v>
      </c>
      <c r="L13" s="462" t="s">
        <v>726</v>
      </c>
      <c r="M13" s="463" t="s">
        <v>727</v>
      </c>
      <c r="N13" s="464">
        <v>40977</v>
      </c>
      <c r="O13" s="465" t="s">
        <v>68</v>
      </c>
      <c r="P13" s="274">
        <v>167</v>
      </c>
      <c r="Q13" s="259">
        <v>167</v>
      </c>
      <c r="R13" s="259">
        <v>1</v>
      </c>
      <c r="S13" s="554">
        <v>139760.32</v>
      </c>
      <c r="T13" s="555">
        <v>15220</v>
      </c>
      <c r="U13" s="554">
        <v>433288</v>
      </c>
      <c r="V13" s="555">
        <v>44630</v>
      </c>
      <c r="W13" s="554">
        <v>445641.5</v>
      </c>
      <c r="X13" s="555">
        <v>45936</v>
      </c>
      <c r="Y13" s="435">
        <f>SUM(S13+U13+W13)</f>
        <v>1018689.8200000001</v>
      </c>
      <c r="Z13" s="436">
        <f>T13+V13+X13</f>
        <v>105786</v>
      </c>
      <c r="AA13" s="422">
        <f>IF(Y13&lt;&gt;0,Z13/Q13,"")</f>
        <v>633.4491017964071</v>
      </c>
      <c r="AB13" s="423">
        <f>IF(Y13&lt;&gt;0,Y13/Z13,"")</f>
        <v>9.629722458548391</v>
      </c>
      <c r="AC13" s="426"/>
      <c r="AD13" s="425">
        <f>IF(AC13&lt;&gt;0,-(AC13-Y13)/AC13,"")</f>
      </c>
      <c r="AE13" s="690">
        <f>AG13-Y13</f>
        <v>259623.01</v>
      </c>
      <c r="AF13" s="691">
        <f>AH13-Z13</f>
        <v>34539</v>
      </c>
      <c r="AG13" s="727">
        <v>1278312.83</v>
      </c>
      <c r="AH13" s="728">
        <v>140325</v>
      </c>
      <c r="AI13" s="692">
        <f>Z13*1/AH13</f>
        <v>0.7538642437199359</v>
      </c>
      <c r="AJ13" s="692">
        <f>AF13*1/AH13</f>
        <v>0.24613575628006415</v>
      </c>
      <c r="AK13" s="691">
        <f>AH13/Q13</f>
        <v>840.2694610778443</v>
      </c>
      <c r="AL13" s="693">
        <f>AG13/AH13</f>
        <v>9.109658507037235</v>
      </c>
      <c r="AM13" s="695"/>
      <c r="AN13" s="692">
        <f t="shared" si="0"/>
      </c>
      <c r="AO13" s="270">
        <f>1278312.83</f>
        <v>1278312.83</v>
      </c>
      <c r="AP13" s="272">
        <v>140325</v>
      </c>
      <c r="AQ13" s="452">
        <f>AO13/AP13</f>
        <v>9.109658507037235</v>
      </c>
      <c r="AR13" s="716">
        <v>40977</v>
      </c>
      <c r="AS13" s="413" t="s">
        <v>349</v>
      </c>
      <c r="AT13" s="60"/>
    </row>
    <row r="14" spans="1:46" s="10" customFormat="1" ht="15" customHeight="1">
      <c r="A14" s="331" t="s">
        <v>472</v>
      </c>
      <c r="B14" s="430" t="s">
        <v>56</v>
      </c>
      <c r="C14" s="312"/>
      <c r="D14" s="324" t="s">
        <v>223</v>
      </c>
      <c r="E14" s="319">
        <v>3</v>
      </c>
      <c r="F14" s="327">
        <v>2</v>
      </c>
      <c r="G14" s="318"/>
      <c r="H14" s="313"/>
      <c r="I14" s="313"/>
      <c r="J14" s="207" t="s">
        <v>735</v>
      </c>
      <c r="K14" s="462" t="s">
        <v>92</v>
      </c>
      <c r="L14" s="463" t="s">
        <v>94</v>
      </c>
      <c r="M14" s="466" t="s">
        <v>736</v>
      </c>
      <c r="N14" s="467">
        <v>40977</v>
      </c>
      <c r="O14" s="465" t="s">
        <v>12</v>
      </c>
      <c r="P14" s="258">
        <v>101</v>
      </c>
      <c r="Q14" s="259">
        <v>216</v>
      </c>
      <c r="R14" s="259">
        <v>1</v>
      </c>
      <c r="S14" s="556">
        <v>113465</v>
      </c>
      <c r="T14" s="557">
        <v>9248</v>
      </c>
      <c r="U14" s="556">
        <v>231114</v>
      </c>
      <c r="V14" s="557">
        <v>18542</v>
      </c>
      <c r="W14" s="556">
        <v>252085</v>
      </c>
      <c r="X14" s="557">
        <v>20737</v>
      </c>
      <c r="Y14" s="435">
        <f>SUM(S14+U14+W14)</f>
        <v>596664</v>
      </c>
      <c r="Z14" s="436">
        <f>T14+V14+X14</f>
        <v>48527</v>
      </c>
      <c r="AA14" s="422">
        <f>IF(Y14&lt;&gt;0,Z14/Q14,"")</f>
        <v>224.66203703703704</v>
      </c>
      <c r="AB14" s="423">
        <f>IF(Y14&lt;&gt;0,Y14/Z14,"")</f>
        <v>12.295505594823501</v>
      </c>
      <c r="AC14" s="426"/>
      <c r="AD14" s="425">
        <f>IF(AC14&lt;&gt;0,-(AC14-Y14)/AC14,"")</f>
      </c>
      <c r="AE14" s="690">
        <f>AG14-Y14</f>
        <v>294436</v>
      </c>
      <c r="AF14" s="691">
        <f>AH14-Z14</f>
        <v>29092</v>
      </c>
      <c r="AG14" s="729">
        <v>891100</v>
      </c>
      <c r="AH14" s="730">
        <v>77619</v>
      </c>
      <c r="AI14" s="692">
        <f>Z14*1/AH14</f>
        <v>0.6251948620827374</v>
      </c>
      <c r="AJ14" s="692">
        <f>AF14*1/AH14</f>
        <v>0.3748051379172625</v>
      </c>
      <c r="AK14" s="691">
        <f>AH14/Q14</f>
        <v>359.34722222222223</v>
      </c>
      <c r="AL14" s="693">
        <f>AG14/AH14</f>
        <v>11.480436491065332</v>
      </c>
      <c r="AM14" s="694"/>
      <c r="AN14" s="692">
        <f t="shared" si="0"/>
      </c>
      <c r="AO14" s="263">
        <v>891100</v>
      </c>
      <c r="AP14" s="264">
        <v>77619</v>
      </c>
      <c r="AQ14" s="452">
        <f>AO14/AP14</f>
        <v>11.480436491065332</v>
      </c>
      <c r="AR14" s="716">
        <v>40977</v>
      </c>
      <c r="AS14" s="413" t="s">
        <v>349</v>
      </c>
      <c r="AT14" s="60"/>
    </row>
    <row r="15" spans="1:46" s="10" customFormat="1" ht="15" customHeight="1">
      <c r="A15" s="331" t="s">
        <v>473</v>
      </c>
      <c r="B15" s="430" t="s">
        <v>56</v>
      </c>
      <c r="C15" s="312"/>
      <c r="D15" s="324" t="s">
        <v>223</v>
      </c>
      <c r="E15" s="312"/>
      <c r="F15" s="312"/>
      <c r="G15" s="323" t="s">
        <v>292</v>
      </c>
      <c r="H15" s="333"/>
      <c r="I15" s="409"/>
      <c r="J15" s="205" t="s">
        <v>714</v>
      </c>
      <c r="K15" s="462" t="s">
        <v>651</v>
      </c>
      <c r="L15" s="465" t="s">
        <v>95</v>
      </c>
      <c r="M15" s="465" t="s">
        <v>715</v>
      </c>
      <c r="N15" s="467">
        <v>40984</v>
      </c>
      <c r="O15" s="465" t="s">
        <v>10</v>
      </c>
      <c r="P15" s="258">
        <v>105</v>
      </c>
      <c r="Q15" s="271">
        <v>100</v>
      </c>
      <c r="R15" s="271">
        <v>1</v>
      </c>
      <c r="S15" s="268">
        <v>81086</v>
      </c>
      <c r="T15" s="269">
        <v>6674</v>
      </c>
      <c r="U15" s="268">
        <v>228074</v>
      </c>
      <c r="V15" s="269">
        <v>18737</v>
      </c>
      <c r="W15" s="268">
        <v>267682</v>
      </c>
      <c r="X15" s="269">
        <v>22162</v>
      </c>
      <c r="Y15" s="435">
        <f>SUM(S15+U15+W15)</f>
        <v>576842</v>
      </c>
      <c r="Z15" s="436">
        <f>T15+V15+X15</f>
        <v>47573</v>
      </c>
      <c r="AA15" s="422">
        <f>IF(Y15&lt;&gt;0,Z15/Q15,"")</f>
        <v>475.73</v>
      </c>
      <c r="AB15" s="423">
        <f>IF(Y15&lt;&gt;0,Y15/Z15,"")</f>
        <v>12.125407268828958</v>
      </c>
      <c r="AC15" s="424"/>
      <c r="AD15" s="425">
        <f>IF(AC15&lt;&gt;0,-(AC15-Y15)/AC15,"")</f>
      </c>
      <c r="AE15" s="690">
        <f>AG15-Y15</f>
        <v>224280</v>
      </c>
      <c r="AF15" s="691">
        <f>AH15-Z15</f>
        <v>22885</v>
      </c>
      <c r="AG15" s="731">
        <v>801122</v>
      </c>
      <c r="AH15" s="732">
        <v>70458</v>
      </c>
      <c r="AI15" s="692">
        <f>Z15*1/AH15</f>
        <v>0.6751965710068409</v>
      </c>
      <c r="AJ15" s="692">
        <f>AF15*1/AH15</f>
        <v>0.32480342899315906</v>
      </c>
      <c r="AK15" s="691">
        <f>AH15/Q15</f>
        <v>704.58</v>
      </c>
      <c r="AL15" s="693">
        <f>AG15/AH15</f>
        <v>11.370206364075052</v>
      </c>
      <c r="AM15" s="694">
        <v>5614</v>
      </c>
      <c r="AN15" s="692">
        <f t="shared" si="0"/>
        <v>141.70074812967582</v>
      </c>
      <c r="AO15" s="268">
        <v>806736</v>
      </c>
      <c r="AP15" s="269">
        <v>70831</v>
      </c>
      <c r="AQ15" s="452">
        <f>AO15/AP15</f>
        <v>11.389589304118253</v>
      </c>
      <c r="AR15" s="716">
        <v>40977</v>
      </c>
      <c r="AS15" s="413" t="s">
        <v>487</v>
      </c>
      <c r="AT15" s="60"/>
    </row>
    <row r="16" spans="1:46" s="10" customFormat="1" ht="15" customHeight="1">
      <c r="A16" s="331" t="s">
        <v>474</v>
      </c>
      <c r="B16" s="312"/>
      <c r="C16" s="312"/>
      <c r="D16" s="312"/>
      <c r="E16" s="312"/>
      <c r="F16" s="312"/>
      <c r="G16" s="312"/>
      <c r="H16" s="312"/>
      <c r="I16" s="312"/>
      <c r="J16" s="210" t="s">
        <v>694</v>
      </c>
      <c r="K16" s="461" t="s">
        <v>696</v>
      </c>
      <c r="L16" s="462" t="s">
        <v>89</v>
      </c>
      <c r="M16" s="463" t="s">
        <v>695</v>
      </c>
      <c r="N16" s="464">
        <v>40970</v>
      </c>
      <c r="O16" s="465" t="s">
        <v>68</v>
      </c>
      <c r="P16" s="274">
        <v>100</v>
      </c>
      <c r="Q16" s="259">
        <v>100</v>
      </c>
      <c r="R16" s="259">
        <v>2</v>
      </c>
      <c r="S16" s="554">
        <v>46489.14</v>
      </c>
      <c r="T16" s="555">
        <v>4145</v>
      </c>
      <c r="U16" s="554">
        <v>91574</v>
      </c>
      <c r="V16" s="555">
        <v>7936</v>
      </c>
      <c r="W16" s="554">
        <v>95821.5</v>
      </c>
      <c r="X16" s="555">
        <v>8271</v>
      </c>
      <c r="Y16" s="435">
        <f>SUM(S16+U16+W16)</f>
        <v>233884.64</v>
      </c>
      <c r="Z16" s="436">
        <f>T16+V16+X16</f>
        <v>20352</v>
      </c>
      <c r="AA16" s="422">
        <f>IF(Y16&lt;&gt;0,Z16/Q16,"")</f>
        <v>203.52</v>
      </c>
      <c r="AB16" s="423">
        <f>IF(Y16&lt;&gt;0,Y16/Z16,"")</f>
        <v>11.491973270440253</v>
      </c>
      <c r="AC16" s="426">
        <v>276115.51</v>
      </c>
      <c r="AD16" s="425">
        <f>IF(AC16&lt;&gt;0,-(AC16-Y16)/AC16,"")</f>
        <v>-0.15294638827061904</v>
      </c>
      <c r="AE16" s="690">
        <f>AG16-Y16</f>
        <v>156786.99</v>
      </c>
      <c r="AF16" s="691">
        <f>AH16-Z16</f>
        <v>18033</v>
      </c>
      <c r="AG16" s="727">
        <v>390671.63</v>
      </c>
      <c r="AH16" s="728">
        <v>38385</v>
      </c>
      <c r="AI16" s="692">
        <f>Z16*1/AH16</f>
        <v>0.5302071121531848</v>
      </c>
      <c r="AJ16" s="692">
        <f>AF16*1/AH16</f>
        <v>0.46979288784681517</v>
      </c>
      <c r="AK16" s="691">
        <f>AH16/Q16</f>
        <v>383.85</v>
      </c>
      <c r="AL16" s="693">
        <f>AG16/AH16</f>
        <v>10.17771603490947</v>
      </c>
      <c r="AM16" s="695">
        <v>459093.15</v>
      </c>
      <c r="AN16" s="692">
        <f t="shared" si="0"/>
        <v>-0.14903624678346872</v>
      </c>
      <c r="AO16" s="270">
        <f>460248.15+390671.63</f>
        <v>850919.78</v>
      </c>
      <c r="AP16" s="272">
        <f>43513+38385</f>
        <v>81898</v>
      </c>
      <c r="AQ16" s="452">
        <f>AO16/AP16</f>
        <v>10.38999462746343</v>
      </c>
      <c r="AR16" s="716">
        <v>40977</v>
      </c>
      <c r="AS16" s="413" t="s">
        <v>472</v>
      </c>
      <c r="AT16" s="60"/>
    </row>
    <row r="17" spans="1:46" s="10" customFormat="1" ht="15" customHeight="1">
      <c r="A17" s="331" t="s">
        <v>475</v>
      </c>
      <c r="B17" s="430" t="s">
        <v>56</v>
      </c>
      <c r="C17" s="312"/>
      <c r="D17" s="322"/>
      <c r="E17" s="322"/>
      <c r="F17" s="312"/>
      <c r="G17" s="325"/>
      <c r="H17" s="322"/>
      <c r="I17" s="320"/>
      <c r="J17" s="203" t="s">
        <v>722</v>
      </c>
      <c r="K17" s="463" t="s">
        <v>132</v>
      </c>
      <c r="L17" s="462" t="s">
        <v>189</v>
      </c>
      <c r="M17" s="463" t="s">
        <v>723</v>
      </c>
      <c r="N17" s="467">
        <v>40977</v>
      </c>
      <c r="O17" s="465" t="s">
        <v>8</v>
      </c>
      <c r="P17" s="274">
        <v>43</v>
      </c>
      <c r="Q17" s="267">
        <v>43</v>
      </c>
      <c r="R17" s="267">
        <v>1</v>
      </c>
      <c r="S17" s="362">
        <v>51648</v>
      </c>
      <c r="T17" s="360">
        <v>4371</v>
      </c>
      <c r="U17" s="362">
        <v>102574</v>
      </c>
      <c r="V17" s="360">
        <v>8264</v>
      </c>
      <c r="W17" s="362">
        <v>93450</v>
      </c>
      <c r="X17" s="360">
        <v>7629</v>
      </c>
      <c r="Y17" s="435">
        <f>SUM(S17+U17+W17)</f>
        <v>247672</v>
      </c>
      <c r="Z17" s="436">
        <f>T17+V17+X17</f>
        <v>20264</v>
      </c>
      <c r="AA17" s="422">
        <f>IF(Y17&lt;&gt;0,Z17/Q17,"")</f>
        <v>471.25581395348837</v>
      </c>
      <c r="AB17" s="423">
        <f>IF(Y17&lt;&gt;0,Y17/Z17,"")</f>
        <v>12.222266087643112</v>
      </c>
      <c r="AC17" s="426"/>
      <c r="AD17" s="425">
        <f>IF(AC17&lt;&gt;0,-(AC17-Y17)/AC17,"")</f>
      </c>
      <c r="AE17" s="690">
        <f>AG17-Y17</f>
        <v>136620</v>
      </c>
      <c r="AF17" s="691">
        <f>AH17-Z17</f>
        <v>14548</v>
      </c>
      <c r="AG17" s="731">
        <v>384292</v>
      </c>
      <c r="AH17" s="732">
        <v>34812</v>
      </c>
      <c r="AI17" s="692">
        <f>Z17*1/AH17</f>
        <v>0.5820981270826152</v>
      </c>
      <c r="AJ17" s="692">
        <f>AF17*1/AH17</f>
        <v>0.4179018729173848</v>
      </c>
      <c r="AK17" s="691">
        <f>AH17/Q17</f>
        <v>809.5813953488372</v>
      </c>
      <c r="AL17" s="693">
        <f>AG17/AH17</f>
        <v>11.039066988394806</v>
      </c>
      <c r="AM17" s="695"/>
      <c r="AN17" s="692">
        <f t="shared" si="0"/>
      </c>
      <c r="AO17" s="268">
        <v>384292</v>
      </c>
      <c r="AP17" s="269">
        <v>34812</v>
      </c>
      <c r="AQ17" s="452">
        <f>AO17/AP17</f>
        <v>11.039066988394806</v>
      </c>
      <c r="AR17" s="716">
        <v>40977</v>
      </c>
      <c r="AS17" s="413" t="s">
        <v>349</v>
      </c>
      <c r="AT17" s="359"/>
    </row>
    <row r="18" spans="1:46" s="10" customFormat="1" ht="15" customHeight="1">
      <c r="A18" s="331" t="s">
        <v>476</v>
      </c>
      <c r="B18" s="717"/>
      <c r="C18" s="312"/>
      <c r="D18" s="312"/>
      <c r="E18" s="312"/>
      <c r="F18" s="312"/>
      <c r="G18" s="312"/>
      <c r="H18" s="312"/>
      <c r="I18" s="314"/>
      <c r="J18" s="211" t="s">
        <v>698</v>
      </c>
      <c r="K18" s="462" t="s">
        <v>699</v>
      </c>
      <c r="L18" s="468" t="s">
        <v>95</v>
      </c>
      <c r="M18" s="465" t="s">
        <v>698</v>
      </c>
      <c r="N18" s="464">
        <v>40970</v>
      </c>
      <c r="O18" s="465" t="s">
        <v>10</v>
      </c>
      <c r="P18" s="258">
        <v>31</v>
      </c>
      <c r="Q18" s="271">
        <v>31</v>
      </c>
      <c r="R18" s="271">
        <v>2</v>
      </c>
      <c r="S18" s="268">
        <v>18745</v>
      </c>
      <c r="T18" s="269">
        <v>1331</v>
      </c>
      <c r="U18" s="268">
        <v>36598</v>
      </c>
      <c r="V18" s="269">
        <v>2588</v>
      </c>
      <c r="W18" s="268">
        <v>35990</v>
      </c>
      <c r="X18" s="269">
        <v>2530</v>
      </c>
      <c r="Y18" s="435">
        <f>SUM(S18+U18+W18)</f>
        <v>91333</v>
      </c>
      <c r="Z18" s="436">
        <f>T18+V18+X18</f>
        <v>6449</v>
      </c>
      <c r="AA18" s="422">
        <f>IF(Y18&lt;&gt;0,Z18/Q18,"")</f>
        <v>208.03225806451613</v>
      </c>
      <c r="AB18" s="423">
        <f>IF(Y18&lt;&gt;0,Y18/Z18,"")</f>
        <v>14.162350752054582</v>
      </c>
      <c r="AC18" s="426">
        <v>122440</v>
      </c>
      <c r="AD18" s="425">
        <f>IF(AC18&lt;&gt;0,-(AC18-Y18)/AC18,"")</f>
        <v>-0.2540591310029402</v>
      </c>
      <c r="AE18" s="690">
        <f>AG18-Y18</f>
        <v>52411</v>
      </c>
      <c r="AF18" s="691">
        <f>AH18-Z18</f>
        <v>4860</v>
      </c>
      <c r="AG18" s="731">
        <v>143744</v>
      </c>
      <c r="AH18" s="732">
        <v>11309</v>
      </c>
      <c r="AI18" s="692">
        <f>Z18*1/AH18</f>
        <v>0.5702537801750818</v>
      </c>
      <c r="AJ18" s="692">
        <f>AF18*1/AH18</f>
        <v>0.42974621982491823</v>
      </c>
      <c r="AK18" s="691">
        <f>AH18/Q18</f>
        <v>364.80645161290323</v>
      </c>
      <c r="AL18" s="693">
        <f>AG18/AH18</f>
        <v>12.71058449022902</v>
      </c>
      <c r="AM18" s="695">
        <v>178631</v>
      </c>
      <c r="AN18" s="692">
        <f t="shared" si="0"/>
        <v>-0.19530204723704173</v>
      </c>
      <c r="AO18" s="268">
        <v>322375</v>
      </c>
      <c r="AP18" s="269">
        <v>25219</v>
      </c>
      <c r="AQ18" s="452">
        <f>AO18/AP18</f>
        <v>12.78302073833221</v>
      </c>
      <c r="AR18" s="716">
        <v>40977</v>
      </c>
      <c r="AS18" s="413" t="s">
        <v>476</v>
      </c>
      <c r="AT18" s="359"/>
    </row>
    <row r="19" spans="1:46" s="10" customFormat="1" ht="15" customHeight="1">
      <c r="A19" s="331" t="s">
        <v>477</v>
      </c>
      <c r="B19" s="312"/>
      <c r="C19" s="312"/>
      <c r="D19" s="312"/>
      <c r="E19" s="312"/>
      <c r="F19" s="312"/>
      <c r="G19" s="312"/>
      <c r="H19" s="312"/>
      <c r="I19" s="312"/>
      <c r="J19" s="210" t="s">
        <v>673</v>
      </c>
      <c r="K19" s="461" t="s">
        <v>126</v>
      </c>
      <c r="L19" s="462" t="s">
        <v>89</v>
      </c>
      <c r="M19" s="463" t="s">
        <v>674</v>
      </c>
      <c r="N19" s="464">
        <v>40963</v>
      </c>
      <c r="O19" s="465" t="s">
        <v>68</v>
      </c>
      <c r="P19" s="274">
        <v>40</v>
      </c>
      <c r="Q19" s="259">
        <v>27</v>
      </c>
      <c r="R19" s="259">
        <v>3</v>
      </c>
      <c r="S19" s="554">
        <v>14782.5</v>
      </c>
      <c r="T19" s="555">
        <v>1030</v>
      </c>
      <c r="U19" s="554">
        <v>28698.5</v>
      </c>
      <c r="V19" s="555">
        <v>2069</v>
      </c>
      <c r="W19" s="554">
        <v>22531.5</v>
      </c>
      <c r="X19" s="555">
        <v>1578</v>
      </c>
      <c r="Y19" s="435">
        <f>SUM(S19+U19+W19)</f>
        <v>66012.5</v>
      </c>
      <c r="Z19" s="436">
        <f>T19+V19+X19</f>
        <v>4677</v>
      </c>
      <c r="AA19" s="422">
        <f>IF(Y19&lt;&gt;0,Z19/Q19,"")</f>
        <v>173.22222222222223</v>
      </c>
      <c r="AB19" s="423">
        <f>IF(Y19&lt;&gt;0,Y19/Z19,"")</f>
        <v>14.114282659824674</v>
      </c>
      <c r="AC19" s="426">
        <v>178167.5</v>
      </c>
      <c r="AD19" s="425">
        <f>IF(AC19&lt;&gt;0,-(AC19-Y19)/AC19,"")</f>
        <v>-0.6294919107020079</v>
      </c>
      <c r="AE19" s="690">
        <f>AG19-Y19</f>
        <v>34413</v>
      </c>
      <c r="AF19" s="691">
        <f>AH19-Z19</f>
        <v>3001</v>
      </c>
      <c r="AG19" s="727">
        <v>100425.5</v>
      </c>
      <c r="AH19" s="728">
        <v>7678</v>
      </c>
      <c r="AI19" s="692">
        <f>Z19*1/AH19</f>
        <v>0.6091430059911436</v>
      </c>
      <c r="AJ19" s="692">
        <f>AF19*1/AH19</f>
        <v>0.3908569940088565</v>
      </c>
      <c r="AK19" s="691">
        <f>AH19/Q19</f>
        <v>284.3703703703704</v>
      </c>
      <c r="AL19" s="693">
        <f>AG19/AH19</f>
        <v>13.079643136233393</v>
      </c>
      <c r="AM19" s="695">
        <v>254546</v>
      </c>
      <c r="AN19" s="692">
        <f t="shared" si="0"/>
        <v>-0.6054720954169384</v>
      </c>
      <c r="AO19" s="270">
        <f>519450+254546+100425.5</f>
        <v>874421.5</v>
      </c>
      <c r="AP19" s="272">
        <f>41231+20309+7678</f>
        <v>69218</v>
      </c>
      <c r="AQ19" s="452">
        <f>AO19/AP19</f>
        <v>12.632862839145886</v>
      </c>
      <c r="AR19" s="716">
        <v>40977</v>
      </c>
      <c r="AS19" s="413" t="s">
        <v>475</v>
      </c>
      <c r="AT19" s="359"/>
    </row>
    <row r="20" spans="1:46" s="10" customFormat="1" ht="15" customHeight="1">
      <c r="A20" s="331" t="s">
        <v>478</v>
      </c>
      <c r="B20" s="332"/>
      <c r="C20" s="312"/>
      <c r="D20" s="324" t="s">
        <v>223</v>
      </c>
      <c r="E20" s="312"/>
      <c r="F20" s="312"/>
      <c r="G20" s="312"/>
      <c r="H20" s="313"/>
      <c r="I20" s="313"/>
      <c r="J20" s="203" t="s">
        <v>641</v>
      </c>
      <c r="K20" s="462" t="s">
        <v>92</v>
      </c>
      <c r="L20" s="463" t="s">
        <v>94</v>
      </c>
      <c r="M20" s="463" t="s">
        <v>642</v>
      </c>
      <c r="N20" s="467">
        <v>40956</v>
      </c>
      <c r="O20" s="465" t="s">
        <v>12</v>
      </c>
      <c r="P20" s="266">
        <v>90</v>
      </c>
      <c r="Q20" s="259">
        <v>59</v>
      </c>
      <c r="R20" s="259">
        <v>4</v>
      </c>
      <c r="S20" s="556">
        <v>5815</v>
      </c>
      <c r="T20" s="557">
        <v>641</v>
      </c>
      <c r="U20" s="556">
        <v>32423</v>
      </c>
      <c r="V20" s="557">
        <v>2743</v>
      </c>
      <c r="W20" s="556">
        <v>39222</v>
      </c>
      <c r="X20" s="557">
        <v>3315</v>
      </c>
      <c r="Y20" s="435">
        <f>SUM(S20+U20+W20)</f>
        <v>77460</v>
      </c>
      <c r="Z20" s="436">
        <f>T20+V20+X20</f>
        <v>6699</v>
      </c>
      <c r="AA20" s="422">
        <f>IF(Y20&lt;&gt;0,Z20/Q20,"")</f>
        <v>113.54237288135593</v>
      </c>
      <c r="AB20" s="423">
        <f>IF(Y20&lt;&gt;0,Y20/Z20,"")</f>
        <v>11.562919838781907</v>
      </c>
      <c r="AC20" s="427">
        <v>232375</v>
      </c>
      <c r="AD20" s="425">
        <f>IF(AC20&lt;&gt;0,-(AC20-Y20)/AC20,"")</f>
        <v>-0.666659494351802</v>
      </c>
      <c r="AE20" s="690">
        <f>AG20-Y20</f>
        <v>17713</v>
      </c>
      <c r="AF20" s="691">
        <f>AH20-Z20</f>
        <v>2385</v>
      </c>
      <c r="AG20" s="729">
        <v>95173</v>
      </c>
      <c r="AH20" s="730">
        <v>9084</v>
      </c>
      <c r="AI20" s="692">
        <f>Z20*1/AH20</f>
        <v>0.737450462351387</v>
      </c>
      <c r="AJ20" s="692">
        <f>AF20*1/AH20</f>
        <v>0.26254953764861294</v>
      </c>
      <c r="AK20" s="691">
        <f>AH20/Q20</f>
        <v>153.96610169491527</v>
      </c>
      <c r="AL20" s="693">
        <f>AG20/AH20</f>
        <v>10.476992514310876</v>
      </c>
      <c r="AM20" s="694">
        <v>288018</v>
      </c>
      <c r="AN20" s="692">
        <f t="shared" si="0"/>
        <v>-0.6695588470165059</v>
      </c>
      <c r="AO20" s="263">
        <v>1727998</v>
      </c>
      <c r="AP20" s="264">
        <v>159947</v>
      </c>
      <c r="AQ20" s="452">
        <f>AO20/AP20</f>
        <v>10.803566181297555</v>
      </c>
      <c r="AR20" s="716">
        <v>40977</v>
      </c>
      <c r="AS20" s="413" t="s">
        <v>474</v>
      </c>
      <c r="AT20" s="60"/>
    </row>
    <row r="21" spans="1:46" s="10" customFormat="1" ht="15" customHeight="1">
      <c r="A21" s="331" t="s">
        <v>479</v>
      </c>
      <c r="B21" s="430" t="s">
        <v>56</v>
      </c>
      <c r="C21" s="312"/>
      <c r="D21" s="312"/>
      <c r="E21" s="312"/>
      <c r="F21" s="312"/>
      <c r="G21" s="312"/>
      <c r="H21" s="313"/>
      <c r="I21" s="316" t="s">
        <v>54</v>
      </c>
      <c r="J21" s="211" t="s">
        <v>721</v>
      </c>
      <c r="K21" s="465" t="s">
        <v>724</v>
      </c>
      <c r="L21" s="465"/>
      <c r="M21" s="465" t="s">
        <v>721</v>
      </c>
      <c r="N21" s="467">
        <v>40977</v>
      </c>
      <c r="O21" s="465" t="s">
        <v>53</v>
      </c>
      <c r="P21" s="258">
        <v>85</v>
      </c>
      <c r="Q21" s="275">
        <v>85</v>
      </c>
      <c r="R21" s="275">
        <v>1</v>
      </c>
      <c r="S21" s="556">
        <v>9564.19</v>
      </c>
      <c r="T21" s="557">
        <v>1098</v>
      </c>
      <c r="U21" s="556">
        <v>15102.5</v>
      </c>
      <c r="V21" s="557">
        <v>1873</v>
      </c>
      <c r="W21" s="556">
        <v>19138.5</v>
      </c>
      <c r="X21" s="557">
        <v>2330</v>
      </c>
      <c r="Y21" s="435">
        <f>SUM(S21+U21+W21)</f>
        <v>43805.19</v>
      </c>
      <c r="Z21" s="436">
        <f>T21+V21+X21</f>
        <v>5301</v>
      </c>
      <c r="AA21" s="422">
        <f>IF(Y21&lt;&gt;0,Z21/Q21,"")</f>
        <v>62.36470588235294</v>
      </c>
      <c r="AB21" s="423">
        <f>IF(Y21&lt;&gt;0,Y21/Z21,"")</f>
        <v>8.263571024335032</v>
      </c>
      <c r="AC21" s="426"/>
      <c r="AD21" s="425">
        <f>IF(AC21&lt;&gt;0,-(AC21-Y21)/AC21,"")</f>
      </c>
      <c r="AE21" s="690">
        <f>AG21-Y21</f>
        <v>26498.53</v>
      </c>
      <c r="AF21" s="691">
        <f>AH21-Z21</f>
        <v>3905</v>
      </c>
      <c r="AG21" s="729">
        <v>70303.72</v>
      </c>
      <c r="AH21" s="730">
        <v>9206</v>
      </c>
      <c r="AI21" s="692">
        <f>Z21*1/AH21</f>
        <v>0.5758201173147947</v>
      </c>
      <c r="AJ21" s="692">
        <f>AF21*1/AH21</f>
        <v>0.4241798826852053</v>
      </c>
      <c r="AK21" s="691">
        <f>AH21/Q21</f>
        <v>108.30588235294118</v>
      </c>
      <c r="AL21" s="693">
        <f>AG21/AH21</f>
        <v>7.6367282207256135</v>
      </c>
      <c r="AM21" s="695"/>
      <c r="AN21" s="692">
        <f t="shared" si="0"/>
      </c>
      <c r="AO21" s="276">
        <f>70303.72</f>
        <v>70303.72</v>
      </c>
      <c r="AP21" s="277">
        <f>9206</f>
        <v>9206</v>
      </c>
      <c r="AQ21" s="452">
        <f>AO21/AP21</f>
        <v>7.6367282207256135</v>
      </c>
      <c r="AR21" s="716">
        <v>40977</v>
      </c>
      <c r="AS21" s="413" t="s">
        <v>349</v>
      </c>
      <c r="AT21" s="60"/>
    </row>
    <row r="22" spans="1:46" s="10" customFormat="1" ht="15" customHeight="1">
      <c r="A22" s="331" t="s">
        <v>480</v>
      </c>
      <c r="B22" s="430" t="s">
        <v>56</v>
      </c>
      <c r="C22" s="312"/>
      <c r="D22" s="312"/>
      <c r="E22" s="312"/>
      <c r="F22" s="312"/>
      <c r="G22" s="312"/>
      <c r="H22" s="312"/>
      <c r="I22" s="312"/>
      <c r="J22" s="210" t="s">
        <v>748</v>
      </c>
      <c r="K22" s="461" t="s">
        <v>731</v>
      </c>
      <c r="L22" s="462" t="s">
        <v>79</v>
      </c>
      <c r="M22" s="463" t="s">
        <v>730</v>
      </c>
      <c r="N22" s="464">
        <v>40977</v>
      </c>
      <c r="O22" s="465" t="s">
        <v>68</v>
      </c>
      <c r="P22" s="274">
        <v>25</v>
      </c>
      <c r="Q22" s="259">
        <v>25</v>
      </c>
      <c r="R22" s="259">
        <v>1</v>
      </c>
      <c r="S22" s="554">
        <v>3744.34</v>
      </c>
      <c r="T22" s="555">
        <v>324</v>
      </c>
      <c r="U22" s="554">
        <v>10177.5</v>
      </c>
      <c r="V22" s="555">
        <v>854</v>
      </c>
      <c r="W22" s="554">
        <v>12738</v>
      </c>
      <c r="X22" s="555">
        <v>1114</v>
      </c>
      <c r="Y22" s="435">
        <f>SUM(S22+U22+W22)</f>
        <v>26659.84</v>
      </c>
      <c r="Z22" s="436">
        <f>T22+V22+X22</f>
        <v>2292</v>
      </c>
      <c r="AA22" s="422">
        <f>IF(Y22&lt;&gt;0,Z22/Q22,"")</f>
        <v>91.68</v>
      </c>
      <c r="AB22" s="423">
        <f>IF(Y22&lt;&gt;0,Y22/Z22,"")</f>
        <v>11.631692844677138</v>
      </c>
      <c r="AC22" s="426"/>
      <c r="AD22" s="425">
        <f>IF(AC22&lt;&gt;0,-(AC22-Y22)/AC22,"")</f>
      </c>
      <c r="AE22" s="690">
        <f>AG22-Y22</f>
        <v>17495.45</v>
      </c>
      <c r="AF22" s="691">
        <f>AH22-Z22</f>
        <v>1913</v>
      </c>
      <c r="AG22" s="727">
        <v>44155.29</v>
      </c>
      <c r="AH22" s="728">
        <v>4205</v>
      </c>
      <c r="AI22" s="692">
        <f>Z22*1/AH22</f>
        <v>0.5450653983353151</v>
      </c>
      <c r="AJ22" s="692">
        <f>AF22*1/AH22</f>
        <v>0.4549346016646849</v>
      </c>
      <c r="AK22" s="691">
        <f>AH22/Q22</f>
        <v>168.2</v>
      </c>
      <c r="AL22" s="693">
        <f>AG22/AH22</f>
        <v>10.500663495838287</v>
      </c>
      <c r="AM22" s="695"/>
      <c r="AN22" s="692">
        <f t="shared" si="0"/>
      </c>
      <c r="AO22" s="270">
        <f>44155.29</f>
        <v>44155.29</v>
      </c>
      <c r="AP22" s="272">
        <f>4205</f>
        <v>4205</v>
      </c>
      <c r="AQ22" s="452">
        <f>AO22/AP22</f>
        <v>10.500663495838287</v>
      </c>
      <c r="AR22" s="716">
        <v>40977</v>
      </c>
      <c r="AS22" s="413" t="s">
        <v>349</v>
      </c>
      <c r="AT22" s="60"/>
    </row>
    <row r="23" spans="1:46" s="10" customFormat="1" ht="15" customHeight="1">
      <c r="A23" s="331" t="s">
        <v>481</v>
      </c>
      <c r="B23" s="311"/>
      <c r="C23" s="312"/>
      <c r="D23" s="312"/>
      <c r="E23" s="322"/>
      <c r="F23" s="327">
        <v>2</v>
      </c>
      <c r="G23" s="325"/>
      <c r="H23" s="312"/>
      <c r="I23" s="320"/>
      <c r="J23" s="203" t="s">
        <v>645</v>
      </c>
      <c r="K23" s="463" t="s">
        <v>440</v>
      </c>
      <c r="L23" s="462" t="s">
        <v>189</v>
      </c>
      <c r="M23" s="463" t="s">
        <v>646</v>
      </c>
      <c r="N23" s="467">
        <v>40956</v>
      </c>
      <c r="O23" s="465" t="s">
        <v>8</v>
      </c>
      <c r="P23" s="274">
        <v>160</v>
      </c>
      <c r="Q23" s="267">
        <v>17</v>
      </c>
      <c r="R23" s="267">
        <v>4</v>
      </c>
      <c r="S23" s="362">
        <v>5521</v>
      </c>
      <c r="T23" s="360">
        <v>631</v>
      </c>
      <c r="U23" s="362">
        <v>11534</v>
      </c>
      <c r="V23" s="360">
        <v>1244</v>
      </c>
      <c r="W23" s="362">
        <v>12463</v>
      </c>
      <c r="X23" s="360">
        <v>1387</v>
      </c>
      <c r="Y23" s="435">
        <f>SUM(S23+U23+W23)</f>
        <v>29518</v>
      </c>
      <c r="Z23" s="436">
        <f>T23+V23+X23</f>
        <v>3262</v>
      </c>
      <c r="AA23" s="422">
        <f>IF(Y23&lt;&gt;0,Z23/Q23,"")</f>
        <v>191.88235294117646</v>
      </c>
      <c r="AB23" s="423">
        <f>IF(Y23&lt;&gt;0,Y23/Z23,"")</f>
        <v>9.049049662783569</v>
      </c>
      <c r="AC23" s="426">
        <v>307422</v>
      </c>
      <c r="AD23" s="425">
        <f>IF(AC23&lt;&gt;0,-(AC23-Y23)/AC23,"")</f>
        <v>-0.9039821483172967</v>
      </c>
      <c r="AE23" s="690">
        <f>AG23-Y23</f>
        <v>14139</v>
      </c>
      <c r="AF23" s="691">
        <f>AH23-Z23</f>
        <v>1729</v>
      </c>
      <c r="AG23" s="731">
        <v>43657</v>
      </c>
      <c r="AH23" s="732">
        <v>4991</v>
      </c>
      <c r="AI23" s="692">
        <f>Z23*1/AH23</f>
        <v>0.6535764375876578</v>
      </c>
      <c r="AJ23" s="692">
        <f>AF23*1/AH23</f>
        <v>0.34642356241234223</v>
      </c>
      <c r="AK23" s="691">
        <f>AH23/Q23</f>
        <v>293.5882352941176</v>
      </c>
      <c r="AL23" s="693">
        <f>AG23/AH23</f>
        <v>8.74714486074935</v>
      </c>
      <c r="AM23" s="695">
        <v>986565</v>
      </c>
      <c r="AN23" s="692">
        <f t="shared" si="0"/>
        <v>-0.9557484808400866</v>
      </c>
      <c r="AO23" s="268">
        <v>3075296</v>
      </c>
      <c r="AP23" s="269">
        <v>292333</v>
      </c>
      <c r="AQ23" s="452">
        <f>AO23/AP23</f>
        <v>10.51983867712506</v>
      </c>
      <c r="AR23" s="716">
        <v>40977</v>
      </c>
      <c r="AS23" s="413" t="s">
        <v>471</v>
      </c>
      <c r="AT23" s="60"/>
    </row>
    <row r="24" spans="1:46" s="10" customFormat="1" ht="15" customHeight="1">
      <c r="A24" s="331" t="s">
        <v>482</v>
      </c>
      <c r="B24" s="312"/>
      <c r="C24" s="312"/>
      <c r="D24" s="312"/>
      <c r="E24" s="312"/>
      <c r="F24" s="312"/>
      <c r="G24" s="312"/>
      <c r="H24" s="313"/>
      <c r="I24" s="313"/>
      <c r="J24" s="207" t="s">
        <v>561</v>
      </c>
      <c r="K24" s="466" t="s">
        <v>563</v>
      </c>
      <c r="L24" s="466" t="s">
        <v>248</v>
      </c>
      <c r="M24" s="466" t="s">
        <v>562</v>
      </c>
      <c r="N24" s="464">
        <v>40935</v>
      </c>
      <c r="O24" s="465" t="s">
        <v>68</v>
      </c>
      <c r="P24" s="258">
        <v>24</v>
      </c>
      <c r="Q24" s="259">
        <v>15</v>
      </c>
      <c r="R24" s="259">
        <v>7</v>
      </c>
      <c r="S24" s="554">
        <v>3575.5</v>
      </c>
      <c r="T24" s="555">
        <v>297</v>
      </c>
      <c r="U24" s="554">
        <v>6447</v>
      </c>
      <c r="V24" s="555">
        <v>518</v>
      </c>
      <c r="W24" s="554">
        <v>4693</v>
      </c>
      <c r="X24" s="555">
        <v>399</v>
      </c>
      <c r="Y24" s="435">
        <f>SUM(S24+U24+W24)</f>
        <v>14715.5</v>
      </c>
      <c r="Z24" s="436">
        <f>T24+V24+X24</f>
        <v>1214</v>
      </c>
      <c r="AA24" s="422">
        <f>IF(Y24&lt;&gt;0,Z24/Q24,"")</f>
        <v>80.93333333333334</v>
      </c>
      <c r="AB24" s="423">
        <f>IF(Y24&lt;&gt;0,Y24/Z24,"")</f>
        <v>12.121499176276771</v>
      </c>
      <c r="AC24" s="426">
        <v>49254.5</v>
      </c>
      <c r="AD24" s="425">
        <f>IF(AC24&lt;&gt;0,-(AC24-Y24)/AC24,"")</f>
        <v>-0.7012354201138983</v>
      </c>
      <c r="AE24" s="690">
        <f>AG24-Y24</f>
        <v>8940</v>
      </c>
      <c r="AF24" s="691">
        <f>AH24-Z24</f>
        <v>912</v>
      </c>
      <c r="AG24" s="727">
        <v>23655.5</v>
      </c>
      <c r="AH24" s="728">
        <v>2126</v>
      </c>
      <c r="AI24" s="692">
        <f>Z24*1/AH24</f>
        <v>0.5710253998118533</v>
      </c>
      <c r="AJ24" s="692">
        <f>AF24*1/AH24</f>
        <v>0.42897460018814676</v>
      </c>
      <c r="AK24" s="691">
        <f>AH24/Q24</f>
        <v>141.73333333333332</v>
      </c>
      <c r="AL24" s="693">
        <f>AG24/AH24</f>
        <v>11.126763875823142</v>
      </c>
      <c r="AM24" s="694">
        <v>75025.4</v>
      </c>
      <c r="AN24" s="692">
        <f t="shared" si="0"/>
        <v>-0.6847001148944224</v>
      </c>
      <c r="AO24" s="270">
        <f>219512+172510+97324.5+20509.5+35119+75025.4+23655.5</f>
        <v>643655.9</v>
      </c>
      <c r="AP24" s="272">
        <f>16452+13782+8143+1750+3275+6017+2126</f>
        <v>51545</v>
      </c>
      <c r="AQ24" s="452">
        <f>AO24/AP24</f>
        <v>12.487261616063634</v>
      </c>
      <c r="AR24" s="716">
        <v>40977</v>
      </c>
      <c r="AS24" s="413" t="s">
        <v>477</v>
      </c>
      <c r="AT24" s="60"/>
    </row>
    <row r="25" spans="1:46" s="10" customFormat="1" ht="15" customHeight="1">
      <c r="A25" s="331" t="s">
        <v>483</v>
      </c>
      <c r="B25" s="312"/>
      <c r="C25" s="312"/>
      <c r="D25" s="312"/>
      <c r="E25" s="312"/>
      <c r="F25" s="312"/>
      <c r="G25" s="312"/>
      <c r="H25" s="313"/>
      <c r="I25" s="316" t="s">
        <v>54</v>
      </c>
      <c r="J25" s="203" t="s">
        <v>564</v>
      </c>
      <c r="K25" s="462" t="s">
        <v>348</v>
      </c>
      <c r="L25" s="463"/>
      <c r="M25" s="463" t="s">
        <v>564</v>
      </c>
      <c r="N25" s="467">
        <v>40935</v>
      </c>
      <c r="O25" s="465" t="s">
        <v>12</v>
      </c>
      <c r="P25" s="266">
        <v>352</v>
      </c>
      <c r="Q25" s="259">
        <v>24</v>
      </c>
      <c r="R25" s="259">
        <v>7</v>
      </c>
      <c r="S25" s="556">
        <v>3050</v>
      </c>
      <c r="T25" s="557">
        <v>603</v>
      </c>
      <c r="U25" s="556">
        <v>5342</v>
      </c>
      <c r="V25" s="557">
        <v>853</v>
      </c>
      <c r="W25" s="556">
        <v>5210</v>
      </c>
      <c r="X25" s="557">
        <v>706</v>
      </c>
      <c r="Y25" s="435">
        <f>SUM(S25+U25+W25)</f>
        <v>13602</v>
      </c>
      <c r="Z25" s="436">
        <f>T25+V25+X25</f>
        <v>2162</v>
      </c>
      <c r="AA25" s="422">
        <f>IF(Y25&lt;&gt;0,Z25/Q25,"")</f>
        <v>90.08333333333333</v>
      </c>
      <c r="AB25" s="423">
        <f>IF(Y25&lt;&gt;0,Y25/Z25,"")</f>
        <v>6.291396854764107</v>
      </c>
      <c r="AC25" s="427">
        <v>268140</v>
      </c>
      <c r="AD25" s="425">
        <f>IF(AC25&lt;&gt;0,-(AC25-Y25)/AC25,"")</f>
        <v>-0.9492727679570374</v>
      </c>
      <c r="AE25" s="690">
        <f>AG25-Y25</f>
        <v>7980</v>
      </c>
      <c r="AF25" s="691">
        <f>AH25-Z25</f>
        <v>1438</v>
      </c>
      <c r="AG25" s="729">
        <v>21582</v>
      </c>
      <c r="AH25" s="730">
        <v>3600</v>
      </c>
      <c r="AI25" s="692">
        <f>Z25*1/AH25</f>
        <v>0.6005555555555555</v>
      </c>
      <c r="AJ25" s="692">
        <f>AF25*1/AH25</f>
        <v>0.39944444444444444</v>
      </c>
      <c r="AK25" s="691">
        <f>AH25/Q25</f>
        <v>150</v>
      </c>
      <c r="AL25" s="693">
        <f>AG25/AH25</f>
        <v>5.995</v>
      </c>
      <c r="AM25" s="694">
        <v>367131</v>
      </c>
      <c r="AN25" s="692">
        <f t="shared" si="0"/>
        <v>-0.9412144438906004</v>
      </c>
      <c r="AO25" s="263">
        <v>18123994</v>
      </c>
      <c r="AP25" s="264">
        <v>1962199</v>
      </c>
      <c r="AQ25" s="452">
        <f>AO25/AP25</f>
        <v>9.236572845058019</v>
      </c>
      <c r="AR25" s="716">
        <v>40977</v>
      </c>
      <c r="AS25" s="413" t="s">
        <v>473</v>
      </c>
      <c r="AT25" s="60"/>
    </row>
    <row r="26" spans="1:46" s="10" customFormat="1" ht="15" customHeight="1">
      <c r="A26" s="331" t="s">
        <v>484</v>
      </c>
      <c r="B26" s="311"/>
      <c r="C26" s="315" t="s">
        <v>261</v>
      </c>
      <c r="D26" s="332"/>
      <c r="E26" s="332"/>
      <c r="F26" s="312"/>
      <c r="G26" s="332"/>
      <c r="H26" s="410"/>
      <c r="I26" s="316" t="s">
        <v>54</v>
      </c>
      <c r="J26" s="207" t="s">
        <v>107</v>
      </c>
      <c r="K26" s="466" t="s">
        <v>123</v>
      </c>
      <c r="L26" s="461"/>
      <c r="M26" s="466" t="s">
        <v>107</v>
      </c>
      <c r="N26" s="464">
        <v>40879</v>
      </c>
      <c r="O26" s="465" t="s">
        <v>68</v>
      </c>
      <c r="P26" s="258">
        <v>202</v>
      </c>
      <c r="Q26" s="259">
        <v>3</v>
      </c>
      <c r="R26" s="259">
        <v>14</v>
      </c>
      <c r="S26" s="554">
        <v>3110</v>
      </c>
      <c r="T26" s="555">
        <v>798</v>
      </c>
      <c r="U26" s="554">
        <v>4496</v>
      </c>
      <c r="V26" s="555">
        <v>1124</v>
      </c>
      <c r="W26" s="554">
        <v>4708</v>
      </c>
      <c r="X26" s="555">
        <v>1214</v>
      </c>
      <c r="Y26" s="435">
        <f>SUM(S26+U26+W26)</f>
        <v>12314</v>
      </c>
      <c r="Z26" s="436">
        <f>T26+V26+X26</f>
        <v>3136</v>
      </c>
      <c r="AA26" s="422">
        <f>IF(Y26&lt;&gt;0,Z26/Q26,"")</f>
        <v>1045.3333333333333</v>
      </c>
      <c r="AB26" s="423">
        <f>IF(Y26&lt;&gt;0,Y26/Z26,"")</f>
        <v>3.926658163265306</v>
      </c>
      <c r="AC26" s="426">
        <v>0</v>
      </c>
      <c r="AD26" s="425">
        <f>IF(AC26&lt;&gt;0,-(AC26-Y26)/AC26,"")</f>
      </c>
      <c r="AE26" s="690">
        <f>AG26-Y26</f>
        <v>8737.009999999998</v>
      </c>
      <c r="AF26" s="691">
        <f>AH26-Z26</f>
        <v>2185</v>
      </c>
      <c r="AG26" s="727">
        <v>21051.01</v>
      </c>
      <c r="AH26" s="728">
        <v>5321</v>
      </c>
      <c r="AI26" s="692">
        <f>Z26*1/AH26</f>
        <v>0.5893629017102049</v>
      </c>
      <c r="AJ26" s="692">
        <f>AF26*1/AH26</f>
        <v>0.41063709828979517</v>
      </c>
      <c r="AK26" s="691">
        <f>AH26/Q26</f>
        <v>1773.6666666666667</v>
      </c>
      <c r="AL26" s="693">
        <f>AG26/AH26</f>
        <v>3.9562131178349933</v>
      </c>
      <c r="AM26" s="694">
        <v>950.5</v>
      </c>
      <c r="AN26" s="692">
        <f t="shared" si="0"/>
        <v>21.1473014203051</v>
      </c>
      <c r="AO26" s="270">
        <f>1080241.5+1088121+871543+502064+300294.5+131358.5+96969.5+68985+9253.5+5204.5+1760.5+2732.5+950.5+21051.01</f>
        <v>4180529.51</v>
      </c>
      <c r="AP26" s="272">
        <f>121812+123965+100674+61096+39726+19116+14898+10338+1416+922+322+523+190+5321</f>
        <v>500319</v>
      </c>
      <c r="AQ26" s="452">
        <f>AO26/AP26</f>
        <v>8.355728065494214</v>
      </c>
      <c r="AR26" s="716">
        <v>40977</v>
      </c>
      <c r="AS26" s="413" t="s">
        <v>519</v>
      </c>
      <c r="AT26" s="60"/>
    </row>
    <row r="27" spans="1:46" s="10" customFormat="1" ht="15" customHeight="1">
      <c r="A27" s="331" t="s">
        <v>485</v>
      </c>
      <c r="B27" s="311"/>
      <c r="C27" s="315" t="s">
        <v>261</v>
      </c>
      <c r="D27" s="312"/>
      <c r="E27" s="319">
        <v>3</v>
      </c>
      <c r="F27" s="327">
        <v>2</v>
      </c>
      <c r="G27" s="325"/>
      <c r="H27" s="312"/>
      <c r="I27" s="320"/>
      <c r="J27" s="203" t="s">
        <v>672</v>
      </c>
      <c r="K27" s="463" t="s">
        <v>342</v>
      </c>
      <c r="L27" s="462" t="s">
        <v>189</v>
      </c>
      <c r="M27" s="463" t="s">
        <v>671</v>
      </c>
      <c r="N27" s="467">
        <v>40586</v>
      </c>
      <c r="O27" s="465" t="s">
        <v>8</v>
      </c>
      <c r="P27" s="274">
        <v>90</v>
      </c>
      <c r="Q27" s="267">
        <v>5</v>
      </c>
      <c r="R27" s="267">
        <v>7</v>
      </c>
      <c r="S27" s="362">
        <v>2017</v>
      </c>
      <c r="T27" s="360">
        <v>118</v>
      </c>
      <c r="U27" s="362">
        <v>5123</v>
      </c>
      <c r="V27" s="360">
        <v>293</v>
      </c>
      <c r="W27" s="362">
        <v>6276</v>
      </c>
      <c r="X27" s="360">
        <v>358</v>
      </c>
      <c r="Y27" s="435">
        <f>SUM(S27+U27+W27)</f>
        <v>13416</v>
      </c>
      <c r="Z27" s="436">
        <f>T27+V27+X27</f>
        <v>769</v>
      </c>
      <c r="AA27" s="422">
        <f>IF(Y27&lt;&gt;0,Z27/Q27,"")</f>
        <v>153.8</v>
      </c>
      <c r="AB27" s="423">
        <f>IF(Y27&lt;&gt;0,Y27/Z27,"")</f>
        <v>17.446033810143042</v>
      </c>
      <c r="AC27" s="426">
        <v>42648</v>
      </c>
      <c r="AD27" s="425">
        <f>IF(AC27&lt;&gt;0,-(AC27-Y27)/AC27,"")</f>
        <v>-0.6854248733821047</v>
      </c>
      <c r="AE27" s="690">
        <f>AG27-Y27</f>
        <v>6153</v>
      </c>
      <c r="AF27" s="691">
        <f>AH27-Z27</f>
        <v>445</v>
      </c>
      <c r="AG27" s="731">
        <v>19569</v>
      </c>
      <c r="AH27" s="732">
        <v>1214</v>
      </c>
      <c r="AI27" s="692">
        <f>Z27*1/AH27</f>
        <v>0.6334431630971994</v>
      </c>
      <c r="AJ27" s="692">
        <f>AF27*1/AH27</f>
        <v>0.36655683690280066</v>
      </c>
      <c r="AK27" s="691">
        <f>AH27/Q27</f>
        <v>242.8</v>
      </c>
      <c r="AL27" s="693">
        <f>AG27/AH27</f>
        <v>16.11943986820428</v>
      </c>
      <c r="AM27" s="695">
        <v>98096</v>
      </c>
      <c r="AN27" s="692">
        <f t="shared" si="0"/>
        <v>-0.800511743598108</v>
      </c>
      <c r="AO27" s="268">
        <v>1376049</v>
      </c>
      <c r="AP27" s="269">
        <v>108783</v>
      </c>
      <c r="AQ27" s="452">
        <f>AO27/AP27</f>
        <v>12.649485673312926</v>
      </c>
      <c r="AR27" s="716">
        <v>40977</v>
      </c>
      <c r="AS27" s="413" t="s">
        <v>478</v>
      </c>
      <c r="AT27" s="60"/>
    </row>
    <row r="28" spans="1:46" s="10" customFormat="1" ht="15" customHeight="1">
      <c r="A28" s="331" t="s">
        <v>486</v>
      </c>
      <c r="B28" s="332"/>
      <c r="C28" s="332"/>
      <c r="D28" s="332"/>
      <c r="E28" s="332"/>
      <c r="F28" s="312"/>
      <c r="G28" s="332"/>
      <c r="H28" s="313"/>
      <c r="I28" s="314"/>
      <c r="J28" s="211" t="s">
        <v>393</v>
      </c>
      <c r="K28" s="462" t="s">
        <v>396</v>
      </c>
      <c r="L28" s="465" t="s">
        <v>394</v>
      </c>
      <c r="M28" s="465" t="s">
        <v>395</v>
      </c>
      <c r="N28" s="464">
        <v>40921</v>
      </c>
      <c r="O28" s="465" t="s">
        <v>370</v>
      </c>
      <c r="P28" s="258">
        <v>30</v>
      </c>
      <c r="Q28" s="259">
        <v>5</v>
      </c>
      <c r="R28" s="259">
        <v>9</v>
      </c>
      <c r="S28" s="483">
        <v>1197</v>
      </c>
      <c r="T28" s="484">
        <v>81</v>
      </c>
      <c r="U28" s="483">
        <v>3106.5</v>
      </c>
      <c r="V28" s="484">
        <v>196</v>
      </c>
      <c r="W28" s="483">
        <v>3855</v>
      </c>
      <c r="X28" s="484">
        <v>232</v>
      </c>
      <c r="Y28" s="435">
        <f>SUM(S28+U28+W28)</f>
        <v>8158.5</v>
      </c>
      <c r="Z28" s="436">
        <f>T28+V28+X28</f>
        <v>509</v>
      </c>
      <c r="AA28" s="422">
        <f>IF(Y28&lt;&gt;0,Z28/Q28,"")</f>
        <v>101.8</v>
      </c>
      <c r="AB28" s="423">
        <f>IF(Y28&lt;&gt;0,Y28/Z28,"")</f>
        <v>16.028487229862474</v>
      </c>
      <c r="AC28" s="424">
        <v>25129</v>
      </c>
      <c r="AD28" s="425">
        <f>IF(AC28&lt;&gt;0,-(AC28-Y28)/AC28,"")</f>
        <v>-0.6753352700067651</v>
      </c>
      <c r="AE28" s="690">
        <f>AG28-Y28</f>
        <v>2184</v>
      </c>
      <c r="AF28" s="691">
        <f>AH28-Z28</f>
        <v>180</v>
      </c>
      <c r="AG28" s="733">
        <v>10342.5</v>
      </c>
      <c r="AH28" s="734">
        <v>689</v>
      </c>
      <c r="AI28" s="692">
        <f>Z28*1/AH28</f>
        <v>0.7387518142235123</v>
      </c>
      <c r="AJ28" s="692">
        <f>AF28*1/AH28</f>
        <v>0.2612481857764877</v>
      </c>
      <c r="AK28" s="691">
        <f>AH28/Q28</f>
        <v>137.8</v>
      </c>
      <c r="AL28" s="693">
        <f>AG28/AH28</f>
        <v>15.01088534107402</v>
      </c>
      <c r="AM28" s="694">
        <v>39998</v>
      </c>
      <c r="AN28" s="692">
        <f t="shared" si="0"/>
        <v>-0.7414245712285614</v>
      </c>
      <c r="AO28" s="483">
        <v>531197</v>
      </c>
      <c r="AP28" s="484">
        <v>40295</v>
      </c>
      <c r="AQ28" s="452">
        <f>AO28/AP28</f>
        <v>13.182702568556893</v>
      </c>
      <c r="AR28" s="716">
        <v>40977</v>
      </c>
      <c r="AS28" s="413" t="s">
        <v>479</v>
      </c>
      <c r="AT28" s="60"/>
    </row>
    <row r="29" spans="1:46" s="10" customFormat="1" ht="15" customHeight="1">
      <c r="A29" s="331" t="s">
        <v>487</v>
      </c>
      <c r="B29" s="312"/>
      <c r="C29" s="312"/>
      <c r="D29" s="324" t="s">
        <v>223</v>
      </c>
      <c r="E29" s="319">
        <v>3</v>
      </c>
      <c r="F29" s="312"/>
      <c r="G29" s="323" t="s">
        <v>292</v>
      </c>
      <c r="H29" s="317" t="s">
        <v>55</v>
      </c>
      <c r="I29" s="314"/>
      <c r="J29" s="211" t="s">
        <v>430</v>
      </c>
      <c r="K29" s="462" t="s">
        <v>432</v>
      </c>
      <c r="L29" s="468" t="s">
        <v>95</v>
      </c>
      <c r="M29" s="465" t="s">
        <v>431</v>
      </c>
      <c r="N29" s="464">
        <v>40928</v>
      </c>
      <c r="O29" s="465" t="s">
        <v>10</v>
      </c>
      <c r="P29" s="258">
        <v>202</v>
      </c>
      <c r="Q29" s="271">
        <v>15</v>
      </c>
      <c r="R29" s="271">
        <v>8</v>
      </c>
      <c r="S29" s="268">
        <v>1534</v>
      </c>
      <c r="T29" s="269">
        <v>306</v>
      </c>
      <c r="U29" s="268">
        <v>2263</v>
      </c>
      <c r="V29" s="269">
        <v>422</v>
      </c>
      <c r="W29" s="268">
        <v>2439</v>
      </c>
      <c r="X29" s="269">
        <v>439</v>
      </c>
      <c r="Y29" s="435">
        <f>SUM(S29+U29+W29)</f>
        <v>6236</v>
      </c>
      <c r="Z29" s="436">
        <f>T29+V29+X29</f>
        <v>1167</v>
      </c>
      <c r="AA29" s="422">
        <f>IF(Y29&lt;&gt;0,Z29/Q29,"")</f>
        <v>77.8</v>
      </c>
      <c r="AB29" s="423">
        <f>IF(Y29&lt;&gt;0,Y29/Z29,"")</f>
        <v>5.343616109682948</v>
      </c>
      <c r="AC29" s="426">
        <v>8057</v>
      </c>
      <c r="AD29" s="425">
        <f>IF(AC29&lt;&gt;0,-(AC29-Y29)/AC29,"")</f>
        <v>-0.22601464564974555</v>
      </c>
      <c r="AE29" s="690">
        <f>AG29-Y29</f>
        <v>2377</v>
      </c>
      <c r="AF29" s="691">
        <f>AH29-Z29</f>
        <v>464</v>
      </c>
      <c r="AG29" s="731">
        <v>8613</v>
      </c>
      <c r="AH29" s="732">
        <v>1631</v>
      </c>
      <c r="AI29" s="692">
        <f>Z29*1/AH29</f>
        <v>0.7155119558553035</v>
      </c>
      <c r="AJ29" s="692">
        <f>AF29*1/AH29</f>
        <v>0.28448804414469653</v>
      </c>
      <c r="AK29" s="691">
        <f>AH29/Q29</f>
        <v>108.73333333333333</v>
      </c>
      <c r="AL29" s="693">
        <f>AG29/AH29</f>
        <v>5.280809319435929</v>
      </c>
      <c r="AM29" s="695">
        <v>11242</v>
      </c>
      <c r="AN29" s="692">
        <f t="shared" si="0"/>
        <v>-0.23385518590998042</v>
      </c>
      <c r="AO29" s="268">
        <v>5191282</v>
      </c>
      <c r="AP29" s="269">
        <v>514432</v>
      </c>
      <c r="AQ29" s="452">
        <f>AO29/AP29</f>
        <v>10.091289033341628</v>
      </c>
      <c r="AR29" s="716">
        <v>40977</v>
      </c>
      <c r="AS29" s="413" t="s">
        <v>483</v>
      </c>
      <c r="AT29" s="60"/>
    </row>
    <row r="30" spans="1:46" s="10" customFormat="1" ht="15" customHeight="1">
      <c r="A30" s="331" t="s">
        <v>488</v>
      </c>
      <c r="B30" s="430" t="s">
        <v>56</v>
      </c>
      <c r="C30" s="312"/>
      <c r="D30" s="332"/>
      <c r="E30" s="332"/>
      <c r="F30" s="312"/>
      <c r="G30" s="332"/>
      <c r="H30" s="313"/>
      <c r="I30" s="313"/>
      <c r="J30" s="211" t="s">
        <v>744</v>
      </c>
      <c r="K30" s="462" t="s">
        <v>377</v>
      </c>
      <c r="L30" s="465" t="s">
        <v>708</v>
      </c>
      <c r="M30" s="465" t="s">
        <v>720</v>
      </c>
      <c r="N30" s="464">
        <v>40977</v>
      </c>
      <c r="O30" s="465" t="s">
        <v>332</v>
      </c>
      <c r="P30" s="258">
        <v>3</v>
      </c>
      <c r="Q30" s="259">
        <v>3</v>
      </c>
      <c r="R30" s="259">
        <v>1</v>
      </c>
      <c r="S30" s="261">
        <v>939</v>
      </c>
      <c r="T30" s="262">
        <v>79</v>
      </c>
      <c r="U30" s="261">
        <v>1979</v>
      </c>
      <c r="V30" s="262">
        <v>162</v>
      </c>
      <c r="W30" s="261">
        <v>2646</v>
      </c>
      <c r="X30" s="262">
        <v>211</v>
      </c>
      <c r="Y30" s="435">
        <f>SUM(S30+U30+W30)</f>
        <v>5564</v>
      </c>
      <c r="Z30" s="436">
        <f>T30+V30+X30</f>
        <v>452</v>
      </c>
      <c r="AA30" s="422">
        <f>IF(Y30&lt;&gt;0,Z30/Q30,"")</f>
        <v>150.66666666666666</v>
      </c>
      <c r="AB30" s="423">
        <f>IF(Y30&lt;&gt;0,Y30/Z30,"")</f>
        <v>12.309734513274336</v>
      </c>
      <c r="AC30" s="424"/>
      <c r="AD30" s="425">
        <f>IF(AC30&lt;&gt;0,-(AC30-Y30)/AC30,"")</f>
      </c>
      <c r="AE30" s="690">
        <f>AG30-Y30</f>
        <v>2959</v>
      </c>
      <c r="AF30" s="691">
        <f>AH30-Z30</f>
        <v>306</v>
      </c>
      <c r="AG30" s="729">
        <v>8523</v>
      </c>
      <c r="AH30" s="730">
        <v>758</v>
      </c>
      <c r="AI30" s="692">
        <f>Z30*1/AH30</f>
        <v>0.5963060686015831</v>
      </c>
      <c r="AJ30" s="692">
        <f>AF30*1/AH30</f>
        <v>0.40369393139841686</v>
      </c>
      <c r="AK30" s="691">
        <f>AH30/Q30</f>
        <v>252.66666666666666</v>
      </c>
      <c r="AL30" s="693">
        <f>AG30/AH30</f>
        <v>11.244063324538258</v>
      </c>
      <c r="AM30" s="694"/>
      <c r="AN30" s="692">
        <f t="shared" si="0"/>
      </c>
      <c r="AO30" s="261">
        <v>8523</v>
      </c>
      <c r="AP30" s="262">
        <v>758</v>
      </c>
      <c r="AQ30" s="452">
        <f>AO30/AP30</f>
        <v>11.244063324538258</v>
      </c>
      <c r="AR30" s="716">
        <v>40977</v>
      </c>
      <c r="AS30" s="413" t="s">
        <v>349</v>
      </c>
      <c r="AT30" s="60"/>
    </row>
    <row r="31" spans="1:46" s="10" customFormat="1" ht="15" customHeight="1">
      <c r="A31" s="331" t="s">
        <v>489</v>
      </c>
      <c r="B31" s="311"/>
      <c r="C31" s="312"/>
      <c r="D31" s="324" t="s">
        <v>223</v>
      </c>
      <c r="E31" s="319">
        <v>3</v>
      </c>
      <c r="F31" s="327">
        <v>2</v>
      </c>
      <c r="G31" s="312"/>
      <c r="H31" s="317" t="s">
        <v>55</v>
      </c>
      <c r="I31" s="313"/>
      <c r="J31" s="207" t="s">
        <v>383</v>
      </c>
      <c r="K31" s="462" t="s">
        <v>217</v>
      </c>
      <c r="L31" s="461" t="s">
        <v>94</v>
      </c>
      <c r="M31" s="466" t="s">
        <v>384</v>
      </c>
      <c r="N31" s="464">
        <v>40921</v>
      </c>
      <c r="O31" s="465" t="s">
        <v>12</v>
      </c>
      <c r="P31" s="258">
        <v>101</v>
      </c>
      <c r="Q31" s="259">
        <v>14</v>
      </c>
      <c r="R31" s="259">
        <v>9</v>
      </c>
      <c r="S31" s="556">
        <v>894</v>
      </c>
      <c r="T31" s="557">
        <v>133</v>
      </c>
      <c r="U31" s="556">
        <v>2231</v>
      </c>
      <c r="V31" s="557">
        <v>368</v>
      </c>
      <c r="W31" s="556">
        <v>1853</v>
      </c>
      <c r="X31" s="557">
        <v>291</v>
      </c>
      <c r="Y31" s="435">
        <f>SUM(S31+U31+W31)</f>
        <v>4978</v>
      </c>
      <c r="Z31" s="436">
        <f>T31+V31+X31</f>
        <v>792</v>
      </c>
      <c r="AA31" s="422">
        <f>IF(Y31&lt;&gt;0,Z31/Q31,"")</f>
        <v>56.57142857142857</v>
      </c>
      <c r="AB31" s="423">
        <f>IF(Y31&lt;&gt;0,Y31/Z31,"")</f>
        <v>6.2853535353535355</v>
      </c>
      <c r="AC31" s="426">
        <v>10596</v>
      </c>
      <c r="AD31" s="425">
        <f>IF(AC31&lt;&gt;0,-(AC31-Y31)/AC31,"")</f>
        <v>-0.5302000755001888</v>
      </c>
      <c r="AE31" s="690">
        <f>AG31-Y31</f>
        <v>3525</v>
      </c>
      <c r="AF31" s="691">
        <f>AH31-Z31</f>
        <v>598</v>
      </c>
      <c r="AG31" s="729">
        <v>8503</v>
      </c>
      <c r="AH31" s="730">
        <v>1390</v>
      </c>
      <c r="AI31" s="692">
        <f>Z31*1/AH31</f>
        <v>0.5697841726618705</v>
      </c>
      <c r="AJ31" s="692">
        <f>AF31*1/AH31</f>
        <v>0.4302158273381295</v>
      </c>
      <c r="AK31" s="691">
        <f>AH31/Q31</f>
        <v>99.28571428571429</v>
      </c>
      <c r="AL31" s="693">
        <f>AG31/AH31</f>
        <v>6.11726618705036</v>
      </c>
      <c r="AM31" s="694">
        <v>16654</v>
      </c>
      <c r="AN31" s="692">
        <f t="shared" si="0"/>
        <v>-0.4894319682959049</v>
      </c>
      <c r="AO31" s="482">
        <v>7215118</v>
      </c>
      <c r="AP31" s="264">
        <v>687766</v>
      </c>
      <c r="AQ31" s="452">
        <f>AO31/AP31</f>
        <v>10.490658159897407</v>
      </c>
      <c r="AR31" s="716">
        <v>40977</v>
      </c>
      <c r="AS31" s="413" t="s">
        <v>481</v>
      </c>
      <c r="AT31" s="359"/>
    </row>
    <row r="32" spans="1:46" s="10" customFormat="1" ht="15" customHeight="1">
      <c r="A32" s="331" t="s">
        <v>490</v>
      </c>
      <c r="B32" s="311"/>
      <c r="C32" s="315" t="s">
        <v>261</v>
      </c>
      <c r="D32" s="324" t="s">
        <v>223</v>
      </c>
      <c r="E32" s="312"/>
      <c r="F32" s="327">
        <v>2</v>
      </c>
      <c r="G32" s="323" t="s">
        <v>292</v>
      </c>
      <c r="H32" s="317" t="s">
        <v>55</v>
      </c>
      <c r="I32" s="314"/>
      <c r="J32" s="207" t="s">
        <v>144</v>
      </c>
      <c r="K32" s="462" t="s">
        <v>126</v>
      </c>
      <c r="L32" s="461" t="s">
        <v>89</v>
      </c>
      <c r="M32" s="466" t="s">
        <v>145</v>
      </c>
      <c r="N32" s="464">
        <v>40893</v>
      </c>
      <c r="O32" s="465" t="s">
        <v>68</v>
      </c>
      <c r="P32" s="258">
        <v>131</v>
      </c>
      <c r="Q32" s="259">
        <v>5</v>
      </c>
      <c r="R32" s="259">
        <v>13</v>
      </c>
      <c r="S32" s="554">
        <v>1148</v>
      </c>
      <c r="T32" s="555">
        <v>228</v>
      </c>
      <c r="U32" s="554">
        <v>1132</v>
      </c>
      <c r="V32" s="555">
        <v>220</v>
      </c>
      <c r="W32" s="554">
        <v>1222</v>
      </c>
      <c r="X32" s="555">
        <v>234</v>
      </c>
      <c r="Y32" s="435">
        <f>SUM(S32+U32+W32)</f>
        <v>3502</v>
      </c>
      <c r="Z32" s="436">
        <f>T32+V32+X32</f>
        <v>682</v>
      </c>
      <c r="AA32" s="422">
        <f>IF(Y32&lt;&gt;0,Z32/Q32,"")</f>
        <v>136.4</v>
      </c>
      <c r="AB32" s="423">
        <f>IF(Y32&lt;&gt;0,Y32/Z32,"")</f>
        <v>5.134897360703812</v>
      </c>
      <c r="AC32" s="426">
        <v>4253</v>
      </c>
      <c r="AD32" s="425">
        <f>IF(AC32&lt;&gt;0,-(AC32-Y32)/AC32,"")</f>
        <v>-0.17658123677404186</v>
      </c>
      <c r="AE32" s="690">
        <f>AG32-Y32</f>
        <v>2504</v>
      </c>
      <c r="AF32" s="691">
        <f>AH32-Z32</f>
        <v>497</v>
      </c>
      <c r="AG32" s="727">
        <v>6006</v>
      </c>
      <c r="AH32" s="728">
        <v>1179</v>
      </c>
      <c r="AI32" s="692">
        <f>Z32*1/AH32</f>
        <v>0.5784563189143341</v>
      </c>
      <c r="AJ32" s="692">
        <f>AF32*1/AH32</f>
        <v>0.4215436810856658</v>
      </c>
      <c r="AK32" s="691">
        <f>AH32/Q32</f>
        <v>235.8</v>
      </c>
      <c r="AL32" s="693">
        <f>AG32/AH32</f>
        <v>5.094147582697201</v>
      </c>
      <c r="AM32" s="694">
        <v>7416</v>
      </c>
      <c r="AN32" s="692">
        <f t="shared" si="0"/>
        <v>-0.1901294498381877</v>
      </c>
      <c r="AO32" s="270">
        <f>1320389+1047397.5+530759.5+445722+254656.5+279760.5+107391.5+47477+25130+6341+19078.5+7416+6006</f>
        <v>4097525</v>
      </c>
      <c r="AP32" s="272">
        <f>139659+113627+60100+49146+32088+35564+15150+6705+3672+1942+4389+1420+1179</f>
        <v>464641</v>
      </c>
      <c r="AQ32" s="452">
        <f>AO32/AP32</f>
        <v>8.818690128507816</v>
      </c>
      <c r="AR32" s="716">
        <v>40977</v>
      </c>
      <c r="AS32" s="413" t="s">
        <v>485</v>
      </c>
      <c r="AT32" s="359"/>
    </row>
    <row r="33" spans="1:46" s="10" customFormat="1" ht="15" customHeight="1">
      <c r="A33" s="331" t="s">
        <v>491</v>
      </c>
      <c r="B33" s="312"/>
      <c r="C33" s="332"/>
      <c r="D33" s="332"/>
      <c r="E33" s="332"/>
      <c r="F33" s="312"/>
      <c r="G33" s="332"/>
      <c r="H33" s="313"/>
      <c r="I33" s="316" t="s">
        <v>54</v>
      </c>
      <c r="J33" s="211" t="s">
        <v>579</v>
      </c>
      <c r="K33" s="462" t="s">
        <v>587</v>
      </c>
      <c r="L33" s="465"/>
      <c r="M33" s="465" t="s">
        <v>579</v>
      </c>
      <c r="N33" s="464">
        <v>40942</v>
      </c>
      <c r="O33" s="465" t="s">
        <v>52</v>
      </c>
      <c r="P33" s="258">
        <v>42</v>
      </c>
      <c r="Q33" s="259">
        <v>7</v>
      </c>
      <c r="R33" s="259">
        <v>6</v>
      </c>
      <c r="S33" s="261">
        <v>572</v>
      </c>
      <c r="T33" s="262">
        <v>99</v>
      </c>
      <c r="U33" s="261">
        <v>1377</v>
      </c>
      <c r="V33" s="262">
        <v>243</v>
      </c>
      <c r="W33" s="261">
        <v>1957</v>
      </c>
      <c r="X33" s="262">
        <v>329</v>
      </c>
      <c r="Y33" s="435">
        <f>SUM(S33+U33+W33)</f>
        <v>3906</v>
      </c>
      <c r="Z33" s="436">
        <f>T33+V33+X33</f>
        <v>671</v>
      </c>
      <c r="AA33" s="422">
        <f>IF(Y33&lt;&gt;0,Z33/Q33,"")</f>
        <v>95.85714285714286</v>
      </c>
      <c r="AB33" s="423">
        <f>IF(Y33&lt;&gt;0,Y33/Z33,"")</f>
        <v>5.821162444113264</v>
      </c>
      <c r="AC33" s="424">
        <v>3659.5</v>
      </c>
      <c r="AD33" s="425">
        <f>IF(AC33&lt;&gt;0,-(AC33-Y33)/AC33,"")</f>
        <v>0.06735892881541194</v>
      </c>
      <c r="AE33" s="690">
        <f>AG33-Y33</f>
        <v>1934</v>
      </c>
      <c r="AF33" s="691">
        <f>AH33-Z33</f>
        <v>306</v>
      </c>
      <c r="AG33" s="729">
        <v>5840</v>
      </c>
      <c r="AH33" s="730">
        <v>977</v>
      </c>
      <c r="AI33" s="692">
        <f>Z33*1/AH33</f>
        <v>0.6867963152507677</v>
      </c>
      <c r="AJ33" s="692">
        <f>AF33*1/AH33</f>
        <v>0.3132036847492323</v>
      </c>
      <c r="AK33" s="691">
        <f>AH33/Q33</f>
        <v>139.57142857142858</v>
      </c>
      <c r="AL33" s="693">
        <f>AG33/AH33</f>
        <v>5.977482088024565</v>
      </c>
      <c r="AM33" s="694">
        <v>4963</v>
      </c>
      <c r="AN33" s="692">
        <f t="shared" si="0"/>
        <v>0.1767076365101753</v>
      </c>
      <c r="AO33" s="276">
        <f>162020.35+70285.95+11139.41+12368+4963+5840</f>
        <v>266616.70999999996</v>
      </c>
      <c r="AP33" s="277">
        <f>16152+7535+1434+1836+857+977</f>
        <v>28791</v>
      </c>
      <c r="AQ33" s="452">
        <f>AO33/AP33</f>
        <v>9.260418533569517</v>
      </c>
      <c r="AR33" s="716">
        <v>40977</v>
      </c>
      <c r="AS33" s="413" t="s">
        <v>488</v>
      </c>
      <c r="AT33" s="359"/>
    </row>
    <row r="34" spans="1:46" s="10" customFormat="1" ht="15" customHeight="1">
      <c r="A34" s="331" t="s">
        <v>492</v>
      </c>
      <c r="B34" s="332"/>
      <c r="C34" s="312"/>
      <c r="D34" s="333"/>
      <c r="E34" s="333"/>
      <c r="F34" s="333"/>
      <c r="G34" s="333"/>
      <c r="H34" s="333"/>
      <c r="I34" s="314"/>
      <c r="J34" s="211" t="s">
        <v>617</v>
      </c>
      <c r="K34" s="462" t="s">
        <v>618</v>
      </c>
      <c r="L34" s="468" t="s">
        <v>95</v>
      </c>
      <c r="M34" s="465" t="s">
        <v>619</v>
      </c>
      <c r="N34" s="464">
        <v>40949</v>
      </c>
      <c r="O34" s="465" t="s">
        <v>10</v>
      </c>
      <c r="P34" s="278">
        <v>65</v>
      </c>
      <c r="Q34" s="271">
        <v>6</v>
      </c>
      <c r="R34" s="271">
        <v>5</v>
      </c>
      <c r="S34" s="268">
        <v>561</v>
      </c>
      <c r="T34" s="269">
        <v>110</v>
      </c>
      <c r="U34" s="268">
        <v>1473</v>
      </c>
      <c r="V34" s="269">
        <v>268</v>
      </c>
      <c r="W34" s="268">
        <v>956</v>
      </c>
      <c r="X34" s="269">
        <v>200</v>
      </c>
      <c r="Y34" s="435">
        <f>SUM(S34+U34+W34)</f>
        <v>2990</v>
      </c>
      <c r="Z34" s="436">
        <f>T34+V34+X34</f>
        <v>578</v>
      </c>
      <c r="AA34" s="422">
        <f>IF(Y34&lt;&gt;0,Z34/Q34,"")</f>
        <v>96.33333333333333</v>
      </c>
      <c r="AB34" s="423">
        <f>IF(Y34&lt;&gt;0,Y34/Z34,"")</f>
        <v>5.173010380622838</v>
      </c>
      <c r="AC34" s="426">
        <v>1565</v>
      </c>
      <c r="AD34" s="425">
        <f>IF(AC34&lt;&gt;0,-(AC34-Y34)/AC34,"")</f>
        <v>0.9105431309904153</v>
      </c>
      <c r="AE34" s="690">
        <f>AG34-Y34</f>
        <v>2457</v>
      </c>
      <c r="AF34" s="691">
        <f>AH34-Z34</f>
        <v>375</v>
      </c>
      <c r="AG34" s="731">
        <v>5447</v>
      </c>
      <c r="AH34" s="732">
        <v>953</v>
      </c>
      <c r="AI34" s="692">
        <f>Z34*1/AH34</f>
        <v>0.6065057712486883</v>
      </c>
      <c r="AJ34" s="692">
        <f>AF34*1/AH34</f>
        <v>0.3934942287513116</v>
      </c>
      <c r="AK34" s="691">
        <f>AH34/Q34</f>
        <v>158.83333333333334</v>
      </c>
      <c r="AL34" s="693">
        <f>AG34/AH34</f>
        <v>5.715634837355719</v>
      </c>
      <c r="AM34" s="695">
        <v>2652</v>
      </c>
      <c r="AN34" s="692">
        <f t="shared" si="0"/>
        <v>1.053921568627451</v>
      </c>
      <c r="AO34" s="268">
        <v>895707</v>
      </c>
      <c r="AP34" s="269">
        <v>83704</v>
      </c>
      <c r="AQ34" s="452">
        <f>AO34/AP34</f>
        <v>10.70088645703909</v>
      </c>
      <c r="AR34" s="716">
        <v>40977</v>
      </c>
      <c r="AS34" s="413" t="s">
        <v>495</v>
      </c>
      <c r="AT34" s="359"/>
    </row>
    <row r="35" spans="1:46" s="10" customFormat="1" ht="15" customHeight="1">
      <c r="A35" s="331" t="s">
        <v>493</v>
      </c>
      <c r="B35" s="311"/>
      <c r="C35" s="315" t="s">
        <v>261</v>
      </c>
      <c r="D35" s="332"/>
      <c r="E35" s="332"/>
      <c r="F35" s="312"/>
      <c r="G35" s="332"/>
      <c r="H35" s="313"/>
      <c r="I35" s="316" t="s">
        <v>54</v>
      </c>
      <c r="J35" s="211" t="s">
        <v>120</v>
      </c>
      <c r="K35" s="462" t="s">
        <v>122</v>
      </c>
      <c r="L35" s="465"/>
      <c r="M35" s="465" t="s">
        <v>120</v>
      </c>
      <c r="N35" s="464">
        <v>40886</v>
      </c>
      <c r="O35" s="465" t="s">
        <v>121</v>
      </c>
      <c r="P35" s="258">
        <v>82</v>
      </c>
      <c r="Q35" s="271">
        <v>3</v>
      </c>
      <c r="R35" s="271">
        <v>14</v>
      </c>
      <c r="S35" s="362">
        <v>0</v>
      </c>
      <c r="T35" s="360">
        <v>0</v>
      </c>
      <c r="U35" s="362">
        <v>0</v>
      </c>
      <c r="V35" s="360">
        <v>0</v>
      </c>
      <c r="W35" s="362">
        <v>0</v>
      </c>
      <c r="X35" s="360">
        <v>0</v>
      </c>
      <c r="Y35" s="435">
        <f>SUM(S35+U35+W35)</f>
        <v>0</v>
      </c>
      <c r="Z35" s="436">
        <f>T35+V35+X35</f>
        <v>0</v>
      </c>
      <c r="AA35" s="422">
        <f>IF(Y35&lt;&gt;0,Z35/Q35,"")</f>
      </c>
      <c r="AB35" s="423">
        <f>IF(Y35&lt;&gt;0,Y35/Z35,"")</f>
      </c>
      <c r="AC35" s="424">
        <v>668</v>
      </c>
      <c r="AD35" s="425">
        <f>IF(AC35&lt;&gt;0,-(AC35-Y35)/AC35,"")</f>
        <v>-1</v>
      </c>
      <c r="AE35" s="690">
        <f>AG35-Y35</f>
        <v>4327</v>
      </c>
      <c r="AF35" s="691">
        <f>AH35-Z35</f>
        <v>819</v>
      </c>
      <c r="AG35" s="735">
        <v>4327</v>
      </c>
      <c r="AH35" s="736">
        <v>819</v>
      </c>
      <c r="AI35" s="692">
        <f>Z35*1/AH35</f>
        <v>0</v>
      </c>
      <c r="AJ35" s="692">
        <f>AF35*1/AH35</f>
        <v>1</v>
      </c>
      <c r="AK35" s="691">
        <f>AH35/Q35</f>
        <v>273</v>
      </c>
      <c r="AL35" s="693">
        <f>AG35/AH35</f>
        <v>5.283272283272283</v>
      </c>
      <c r="AM35" s="694">
        <v>470</v>
      </c>
      <c r="AN35" s="692">
        <f t="shared" si="0"/>
        <v>8.206382978723404</v>
      </c>
      <c r="AO35" s="279">
        <v>651438.9</v>
      </c>
      <c r="AP35" s="280">
        <v>75523</v>
      </c>
      <c r="AQ35" s="452">
        <f>AO35/AP35</f>
        <v>8.62570210399481</v>
      </c>
      <c r="AR35" s="716">
        <v>40977</v>
      </c>
      <c r="AS35" s="413" t="s">
        <v>349</v>
      </c>
      <c r="AT35" s="359"/>
    </row>
    <row r="36" spans="1:46" s="10" customFormat="1" ht="15" customHeight="1">
      <c r="A36" s="331" t="s">
        <v>494</v>
      </c>
      <c r="B36" s="311"/>
      <c r="C36" s="315" t="s">
        <v>261</v>
      </c>
      <c r="D36" s="312"/>
      <c r="E36" s="312"/>
      <c r="F36" s="312"/>
      <c r="G36" s="312"/>
      <c r="H36" s="313"/>
      <c r="I36" s="313"/>
      <c r="J36" s="282" t="s">
        <v>258</v>
      </c>
      <c r="K36" s="465" t="s">
        <v>259</v>
      </c>
      <c r="L36" s="465" t="s">
        <v>260</v>
      </c>
      <c r="M36" s="465" t="s">
        <v>239</v>
      </c>
      <c r="N36" s="464">
        <v>40725</v>
      </c>
      <c r="O36" s="465" t="s">
        <v>13</v>
      </c>
      <c r="P36" s="258">
        <v>3</v>
      </c>
      <c r="Q36" s="259">
        <v>2</v>
      </c>
      <c r="R36" s="259">
        <v>22</v>
      </c>
      <c r="S36" s="261">
        <v>509.5</v>
      </c>
      <c r="T36" s="262">
        <v>38</v>
      </c>
      <c r="U36" s="261">
        <v>911</v>
      </c>
      <c r="V36" s="262">
        <v>64</v>
      </c>
      <c r="W36" s="261">
        <v>757</v>
      </c>
      <c r="X36" s="262">
        <v>56</v>
      </c>
      <c r="Y36" s="435">
        <f>SUM(S36+U36+W36)</f>
        <v>2177.5</v>
      </c>
      <c r="Z36" s="436">
        <f>T36+V36+X36</f>
        <v>158</v>
      </c>
      <c r="AA36" s="422">
        <f>IF(Y36&lt;&gt;0,Z36/Q36,"")</f>
        <v>79</v>
      </c>
      <c r="AB36" s="423">
        <f>IF(Y36&lt;&gt;0,Y36/Z36,"")</f>
        <v>13.781645569620252</v>
      </c>
      <c r="AC36" s="426">
        <v>2673</v>
      </c>
      <c r="AD36" s="425">
        <f>IF(AC36&lt;&gt;0,-(AC36-Y36)/AC36,"")</f>
        <v>-0.18537224092779647</v>
      </c>
      <c r="AE36" s="690">
        <f>AG36-Y36</f>
        <v>1789</v>
      </c>
      <c r="AF36" s="691">
        <f>AH36-Z36</f>
        <v>173</v>
      </c>
      <c r="AG36" s="729">
        <v>3966.5</v>
      </c>
      <c r="AH36" s="730">
        <v>331</v>
      </c>
      <c r="AI36" s="692">
        <f>Z36*1/AH36</f>
        <v>0.4773413897280967</v>
      </c>
      <c r="AJ36" s="692">
        <f>AF36*1/AH36</f>
        <v>0.5226586102719033</v>
      </c>
      <c r="AK36" s="691">
        <f>AH36/Q36</f>
        <v>165.5</v>
      </c>
      <c r="AL36" s="693">
        <f>AG36/AH36</f>
        <v>11.983383685800604</v>
      </c>
      <c r="AM36" s="695">
        <v>7410.5</v>
      </c>
      <c r="AN36" s="692">
        <f t="shared" si="0"/>
        <v>-0.464745968558127</v>
      </c>
      <c r="AO36" s="261">
        <v>77106</v>
      </c>
      <c r="AP36" s="262">
        <v>9282</v>
      </c>
      <c r="AQ36" s="452">
        <f>AO36/AP36</f>
        <v>8.30704589528119</v>
      </c>
      <c r="AR36" s="716">
        <v>40977</v>
      </c>
      <c r="AS36" s="413" t="s">
        <v>486</v>
      </c>
      <c r="AT36" s="359"/>
    </row>
    <row r="37" spans="1:46" s="10" customFormat="1" ht="15" customHeight="1">
      <c r="A37" s="331" t="s">
        <v>495</v>
      </c>
      <c r="B37" s="312"/>
      <c r="C37" s="312"/>
      <c r="D37" s="332"/>
      <c r="E37" s="332"/>
      <c r="F37" s="312"/>
      <c r="G37" s="332"/>
      <c r="H37" s="313"/>
      <c r="I37" s="314"/>
      <c r="J37" s="211" t="s">
        <v>555</v>
      </c>
      <c r="K37" s="462" t="s">
        <v>556</v>
      </c>
      <c r="L37" s="465" t="s">
        <v>99</v>
      </c>
      <c r="M37" s="465" t="s">
        <v>554</v>
      </c>
      <c r="N37" s="464">
        <v>40935</v>
      </c>
      <c r="O37" s="465" t="s">
        <v>52</v>
      </c>
      <c r="P37" s="278">
        <v>57</v>
      </c>
      <c r="Q37" s="259">
        <v>4</v>
      </c>
      <c r="R37" s="259">
        <v>7</v>
      </c>
      <c r="S37" s="261">
        <v>292</v>
      </c>
      <c r="T37" s="262">
        <v>44</v>
      </c>
      <c r="U37" s="261">
        <v>1145</v>
      </c>
      <c r="V37" s="262">
        <v>165</v>
      </c>
      <c r="W37" s="261">
        <v>1001</v>
      </c>
      <c r="X37" s="262">
        <v>152</v>
      </c>
      <c r="Y37" s="435">
        <f>SUM(S37+U37+W37)</f>
        <v>2438</v>
      </c>
      <c r="Z37" s="436">
        <f>T37+V37+X37</f>
        <v>361</v>
      </c>
      <c r="AA37" s="422">
        <f>IF(Y37&lt;&gt;0,Z37/Q37,"")</f>
        <v>90.25</v>
      </c>
      <c r="AB37" s="423">
        <f>IF(Y37&lt;&gt;0,Y37/Z37,"")</f>
        <v>6.753462603878116</v>
      </c>
      <c r="AC37" s="424">
        <v>453</v>
      </c>
      <c r="AD37" s="425">
        <f>IF(AC37&lt;&gt;0,-(AC37-Y37)/AC37,"")</f>
        <v>4.381898454746137</v>
      </c>
      <c r="AE37" s="690">
        <f>AG37-Y37</f>
        <v>1415</v>
      </c>
      <c r="AF37" s="691">
        <f>AH37-Z37</f>
        <v>216</v>
      </c>
      <c r="AG37" s="729">
        <v>3853</v>
      </c>
      <c r="AH37" s="730">
        <v>577</v>
      </c>
      <c r="AI37" s="692">
        <f>Z37*1/AH37</f>
        <v>0.6256499133448874</v>
      </c>
      <c r="AJ37" s="692">
        <f>AF37*1/AH37</f>
        <v>0.37435008665511266</v>
      </c>
      <c r="AK37" s="691">
        <f>AH37/Q37</f>
        <v>144.25</v>
      </c>
      <c r="AL37" s="693">
        <f>AG37/AH37</f>
        <v>6.677642980935875</v>
      </c>
      <c r="AM37" s="694">
        <v>563</v>
      </c>
      <c r="AN37" s="692">
        <f t="shared" si="0"/>
        <v>5.843694493783303</v>
      </c>
      <c r="AO37" s="276">
        <f>141020.93+89437.99+36948.92+9243.92+2376+563+3853</f>
        <v>283443.75999999995</v>
      </c>
      <c r="AP37" s="277">
        <f>17593+11265+5202+1248+344+74+577</f>
        <v>36303</v>
      </c>
      <c r="AQ37" s="452">
        <f>AO37/AP37</f>
        <v>7.8077227777318665</v>
      </c>
      <c r="AR37" s="716">
        <v>40977</v>
      </c>
      <c r="AS37" s="413" t="s">
        <v>522</v>
      </c>
      <c r="AT37" s="359"/>
    </row>
    <row r="38" spans="1:46" s="10" customFormat="1" ht="15" customHeight="1">
      <c r="A38" s="331" t="s">
        <v>496</v>
      </c>
      <c r="B38" s="311"/>
      <c r="C38" s="315" t="s">
        <v>261</v>
      </c>
      <c r="D38" s="312"/>
      <c r="E38" s="318"/>
      <c r="F38" s="312"/>
      <c r="G38" s="322"/>
      <c r="H38" s="313"/>
      <c r="I38" s="313"/>
      <c r="J38" s="207" t="s">
        <v>628</v>
      </c>
      <c r="K38" s="466" t="s">
        <v>633</v>
      </c>
      <c r="L38" s="461" t="s">
        <v>89</v>
      </c>
      <c r="M38" s="466" t="s">
        <v>634</v>
      </c>
      <c r="N38" s="464">
        <v>40746</v>
      </c>
      <c r="O38" s="465" t="s">
        <v>68</v>
      </c>
      <c r="P38" s="258">
        <v>8</v>
      </c>
      <c r="Q38" s="259">
        <v>1</v>
      </c>
      <c r="R38" s="259">
        <v>14</v>
      </c>
      <c r="S38" s="554">
        <v>0</v>
      </c>
      <c r="T38" s="555">
        <v>0</v>
      </c>
      <c r="U38" s="554">
        <v>0</v>
      </c>
      <c r="V38" s="555">
        <v>0</v>
      </c>
      <c r="W38" s="554">
        <v>0</v>
      </c>
      <c r="X38" s="555">
        <v>0</v>
      </c>
      <c r="Y38" s="435">
        <f>SUM(S38+U38+W38)</f>
        <v>0</v>
      </c>
      <c r="Z38" s="436">
        <f>T38+V38+X38</f>
        <v>0</v>
      </c>
      <c r="AA38" s="422"/>
      <c r="AB38" s="423"/>
      <c r="AC38" s="426">
        <v>0</v>
      </c>
      <c r="AD38" s="425">
        <f>IF(AC38&lt;&gt;0,-(AC38-Y38)/AC38,"")</f>
      </c>
      <c r="AE38" s="690">
        <f>AG38-Y38</f>
        <v>3801.5</v>
      </c>
      <c r="AF38" s="691">
        <f>AH38-Z38</f>
        <v>761</v>
      </c>
      <c r="AG38" s="727">
        <v>3801.5</v>
      </c>
      <c r="AH38" s="728">
        <v>761</v>
      </c>
      <c r="AI38" s="692">
        <f>Z38*1/AH38</f>
        <v>0</v>
      </c>
      <c r="AJ38" s="692">
        <f>AF38*1/AH38</f>
        <v>1</v>
      </c>
      <c r="AK38" s="691">
        <f>AH38/Q38</f>
        <v>761</v>
      </c>
      <c r="AL38" s="693">
        <f>AG38/AH38</f>
        <v>4.995400788436268</v>
      </c>
      <c r="AM38" s="694"/>
      <c r="AN38" s="692">
        <f t="shared" si="0"/>
      </c>
      <c r="AO38" s="270">
        <f>34995.5+29767+4050+6340+3008.5+4152+1152+3132.5+792+962+1663+1188+1188+3801.5</f>
        <v>96192</v>
      </c>
      <c r="AP38" s="272">
        <f>2476+2114+377+695+481+799+155+438+105+135+416+238+238+761</f>
        <v>9428</v>
      </c>
      <c r="AQ38" s="452">
        <f>AO38/AP38</f>
        <v>10.202800169707254</v>
      </c>
      <c r="AR38" s="716">
        <v>40977</v>
      </c>
      <c r="AS38" s="413" t="s">
        <v>521</v>
      </c>
      <c r="AT38" s="60"/>
    </row>
    <row r="39" spans="1:46" s="10" customFormat="1" ht="15" customHeight="1">
      <c r="A39" s="331" t="s">
        <v>497</v>
      </c>
      <c r="B39" s="332"/>
      <c r="C39" s="312"/>
      <c r="D39" s="312"/>
      <c r="E39" s="312"/>
      <c r="F39" s="312"/>
      <c r="G39" s="312"/>
      <c r="H39" s="313"/>
      <c r="I39" s="313"/>
      <c r="J39" s="207" t="s">
        <v>610</v>
      </c>
      <c r="K39" s="462" t="s">
        <v>614</v>
      </c>
      <c r="L39" s="469" t="s">
        <v>94</v>
      </c>
      <c r="M39" s="466" t="s">
        <v>612</v>
      </c>
      <c r="N39" s="467">
        <v>40949</v>
      </c>
      <c r="O39" s="465" t="s">
        <v>12</v>
      </c>
      <c r="P39" s="258">
        <v>73</v>
      </c>
      <c r="Q39" s="259">
        <v>6</v>
      </c>
      <c r="R39" s="259">
        <v>5</v>
      </c>
      <c r="S39" s="556">
        <v>412</v>
      </c>
      <c r="T39" s="557">
        <v>50</v>
      </c>
      <c r="U39" s="556">
        <v>996</v>
      </c>
      <c r="V39" s="557">
        <v>121</v>
      </c>
      <c r="W39" s="556">
        <v>1013</v>
      </c>
      <c r="X39" s="557">
        <v>114</v>
      </c>
      <c r="Y39" s="435">
        <f>SUM(S39+U39+W39)</f>
        <v>2421</v>
      </c>
      <c r="Z39" s="436">
        <f>T39+V39+X39</f>
        <v>285</v>
      </c>
      <c r="AA39" s="422">
        <f>IF(Y39&lt;&gt;0,Z39/Q39,"")</f>
        <v>47.5</v>
      </c>
      <c r="AB39" s="423">
        <f>IF(Y39&lt;&gt;0,Y39/Z39,"")</f>
        <v>8.494736842105263</v>
      </c>
      <c r="AC39" s="426">
        <v>8596</v>
      </c>
      <c r="AD39" s="425">
        <f>IF(AC39&lt;&gt;0,-(AC39-Y39)/AC39,"")</f>
        <v>-0.7183573755234993</v>
      </c>
      <c r="AE39" s="690">
        <f>AG39-Y39</f>
        <v>1340</v>
      </c>
      <c r="AF39" s="691">
        <f>AH39-Z39</f>
        <v>174</v>
      </c>
      <c r="AG39" s="729">
        <v>3761</v>
      </c>
      <c r="AH39" s="730">
        <v>459</v>
      </c>
      <c r="AI39" s="692">
        <f>Z39*1/AH39</f>
        <v>0.6209150326797386</v>
      </c>
      <c r="AJ39" s="692">
        <f>AF39*1/AH39</f>
        <v>0.3790849673202614</v>
      </c>
      <c r="AK39" s="691">
        <f>AH39/Q39</f>
        <v>76.5</v>
      </c>
      <c r="AL39" s="693">
        <f>AG39/AH39</f>
        <v>8.193899782135077</v>
      </c>
      <c r="AM39" s="694">
        <v>11543</v>
      </c>
      <c r="AN39" s="692">
        <f t="shared" si="0"/>
        <v>-0.6741748245690029</v>
      </c>
      <c r="AO39" s="263">
        <v>910431</v>
      </c>
      <c r="AP39" s="264">
        <v>82672</v>
      </c>
      <c r="AQ39" s="452">
        <f>AO39/AP39</f>
        <v>11.012567737565318</v>
      </c>
      <c r="AR39" s="716">
        <v>40977</v>
      </c>
      <c r="AS39" s="413" t="s">
        <v>482</v>
      </c>
      <c r="AT39" s="60"/>
    </row>
    <row r="40" spans="1:46" s="10" customFormat="1" ht="15" customHeight="1">
      <c r="A40" s="331" t="s">
        <v>498</v>
      </c>
      <c r="B40" s="312"/>
      <c r="C40" s="315" t="s">
        <v>261</v>
      </c>
      <c r="D40" s="332"/>
      <c r="E40" s="332"/>
      <c r="F40" s="312"/>
      <c r="G40" s="332"/>
      <c r="H40" s="313"/>
      <c r="I40" s="316" t="s">
        <v>54</v>
      </c>
      <c r="J40" s="211" t="s">
        <v>745</v>
      </c>
      <c r="K40" s="462" t="s">
        <v>746</v>
      </c>
      <c r="L40" s="465"/>
      <c r="M40" s="465" t="s">
        <v>745</v>
      </c>
      <c r="N40" s="464">
        <v>40620</v>
      </c>
      <c r="O40" s="465" t="s">
        <v>52</v>
      </c>
      <c r="P40" s="278">
        <v>218</v>
      </c>
      <c r="Q40" s="259">
        <v>1</v>
      </c>
      <c r="R40" s="259">
        <v>27</v>
      </c>
      <c r="S40" s="261">
        <v>0</v>
      </c>
      <c r="T40" s="262">
        <v>0</v>
      </c>
      <c r="U40" s="261">
        <v>0</v>
      </c>
      <c r="V40" s="262">
        <v>0</v>
      </c>
      <c r="W40" s="261">
        <v>0</v>
      </c>
      <c r="X40" s="262">
        <v>0</v>
      </c>
      <c r="Y40" s="435">
        <f>SUM(S40+U40+W40)</f>
        <v>0</v>
      </c>
      <c r="Z40" s="436">
        <f>T40+V40+X40</f>
        <v>0</v>
      </c>
      <c r="AA40" s="422">
        <f>IF(Y40&lt;&gt;0,Z40/Q40,"")</f>
      </c>
      <c r="AB40" s="423">
        <f>IF(Y40&lt;&gt;0,Y40/Z40,"")</f>
      </c>
      <c r="AC40" s="424"/>
      <c r="AD40" s="425"/>
      <c r="AE40" s="690">
        <f>AG40-Y40</f>
        <v>3564</v>
      </c>
      <c r="AF40" s="691">
        <f>AH40-Z40</f>
        <v>713</v>
      </c>
      <c r="AG40" s="729">
        <v>3564</v>
      </c>
      <c r="AH40" s="730">
        <v>713</v>
      </c>
      <c r="AI40" s="692">
        <f>Z40*1/AH40</f>
        <v>0</v>
      </c>
      <c r="AJ40" s="692">
        <f>AF40*1/AH40</f>
        <v>1</v>
      </c>
      <c r="AK40" s="691">
        <f>AH40/Q40</f>
        <v>713</v>
      </c>
      <c r="AL40" s="693">
        <f>AG40/AH40</f>
        <v>4.998597475455821</v>
      </c>
      <c r="AM40" s="694"/>
      <c r="AN40" s="692">
        <f t="shared" si="0"/>
      </c>
      <c r="AO40" s="276">
        <f>868723.5+629960.75+471670+272432+164061+97109.5+34971.5+29195+10591.5+4973+1214+25859.5+8228+5222+126+1321+161+8414+5940+170+7722+2970+242+249+16632+18847+2376+3564</f>
        <v>2692945.25</v>
      </c>
      <c r="AP40" s="277">
        <f>93361+70981+54177+33865+22657+14644+6278+5343+1965+923+199+3609+1160+736+18+257+23+1598+1188+23+1386+594+42+42+3326+3498+339+713</f>
        <v>322945</v>
      </c>
      <c r="AQ40" s="452">
        <f>AO40/AP40</f>
        <v>8.338711700134699</v>
      </c>
      <c r="AR40" s="716">
        <v>40977</v>
      </c>
      <c r="AS40" s="413" t="s">
        <v>349</v>
      </c>
      <c r="AT40" s="60"/>
    </row>
    <row r="41" spans="1:46" s="10" customFormat="1" ht="15" customHeight="1">
      <c r="A41" s="331" t="s">
        <v>499</v>
      </c>
      <c r="B41" s="311"/>
      <c r="C41" s="315" t="s">
        <v>261</v>
      </c>
      <c r="D41" s="312"/>
      <c r="E41" s="312"/>
      <c r="F41" s="312"/>
      <c r="G41" s="312"/>
      <c r="H41" s="313"/>
      <c r="I41" s="316" t="s">
        <v>54</v>
      </c>
      <c r="J41" s="207" t="s">
        <v>269</v>
      </c>
      <c r="K41" s="462" t="s">
        <v>284</v>
      </c>
      <c r="L41" s="461"/>
      <c r="M41" s="466" t="s">
        <v>269</v>
      </c>
      <c r="N41" s="464">
        <v>40809</v>
      </c>
      <c r="O41" s="465" t="s">
        <v>68</v>
      </c>
      <c r="P41" s="258">
        <v>66</v>
      </c>
      <c r="Q41" s="259">
        <v>2</v>
      </c>
      <c r="R41" s="259">
        <v>20</v>
      </c>
      <c r="S41" s="554">
        <v>0</v>
      </c>
      <c r="T41" s="555">
        <v>0</v>
      </c>
      <c r="U41" s="554">
        <v>0</v>
      </c>
      <c r="V41" s="555">
        <v>0</v>
      </c>
      <c r="W41" s="554">
        <v>0</v>
      </c>
      <c r="X41" s="555">
        <v>0</v>
      </c>
      <c r="Y41" s="435">
        <f>SUM(S41+U41+W41)</f>
        <v>0</v>
      </c>
      <c r="Z41" s="436">
        <f>T41+V41+X41</f>
        <v>0</v>
      </c>
      <c r="AA41" s="422">
        <f>IF(Y41&lt;&gt;0,Z41/Q41,"")</f>
      </c>
      <c r="AB41" s="423">
        <f>IF(Y41&lt;&gt;0,Y41/Z41,"")</f>
      </c>
      <c r="AC41" s="426">
        <v>0</v>
      </c>
      <c r="AD41" s="425">
        <f>IF(AC41&lt;&gt;0,-(AC41-Y41)/AC41,"")</f>
      </c>
      <c r="AE41" s="690">
        <f>AG41-Y41</f>
        <v>2732.5</v>
      </c>
      <c r="AF41" s="691">
        <f>AH41-Z41</f>
        <v>546</v>
      </c>
      <c r="AG41" s="727">
        <v>2732.5</v>
      </c>
      <c r="AH41" s="728">
        <v>546</v>
      </c>
      <c r="AI41" s="692">
        <f>Z41*1/AH41</f>
        <v>0</v>
      </c>
      <c r="AJ41" s="692">
        <f>AF41*1/AH41</f>
        <v>1</v>
      </c>
      <c r="AK41" s="691">
        <f>AH41/Q41</f>
        <v>273</v>
      </c>
      <c r="AL41" s="693">
        <f>AG41/AH41</f>
        <v>5.004578754578755</v>
      </c>
      <c r="AM41" s="694">
        <v>4669.5</v>
      </c>
      <c r="AN41" s="692">
        <f t="shared" si="0"/>
        <v>-0.41481957383017454</v>
      </c>
      <c r="AO41" s="270">
        <f>382290+386122+344313.5+244996+104138.75+43618.5+27632+12528+6812+832+1782+2257+1782+5477.5+2138.5+4669.5+970+2851.5+950.5+2732.5</f>
        <v>1578893.75</v>
      </c>
      <c r="AP41" s="272">
        <f>34863+36137+32260+23896+12188+5940+2894+1417+1234+90+446+565+446+1293+535+1220+404+571+190+546</f>
        <v>157135</v>
      </c>
      <c r="AQ41" s="452">
        <f>AO41/AP41</f>
        <v>10.048008082222292</v>
      </c>
      <c r="AR41" s="716">
        <v>40977</v>
      </c>
      <c r="AS41" s="413" t="s">
        <v>522</v>
      </c>
      <c r="AT41" s="60"/>
    </row>
    <row r="42" spans="1:45" s="10" customFormat="1" ht="15" customHeight="1">
      <c r="A42" s="331" t="s">
        <v>500</v>
      </c>
      <c r="B42" s="312"/>
      <c r="C42" s="312"/>
      <c r="D42" s="312"/>
      <c r="E42" s="312"/>
      <c r="F42" s="312"/>
      <c r="G42" s="312"/>
      <c r="H42" s="313"/>
      <c r="I42" s="313"/>
      <c r="J42" s="205" t="s">
        <v>433</v>
      </c>
      <c r="K42" s="462" t="s">
        <v>91</v>
      </c>
      <c r="L42" s="469" t="s">
        <v>94</v>
      </c>
      <c r="M42" s="469" t="s">
        <v>426</v>
      </c>
      <c r="N42" s="464">
        <v>40928</v>
      </c>
      <c r="O42" s="465" t="s">
        <v>12</v>
      </c>
      <c r="P42" s="258">
        <v>57</v>
      </c>
      <c r="Q42" s="259">
        <v>3</v>
      </c>
      <c r="R42" s="259">
        <v>8</v>
      </c>
      <c r="S42" s="556">
        <v>282</v>
      </c>
      <c r="T42" s="557">
        <v>55</v>
      </c>
      <c r="U42" s="556">
        <v>836</v>
      </c>
      <c r="V42" s="557">
        <v>179</v>
      </c>
      <c r="W42" s="556">
        <v>652</v>
      </c>
      <c r="X42" s="557">
        <v>137</v>
      </c>
      <c r="Y42" s="435">
        <f>SUM(S42+U42+W42)</f>
        <v>1770</v>
      </c>
      <c r="Z42" s="436">
        <f>T42+V42+X42</f>
        <v>371</v>
      </c>
      <c r="AA42" s="422">
        <f>IF(Y42&lt;&gt;0,Z42/Q42,"")</f>
        <v>123.66666666666667</v>
      </c>
      <c r="AB42" s="423">
        <f>IF(Y42&lt;&gt;0,Y42/Z42,"")</f>
        <v>4.77088948787062</v>
      </c>
      <c r="AC42" s="426">
        <v>13200</v>
      </c>
      <c r="AD42" s="425">
        <f>IF(AC42&lt;&gt;0,-(AC42-Y42)/AC42,"")</f>
        <v>-0.865909090909091</v>
      </c>
      <c r="AE42" s="690">
        <f>AG42-Y42</f>
        <v>790</v>
      </c>
      <c r="AF42" s="691">
        <f>AH42-Z42</f>
        <v>141</v>
      </c>
      <c r="AG42" s="729">
        <v>2560</v>
      </c>
      <c r="AH42" s="730">
        <v>512</v>
      </c>
      <c r="AI42" s="692">
        <f>Z42*1/AH42</f>
        <v>0.724609375</v>
      </c>
      <c r="AJ42" s="692">
        <f>AF42*1/AH42</f>
        <v>0.275390625</v>
      </c>
      <c r="AK42" s="691">
        <f>AH42/Q42</f>
        <v>170.66666666666666</v>
      </c>
      <c r="AL42" s="693">
        <f>AG42/AH42</f>
        <v>5</v>
      </c>
      <c r="AM42" s="695">
        <v>22874</v>
      </c>
      <c r="AN42" s="692">
        <f t="shared" si="0"/>
        <v>-0.8880825391273935</v>
      </c>
      <c r="AO42" s="263">
        <v>1100469</v>
      </c>
      <c r="AP42" s="264">
        <v>116557</v>
      </c>
      <c r="AQ42" s="452">
        <f>AO42/AP42</f>
        <v>9.441466406994003</v>
      </c>
      <c r="AR42" s="716">
        <v>40977</v>
      </c>
      <c r="AS42" s="413" t="s">
        <v>483</v>
      </c>
    </row>
    <row r="43" spans="1:45" s="10" customFormat="1" ht="15" customHeight="1">
      <c r="A43" s="331" t="s">
        <v>501</v>
      </c>
      <c r="B43" s="311"/>
      <c r="C43" s="315" t="s">
        <v>261</v>
      </c>
      <c r="D43" s="332"/>
      <c r="E43" s="332"/>
      <c r="F43" s="312"/>
      <c r="G43" s="323" t="s">
        <v>292</v>
      </c>
      <c r="H43" s="314"/>
      <c r="I43" s="316" t="s">
        <v>54</v>
      </c>
      <c r="J43" s="210" t="s">
        <v>110</v>
      </c>
      <c r="K43" s="462" t="s">
        <v>113</v>
      </c>
      <c r="L43" s="462"/>
      <c r="M43" s="462" t="s">
        <v>110</v>
      </c>
      <c r="N43" s="464">
        <v>40879</v>
      </c>
      <c r="O43" s="465" t="s">
        <v>53</v>
      </c>
      <c r="P43" s="258">
        <v>135</v>
      </c>
      <c r="Q43" s="275">
        <v>1</v>
      </c>
      <c r="R43" s="275">
        <v>15</v>
      </c>
      <c r="S43" s="556">
        <v>625</v>
      </c>
      <c r="T43" s="557">
        <v>125</v>
      </c>
      <c r="U43" s="556">
        <v>750</v>
      </c>
      <c r="V43" s="557">
        <v>150</v>
      </c>
      <c r="W43" s="556">
        <v>1027</v>
      </c>
      <c r="X43" s="557">
        <v>205</v>
      </c>
      <c r="Y43" s="435">
        <f>SUM(S43+U43+W43)</f>
        <v>2402</v>
      </c>
      <c r="Z43" s="436">
        <f>T43+V43+X43</f>
        <v>480</v>
      </c>
      <c r="AA43" s="422">
        <f>IF(Y43&lt;&gt;0,Z43/Q43,"")</f>
        <v>480</v>
      </c>
      <c r="AB43" s="423">
        <f>IF(Y43&lt;&gt;0,Y43/Z43,"")</f>
        <v>5.004166666666666</v>
      </c>
      <c r="AC43" s="426"/>
      <c r="AD43" s="425">
        <f>IF(AC43&lt;&gt;0,-(AC43-Y43)/AC43,"")</f>
      </c>
      <c r="AE43" s="690">
        <f>AG43-Y43</f>
        <v>0</v>
      </c>
      <c r="AF43" s="691">
        <f>AH43-Z43</f>
        <v>0</v>
      </c>
      <c r="AG43" s="729">
        <v>2402</v>
      </c>
      <c r="AH43" s="730">
        <v>480</v>
      </c>
      <c r="AI43" s="692">
        <f>Z43*1/AH43</f>
        <v>1</v>
      </c>
      <c r="AJ43" s="692">
        <f>AF43*1/AH43</f>
        <v>0</v>
      </c>
      <c r="AK43" s="691">
        <f>AH43/Q43</f>
        <v>480</v>
      </c>
      <c r="AL43" s="693">
        <f>AG43/AH43</f>
        <v>5.004166666666666</v>
      </c>
      <c r="AM43" s="695">
        <v>74</v>
      </c>
      <c r="AN43" s="692">
        <f t="shared" si="0"/>
        <v>31.45945945945946</v>
      </c>
      <c r="AO43" s="276">
        <f>1709882.25+1194489.75+708906.5+376327+70+197271.5+73341.5+70692.5+50480.5+9953.5+3058+838+28+63+74+2402</f>
        <v>4397878</v>
      </c>
      <c r="AP43" s="277">
        <f>195314+135261+80447+45395+10+25625+10302+10950+7727+1402+435+131+4+9+10+480</f>
        <v>513502</v>
      </c>
      <c r="AQ43" s="452">
        <f>AO43/AP43</f>
        <v>8.564480761516021</v>
      </c>
      <c r="AR43" s="716">
        <v>40977</v>
      </c>
      <c r="AS43" s="413" t="s">
        <v>408</v>
      </c>
    </row>
    <row r="44" spans="1:45" s="10" customFormat="1" ht="15" customHeight="1">
      <c r="A44" s="331" t="s">
        <v>502</v>
      </c>
      <c r="B44" s="312"/>
      <c r="C44" s="315" t="s">
        <v>261</v>
      </c>
      <c r="D44" s="312"/>
      <c r="E44" s="312"/>
      <c r="F44" s="312"/>
      <c r="G44" s="312"/>
      <c r="H44" s="333"/>
      <c r="I44" s="316" t="s">
        <v>54</v>
      </c>
      <c r="J44" s="205" t="s">
        <v>104</v>
      </c>
      <c r="K44" s="462" t="s">
        <v>105</v>
      </c>
      <c r="L44" s="465"/>
      <c r="M44" s="465" t="s">
        <v>104</v>
      </c>
      <c r="N44" s="467">
        <v>40872</v>
      </c>
      <c r="O44" s="465" t="s">
        <v>10</v>
      </c>
      <c r="P44" s="258">
        <v>277</v>
      </c>
      <c r="Q44" s="271">
        <v>1</v>
      </c>
      <c r="R44" s="271">
        <v>16</v>
      </c>
      <c r="S44" s="268">
        <v>480</v>
      </c>
      <c r="T44" s="269">
        <v>96</v>
      </c>
      <c r="U44" s="268">
        <v>510</v>
      </c>
      <c r="V44" s="269">
        <v>102</v>
      </c>
      <c r="W44" s="268">
        <v>455</v>
      </c>
      <c r="X44" s="269">
        <v>91</v>
      </c>
      <c r="Y44" s="435">
        <f>SUM(S44+U44+W44)</f>
        <v>1445</v>
      </c>
      <c r="Z44" s="436">
        <f>T44+V44+X44</f>
        <v>289</v>
      </c>
      <c r="AA44" s="422">
        <f>IF(Y44&lt;&gt;0,Z44/Q44,"")</f>
        <v>289</v>
      </c>
      <c r="AB44" s="423">
        <f>IF(Y44&lt;&gt;0,Y44/Z44,"")</f>
        <v>5</v>
      </c>
      <c r="AC44" s="424">
        <v>1688</v>
      </c>
      <c r="AD44" s="425">
        <f>IF(AC44&lt;&gt;0,-(AC44-Y44)/AC44,"")</f>
        <v>-0.14395734597156398</v>
      </c>
      <c r="AE44" s="690">
        <f>AG44-Y44</f>
        <v>935</v>
      </c>
      <c r="AF44" s="691">
        <f>AH44-Z44</f>
        <v>187</v>
      </c>
      <c r="AG44" s="731">
        <v>2380</v>
      </c>
      <c r="AH44" s="732">
        <v>476</v>
      </c>
      <c r="AI44" s="692">
        <f>Z44*1/AH44</f>
        <v>0.6071428571428571</v>
      </c>
      <c r="AJ44" s="692">
        <f>AF44*1/AH44</f>
        <v>0.39285714285714285</v>
      </c>
      <c r="AK44" s="691">
        <f>AH44/Q44</f>
        <v>476</v>
      </c>
      <c r="AL44" s="693">
        <f>AG44/AH44</f>
        <v>5</v>
      </c>
      <c r="AM44" s="694">
        <v>2380</v>
      </c>
      <c r="AN44" s="692">
        <f t="shared" si="0"/>
        <v>0</v>
      </c>
      <c r="AO44" s="268">
        <v>10953039</v>
      </c>
      <c r="AP44" s="269">
        <v>1173865</v>
      </c>
      <c r="AQ44" s="452">
        <f>AO44/AP44</f>
        <v>9.330748425074434</v>
      </c>
      <c r="AR44" s="716">
        <v>40977</v>
      </c>
      <c r="AS44" s="413" t="s">
        <v>497</v>
      </c>
    </row>
    <row r="45" spans="1:45" s="10" customFormat="1" ht="15" customHeight="1">
      <c r="A45" s="331" t="s">
        <v>503</v>
      </c>
      <c r="B45" s="312"/>
      <c r="C45" s="312"/>
      <c r="D45" s="312"/>
      <c r="E45" s="312"/>
      <c r="F45" s="312"/>
      <c r="G45" s="312"/>
      <c r="H45" s="313"/>
      <c r="I45" s="316" t="s">
        <v>54</v>
      </c>
      <c r="J45" s="205" t="s">
        <v>347</v>
      </c>
      <c r="K45" s="462" t="s">
        <v>348</v>
      </c>
      <c r="L45" s="469"/>
      <c r="M45" s="469" t="s">
        <v>347</v>
      </c>
      <c r="N45" s="464">
        <v>40914</v>
      </c>
      <c r="O45" s="465" t="s">
        <v>12</v>
      </c>
      <c r="P45" s="258">
        <v>204</v>
      </c>
      <c r="Q45" s="259">
        <v>4</v>
      </c>
      <c r="R45" s="259">
        <v>10</v>
      </c>
      <c r="S45" s="556">
        <v>200</v>
      </c>
      <c r="T45" s="557">
        <v>36</v>
      </c>
      <c r="U45" s="556">
        <v>909</v>
      </c>
      <c r="V45" s="557">
        <v>176</v>
      </c>
      <c r="W45" s="556">
        <v>239</v>
      </c>
      <c r="X45" s="557">
        <v>38</v>
      </c>
      <c r="Y45" s="435">
        <f>SUM(S45+U45+W45)</f>
        <v>1348</v>
      </c>
      <c r="Z45" s="436">
        <f>T45+V45+X45</f>
        <v>250</v>
      </c>
      <c r="AA45" s="422">
        <f>IF(Y45&lt;&gt;0,Z45/Q45,"")</f>
        <v>62.5</v>
      </c>
      <c r="AB45" s="423">
        <f>IF(Y45&lt;&gt;0,Y45/Z45,"")</f>
        <v>5.392</v>
      </c>
      <c r="AC45" s="426">
        <v>282</v>
      </c>
      <c r="AD45" s="425">
        <f>IF(AC45&lt;&gt;0,-(AC45-Y45)/AC45,"")</f>
        <v>3.780141843971631</v>
      </c>
      <c r="AE45" s="690">
        <f>AG45-Y45</f>
        <v>700</v>
      </c>
      <c r="AF45" s="691">
        <f>AH45-Z45</f>
        <v>134</v>
      </c>
      <c r="AG45" s="729">
        <v>2048</v>
      </c>
      <c r="AH45" s="730">
        <v>384</v>
      </c>
      <c r="AI45" s="692">
        <f>Z45*1/AH45</f>
        <v>0.6510416666666666</v>
      </c>
      <c r="AJ45" s="692">
        <f>AF45*1/AH45</f>
        <v>0.3489583333333333</v>
      </c>
      <c r="AK45" s="691">
        <f>AH45/Q45</f>
        <v>96</v>
      </c>
      <c r="AL45" s="693">
        <f>AG45/AH45</f>
        <v>5.333333333333333</v>
      </c>
      <c r="AM45" s="695">
        <v>494</v>
      </c>
      <c r="AN45" s="692">
        <f t="shared" si="0"/>
        <v>3.145748987854251</v>
      </c>
      <c r="AO45" s="263">
        <v>5366813</v>
      </c>
      <c r="AP45" s="264">
        <v>579842</v>
      </c>
      <c r="AQ45" s="452">
        <f>AO45/AP45</f>
        <v>9.255647228037983</v>
      </c>
      <c r="AR45" s="716">
        <v>40977</v>
      </c>
      <c r="AS45" s="413" t="s">
        <v>523</v>
      </c>
    </row>
    <row r="46" spans="1:45" s="10" customFormat="1" ht="15" customHeight="1">
      <c r="A46" s="331" t="s">
        <v>504</v>
      </c>
      <c r="B46" s="311"/>
      <c r="C46" s="312"/>
      <c r="D46" s="322"/>
      <c r="E46" s="322"/>
      <c r="F46" s="312"/>
      <c r="G46" s="322"/>
      <c r="H46" s="313"/>
      <c r="I46" s="316" t="s">
        <v>54</v>
      </c>
      <c r="J46" s="203" t="s">
        <v>337</v>
      </c>
      <c r="K46" s="463" t="s">
        <v>339</v>
      </c>
      <c r="L46" s="462"/>
      <c r="M46" s="463" t="s">
        <v>337</v>
      </c>
      <c r="N46" s="464">
        <v>40914</v>
      </c>
      <c r="O46" s="465" t="s">
        <v>53</v>
      </c>
      <c r="P46" s="274">
        <v>97</v>
      </c>
      <c r="Q46" s="275">
        <v>2</v>
      </c>
      <c r="R46" s="275">
        <v>9</v>
      </c>
      <c r="S46" s="556">
        <v>268</v>
      </c>
      <c r="T46" s="557">
        <v>70</v>
      </c>
      <c r="U46" s="556">
        <v>304</v>
      </c>
      <c r="V46" s="557">
        <v>90</v>
      </c>
      <c r="W46" s="556">
        <v>250</v>
      </c>
      <c r="X46" s="557">
        <v>80</v>
      </c>
      <c r="Y46" s="435">
        <f>SUM(S46+U46+W46)</f>
        <v>822</v>
      </c>
      <c r="Z46" s="436">
        <f>T46+V46+X46</f>
        <v>240</v>
      </c>
      <c r="AA46" s="422">
        <f>IF(Y46&lt;&gt;0,Z46/Q46,"")</f>
        <v>120</v>
      </c>
      <c r="AB46" s="423">
        <f>IF(Y46&lt;&gt;0,Y46/Z46,"")</f>
        <v>3.425</v>
      </c>
      <c r="AC46" s="426">
        <v>3597</v>
      </c>
      <c r="AD46" s="425">
        <f>IF(AC46&lt;&gt;0,-(AC46-Y46)/AC46,"")</f>
        <v>-0.7714762301918265</v>
      </c>
      <c r="AE46" s="690">
        <f>AG46-Y46</f>
        <v>1013</v>
      </c>
      <c r="AF46" s="691">
        <f>AH46-Z46</f>
        <v>298</v>
      </c>
      <c r="AG46" s="729">
        <v>1835</v>
      </c>
      <c r="AH46" s="730">
        <v>538</v>
      </c>
      <c r="AI46" s="692">
        <f>Z46*1/AH46</f>
        <v>0.44609665427509293</v>
      </c>
      <c r="AJ46" s="692">
        <f>AF46*1/AH46</f>
        <v>0.5539033457249071</v>
      </c>
      <c r="AK46" s="691">
        <f>AH46/Q46</f>
        <v>269</v>
      </c>
      <c r="AL46" s="693">
        <f>AG46/AH46</f>
        <v>3.4107806691449816</v>
      </c>
      <c r="AM46" s="695">
        <v>3842</v>
      </c>
      <c r="AN46" s="692">
        <f t="shared" si="0"/>
        <v>-0.5223841749089017</v>
      </c>
      <c r="AO46" s="276">
        <f>216520+198358.5+149589.5+18051.79+5443+2220+114+4171+1835</f>
        <v>596302.79</v>
      </c>
      <c r="AP46" s="277">
        <f>26831+25025+19383+2440+733+337+19+682+538</f>
        <v>75988</v>
      </c>
      <c r="AQ46" s="452">
        <f>AO46/AP46</f>
        <v>7.847328393956941</v>
      </c>
      <c r="AR46" s="716">
        <v>40977</v>
      </c>
      <c r="AS46" s="413" t="s">
        <v>491</v>
      </c>
    </row>
    <row r="47" spans="1:45" s="10" customFormat="1" ht="15" customHeight="1">
      <c r="A47" s="331" t="s">
        <v>505</v>
      </c>
      <c r="B47" s="332"/>
      <c r="C47" s="312"/>
      <c r="D47" s="312"/>
      <c r="E47" s="312"/>
      <c r="F47" s="312"/>
      <c r="G47" s="312"/>
      <c r="H47" s="313"/>
      <c r="I47" s="313"/>
      <c r="J47" s="207" t="s">
        <v>611</v>
      </c>
      <c r="K47" s="462" t="s">
        <v>217</v>
      </c>
      <c r="L47" s="469" t="s">
        <v>94</v>
      </c>
      <c r="M47" s="466" t="s">
        <v>613</v>
      </c>
      <c r="N47" s="464">
        <v>40949</v>
      </c>
      <c r="O47" s="465" t="s">
        <v>12</v>
      </c>
      <c r="P47" s="258">
        <v>15</v>
      </c>
      <c r="Q47" s="259">
        <v>2</v>
      </c>
      <c r="R47" s="259">
        <v>5</v>
      </c>
      <c r="S47" s="556">
        <v>117</v>
      </c>
      <c r="T47" s="557">
        <v>10</v>
      </c>
      <c r="U47" s="556">
        <v>318</v>
      </c>
      <c r="V47" s="557">
        <v>30</v>
      </c>
      <c r="W47" s="556">
        <v>676</v>
      </c>
      <c r="X47" s="557">
        <v>56</v>
      </c>
      <c r="Y47" s="435">
        <f>SUM(S47+U47+W47)</f>
        <v>1111</v>
      </c>
      <c r="Z47" s="436">
        <f>T47+V47+X47</f>
        <v>96</v>
      </c>
      <c r="AA47" s="422">
        <f>IF(Y47&lt;&gt;0,Z47/Q47,"")</f>
        <v>48</v>
      </c>
      <c r="AB47" s="423">
        <f>IF(Y47&lt;&gt;0,Y47/Z47,"")</f>
        <v>11.572916666666666</v>
      </c>
      <c r="AC47" s="426">
        <v>5785</v>
      </c>
      <c r="AD47" s="425">
        <f>IF(AC47&lt;&gt;0,-(AC47-Y47)/AC47,"")</f>
        <v>-0.807951598962835</v>
      </c>
      <c r="AE47" s="690">
        <f>AG47-Y47</f>
        <v>715</v>
      </c>
      <c r="AF47" s="691">
        <f>AH47-Z47</f>
        <v>94</v>
      </c>
      <c r="AG47" s="729">
        <v>1826</v>
      </c>
      <c r="AH47" s="730">
        <v>190</v>
      </c>
      <c r="AI47" s="692">
        <f>Z47*1/AH47</f>
        <v>0.5052631578947369</v>
      </c>
      <c r="AJ47" s="692">
        <f>AF47*1/AH47</f>
        <v>0.49473684210526314</v>
      </c>
      <c r="AK47" s="691">
        <f>AH47/Q47</f>
        <v>95</v>
      </c>
      <c r="AL47" s="693">
        <f>AG47/AH47</f>
        <v>9.610526315789473</v>
      </c>
      <c r="AM47" s="694">
        <v>8560</v>
      </c>
      <c r="AN47" s="692">
        <f t="shared" si="0"/>
        <v>-0.7866822429906543</v>
      </c>
      <c r="AO47" s="263">
        <v>87720</v>
      </c>
      <c r="AP47" s="264">
        <v>7372</v>
      </c>
      <c r="AQ47" s="452">
        <f>AO47/AP47</f>
        <v>11.899077590884428</v>
      </c>
      <c r="AR47" s="716">
        <v>40977</v>
      </c>
      <c r="AS47" s="413" t="s">
        <v>484</v>
      </c>
    </row>
    <row r="48" spans="1:46" s="10" customFormat="1" ht="15" customHeight="1">
      <c r="A48" s="331" t="s">
        <v>506</v>
      </c>
      <c r="B48" s="311"/>
      <c r="C48" s="315" t="s">
        <v>261</v>
      </c>
      <c r="D48" s="312"/>
      <c r="E48" s="312"/>
      <c r="F48" s="312"/>
      <c r="G48" s="312"/>
      <c r="H48" s="313"/>
      <c r="I48" s="316" t="s">
        <v>54</v>
      </c>
      <c r="J48" s="207" t="s">
        <v>597</v>
      </c>
      <c r="K48" s="466" t="s">
        <v>598</v>
      </c>
      <c r="L48" s="466"/>
      <c r="M48" s="466" t="s">
        <v>597</v>
      </c>
      <c r="N48" s="464">
        <v>40662</v>
      </c>
      <c r="O48" s="465" t="s">
        <v>68</v>
      </c>
      <c r="P48" s="258">
        <v>10</v>
      </c>
      <c r="Q48" s="259">
        <v>1</v>
      </c>
      <c r="R48" s="259">
        <v>20</v>
      </c>
      <c r="S48" s="554">
        <v>0</v>
      </c>
      <c r="T48" s="555">
        <v>0</v>
      </c>
      <c r="U48" s="554">
        <v>0</v>
      </c>
      <c r="V48" s="555">
        <v>0</v>
      </c>
      <c r="W48" s="554">
        <v>0</v>
      </c>
      <c r="X48" s="555">
        <v>0</v>
      </c>
      <c r="Y48" s="435">
        <f>SUM(S48+U48+W48)</f>
        <v>0</v>
      </c>
      <c r="Z48" s="436">
        <f>T48+V48+X48</f>
        <v>0</v>
      </c>
      <c r="AA48" s="422"/>
      <c r="AB48" s="423"/>
      <c r="AC48" s="426">
        <v>0</v>
      </c>
      <c r="AD48" s="425">
        <f>IF(AC48&lt;&gt;0,-(AC48-Y48)/AC48,"")</f>
      </c>
      <c r="AE48" s="690">
        <f>AG48-Y48</f>
        <v>1782</v>
      </c>
      <c r="AF48" s="691">
        <f>AH48-Z48</f>
        <v>398</v>
      </c>
      <c r="AG48" s="727">
        <v>1782</v>
      </c>
      <c r="AH48" s="728">
        <v>398</v>
      </c>
      <c r="AI48" s="692">
        <f>Z48*1/AH48</f>
        <v>0</v>
      </c>
      <c r="AJ48" s="692">
        <f>AF48*1/AH48</f>
        <v>1</v>
      </c>
      <c r="AK48" s="691">
        <f>AH48/Q48</f>
        <v>398</v>
      </c>
      <c r="AL48" s="693">
        <f>AG48/AH48</f>
        <v>4.477386934673367</v>
      </c>
      <c r="AM48" s="694"/>
      <c r="AN48" s="692">
        <f t="shared" si="0"/>
      </c>
      <c r="AO48" s="270">
        <f>12563.75+2983.5+2680+354+641+412+470+299+1405.5+1335+741+1188+1188+2138.5+2851+594+430+950.5+950.5+1782</f>
        <v>35957.25</v>
      </c>
      <c r="AP48" s="272">
        <f>1693+350+279+68+81+51+66+35+228+169+92+297+297+535+715+149+188+190+190+398</f>
        <v>6071</v>
      </c>
      <c r="AQ48" s="452">
        <f>AO48/AP48</f>
        <v>5.9227886674353485</v>
      </c>
      <c r="AR48" s="716">
        <v>40977</v>
      </c>
      <c r="AS48" s="413" t="s">
        <v>307</v>
      </c>
      <c r="AT48" s="253"/>
    </row>
    <row r="49" spans="1:46" s="10" customFormat="1" ht="15" customHeight="1">
      <c r="A49" s="331" t="s">
        <v>507</v>
      </c>
      <c r="B49" s="311"/>
      <c r="C49" s="312"/>
      <c r="D49" s="324" t="s">
        <v>223</v>
      </c>
      <c r="E49" s="312"/>
      <c r="F49" s="312"/>
      <c r="G49" s="312"/>
      <c r="H49" s="313"/>
      <c r="I49" s="313"/>
      <c r="J49" s="203" t="s">
        <v>344</v>
      </c>
      <c r="K49" s="462" t="s">
        <v>126</v>
      </c>
      <c r="L49" s="463" t="s">
        <v>89</v>
      </c>
      <c r="M49" s="463" t="s">
        <v>351</v>
      </c>
      <c r="N49" s="467">
        <v>40914</v>
      </c>
      <c r="O49" s="465" t="s">
        <v>68</v>
      </c>
      <c r="P49" s="258">
        <v>56</v>
      </c>
      <c r="Q49" s="259">
        <v>1</v>
      </c>
      <c r="R49" s="259">
        <v>10</v>
      </c>
      <c r="S49" s="554">
        <v>0</v>
      </c>
      <c r="T49" s="555">
        <v>0</v>
      </c>
      <c r="U49" s="554">
        <v>0</v>
      </c>
      <c r="V49" s="555">
        <v>0</v>
      </c>
      <c r="W49" s="554">
        <v>0</v>
      </c>
      <c r="X49" s="555">
        <v>0</v>
      </c>
      <c r="Y49" s="435">
        <f>SUM(S49+U49+W49)</f>
        <v>0</v>
      </c>
      <c r="Z49" s="436">
        <f>T49+V49+X49</f>
        <v>0</v>
      </c>
      <c r="AA49" s="422">
        <f>IF(Y49&lt;&gt;0,Z49/Q49,"")</f>
      </c>
      <c r="AB49" s="423">
        <f>IF(Y49&lt;&gt;0,Y49/Z49,"")</f>
      </c>
      <c r="AC49" s="427">
        <v>0</v>
      </c>
      <c r="AD49" s="425">
        <f>IF(AC49&lt;&gt;0,-(AC49-Y49)/AC49,"")</f>
      </c>
      <c r="AE49" s="690">
        <f>AG49-Y49</f>
        <v>1782</v>
      </c>
      <c r="AF49" s="691">
        <f>AH49-Z49</f>
        <v>356</v>
      </c>
      <c r="AG49" s="727">
        <v>1782</v>
      </c>
      <c r="AH49" s="728">
        <v>356</v>
      </c>
      <c r="AI49" s="692">
        <f>Z49*1/AH49</f>
        <v>0</v>
      </c>
      <c r="AJ49" s="692">
        <f>AF49*1/AH49</f>
        <v>1</v>
      </c>
      <c r="AK49" s="691">
        <f>AH49/Q49</f>
        <v>356</v>
      </c>
      <c r="AL49" s="693">
        <f>AG49/AH49</f>
        <v>5.00561797752809</v>
      </c>
      <c r="AM49" s="694">
        <v>1591</v>
      </c>
      <c r="AN49" s="692">
        <f t="shared" si="0"/>
        <v>0.12005028284098052</v>
      </c>
      <c r="AO49" s="270">
        <f>212792+161708.5+190927+56533.48+39859.88+22564.8+12520.5+1707.5+187+1782</f>
        <v>700582.66</v>
      </c>
      <c r="AP49" s="272">
        <f>19942+16687+19909+5952+4552+2963+2467+206+32+356</f>
        <v>73066</v>
      </c>
      <c r="AQ49" s="452">
        <f>AO49/AP49</f>
        <v>9.588353817096872</v>
      </c>
      <c r="AR49" s="716">
        <v>40977</v>
      </c>
      <c r="AS49" s="413" t="s">
        <v>526</v>
      </c>
      <c r="AT49" s="60"/>
    </row>
    <row r="50" spans="1:46" s="10" customFormat="1" ht="15.75">
      <c r="A50" s="331" t="s">
        <v>508</v>
      </c>
      <c r="B50" s="311"/>
      <c r="C50" s="315" t="s">
        <v>261</v>
      </c>
      <c r="D50" s="324" t="s">
        <v>223</v>
      </c>
      <c r="E50" s="318"/>
      <c r="F50" s="312"/>
      <c r="G50" s="323" t="s">
        <v>292</v>
      </c>
      <c r="H50" s="317" t="s">
        <v>55</v>
      </c>
      <c r="I50" s="313"/>
      <c r="J50" s="207" t="s">
        <v>627</v>
      </c>
      <c r="K50" s="466" t="s">
        <v>360</v>
      </c>
      <c r="L50" s="461" t="s">
        <v>89</v>
      </c>
      <c r="M50" s="466" t="s">
        <v>632</v>
      </c>
      <c r="N50" s="464">
        <v>40515</v>
      </c>
      <c r="O50" s="465" t="s">
        <v>68</v>
      </c>
      <c r="P50" s="258">
        <v>62</v>
      </c>
      <c r="Q50" s="259">
        <v>1</v>
      </c>
      <c r="R50" s="259">
        <v>36</v>
      </c>
      <c r="S50" s="554">
        <v>0</v>
      </c>
      <c r="T50" s="555">
        <v>0</v>
      </c>
      <c r="U50" s="554">
        <v>0</v>
      </c>
      <c r="V50" s="555">
        <v>0</v>
      </c>
      <c r="W50" s="554">
        <v>0</v>
      </c>
      <c r="X50" s="555">
        <v>0</v>
      </c>
      <c r="Y50" s="435">
        <f>SUM(S50+U50+W50)</f>
        <v>0</v>
      </c>
      <c r="Z50" s="436">
        <f>T50+V50+X50</f>
        <v>0</v>
      </c>
      <c r="AA50" s="422"/>
      <c r="AB50" s="423"/>
      <c r="AC50" s="426">
        <v>0</v>
      </c>
      <c r="AD50" s="425">
        <f>IF(AC50&lt;&gt;0,-(AC50-Y50)/AC50,"")</f>
      </c>
      <c r="AE50" s="690">
        <f>AG50-Y50</f>
        <v>1622</v>
      </c>
      <c r="AF50" s="691">
        <f>AH50-Z50</f>
        <v>787</v>
      </c>
      <c r="AG50" s="727">
        <v>1622</v>
      </c>
      <c r="AH50" s="728">
        <v>787</v>
      </c>
      <c r="AI50" s="692">
        <f>Z50*1/AH50</f>
        <v>0</v>
      </c>
      <c r="AJ50" s="692">
        <f>AF50*1/AH50</f>
        <v>1</v>
      </c>
      <c r="AK50" s="691">
        <f>AH50/Q50</f>
        <v>787</v>
      </c>
      <c r="AL50" s="693">
        <f>AG50/AH50</f>
        <v>2.0609911054637866</v>
      </c>
      <c r="AM50" s="694"/>
      <c r="AN50" s="692">
        <f t="shared" si="0"/>
      </c>
      <c r="AO50" s="270">
        <f>353151+191248+132731.5+71376+47862+26248.5+19265+34650.5+35095.5+42312+25849+10987+7528+3248+2395.5+3280.5+3141.5+4280+3042+1597+6128+4358+2107+777+4230+4335.5+1718.5+594+1978+2020+7747.5+1188+329+1188+823+1622</f>
        <v>1060432</v>
      </c>
      <c r="AP50" s="272">
        <f>34650+19352+14525+10591+7581+5012+3223+6065+6865+6589+3930+1782+1091+624+468+512+688+987+804+306+1395+991+478+166+1058+1084+430+148+474+261+1593+297+63+238+398+787</f>
        <v>135506</v>
      </c>
      <c r="AQ50" s="452">
        <f>AO50/AP50</f>
        <v>7.825719894322023</v>
      </c>
      <c r="AR50" s="716">
        <v>40977</v>
      </c>
      <c r="AS50" s="413" t="s">
        <v>520</v>
      </c>
      <c r="AT50" s="60"/>
    </row>
    <row r="51" spans="1:46" s="10" customFormat="1" ht="15.75">
      <c r="A51" s="331" t="s">
        <v>509</v>
      </c>
      <c r="B51" s="312"/>
      <c r="C51" s="312"/>
      <c r="D51" s="332"/>
      <c r="E51" s="332"/>
      <c r="F51" s="312"/>
      <c r="G51" s="332"/>
      <c r="H51" s="313"/>
      <c r="I51" s="314"/>
      <c r="J51" s="211" t="s">
        <v>577</v>
      </c>
      <c r="K51" s="462" t="s">
        <v>396</v>
      </c>
      <c r="L51" s="465" t="s">
        <v>248</v>
      </c>
      <c r="M51" s="465" t="s">
        <v>584</v>
      </c>
      <c r="N51" s="464">
        <v>40942</v>
      </c>
      <c r="O51" s="465" t="s">
        <v>332</v>
      </c>
      <c r="P51" s="258">
        <v>17</v>
      </c>
      <c r="Q51" s="259">
        <v>1</v>
      </c>
      <c r="R51" s="259">
        <v>6</v>
      </c>
      <c r="S51" s="261">
        <v>269</v>
      </c>
      <c r="T51" s="262">
        <v>39</v>
      </c>
      <c r="U51" s="261">
        <v>208</v>
      </c>
      <c r="V51" s="262">
        <v>30</v>
      </c>
      <c r="W51" s="261">
        <v>342</v>
      </c>
      <c r="X51" s="262">
        <v>50</v>
      </c>
      <c r="Y51" s="435">
        <f>SUM(S51+U51+W51)</f>
        <v>819</v>
      </c>
      <c r="Z51" s="436">
        <f>T51+V51+X51</f>
        <v>119</v>
      </c>
      <c r="AA51" s="422">
        <f>IF(Y51&lt;&gt;0,Z51/Q51,"")</f>
        <v>119</v>
      </c>
      <c r="AB51" s="423">
        <f>IF(Y51&lt;&gt;0,Y51/Z51,"")</f>
        <v>6.882352941176471</v>
      </c>
      <c r="AC51" s="424">
        <v>1278</v>
      </c>
      <c r="AD51" s="425">
        <f>IF(AC51&lt;&gt;0,-(AC51-Y51)/AC51,"")</f>
        <v>-0.3591549295774648</v>
      </c>
      <c r="AE51" s="690">
        <f>AG51-Y51</f>
        <v>795</v>
      </c>
      <c r="AF51" s="691">
        <f>AH51-Z51</f>
        <v>143</v>
      </c>
      <c r="AG51" s="729">
        <v>1614</v>
      </c>
      <c r="AH51" s="730">
        <v>262</v>
      </c>
      <c r="AI51" s="692">
        <f>Z51*1/AH51</f>
        <v>0.4541984732824427</v>
      </c>
      <c r="AJ51" s="692">
        <f>AF51*1/AH51</f>
        <v>0.5458015267175572</v>
      </c>
      <c r="AK51" s="691">
        <f>AH51/Q51</f>
        <v>262</v>
      </c>
      <c r="AL51" s="693">
        <f>AG51/AH51</f>
        <v>6.1603053435114505</v>
      </c>
      <c r="AM51" s="694">
        <v>2310</v>
      </c>
      <c r="AN51" s="692">
        <f t="shared" si="0"/>
        <v>-0.3012987012987013</v>
      </c>
      <c r="AO51" s="261">
        <v>210020.5</v>
      </c>
      <c r="AP51" s="262">
        <v>16606</v>
      </c>
      <c r="AQ51" s="452">
        <f>AO51/AP51</f>
        <v>12.647266048416235</v>
      </c>
      <c r="AR51" s="716">
        <v>40977</v>
      </c>
      <c r="AS51" s="413" t="s">
        <v>502</v>
      </c>
      <c r="AT51" s="60"/>
    </row>
    <row r="52" spans="1:46" s="10" customFormat="1" ht="15.75">
      <c r="A52" s="331" t="s">
        <v>510</v>
      </c>
      <c r="B52" s="332"/>
      <c r="C52" s="312"/>
      <c r="D52" s="332"/>
      <c r="E52" s="332"/>
      <c r="F52" s="312"/>
      <c r="G52" s="332"/>
      <c r="H52" s="313"/>
      <c r="I52" s="314"/>
      <c r="J52" s="211" t="s">
        <v>578</v>
      </c>
      <c r="K52" s="462" t="s">
        <v>585</v>
      </c>
      <c r="L52" s="465" t="s">
        <v>273</v>
      </c>
      <c r="M52" s="465" t="s">
        <v>586</v>
      </c>
      <c r="N52" s="464">
        <v>40942</v>
      </c>
      <c r="O52" s="465" t="s">
        <v>332</v>
      </c>
      <c r="P52" s="258">
        <v>5</v>
      </c>
      <c r="Q52" s="259">
        <v>1</v>
      </c>
      <c r="R52" s="259">
        <v>5</v>
      </c>
      <c r="S52" s="261">
        <v>50</v>
      </c>
      <c r="T52" s="262">
        <v>10</v>
      </c>
      <c r="U52" s="261">
        <v>200</v>
      </c>
      <c r="V52" s="262">
        <v>40</v>
      </c>
      <c r="W52" s="261">
        <v>250</v>
      </c>
      <c r="X52" s="262">
        <v>50</v>
      </c>
      <c r="Y52" s="435">
        <f>SUM(S52+U52+W52)</f>
        <v>500</v>
      </c>
      <c r="Z52" s="436">
        <f>T52+V52+X52</f>
        <v>100</v>
      </c>
      <c r="AA52" s="422">
        <f>IF(Y52&lt;&gt;0,Z52/Q52,"")</f>
        <v>100</v>
      </c>
      <c r="AB52" s="423">
        <f>IF(Y52&lt;&gt;0,Y52/Z52,"")</f>
        <v>5</v>
      </c>
      <c r="AC52" s="424">
        <v>296</v>
      </c>
      <c r="AD52" s="425">
        <f>IF(AC52&lt;&gt;0,-(AC52-Y52)/AC52,"")</f>
        <v>0.6891891891891891</v>
      </c>
      <c r="AE52" s="690">
        <f>AG52-Y52</f>
        <v>1010</v>
      </c>
      <c r="AF52" s="691">
        <f>AH52-Z52</f>
        <v>202</v>
      </c>
      <c r="AG52" s="729">
        <v>1510</v>
      </c>
      <c r="AH52" s="730">
        <v>302</v>
      </c>
      <c r="AI52" s="692">
        <f>Z52*1/AH52</f>
        <v>0.33112582781456956</v>
      </c>
      <c r="AJ52" s="692">
        <f>AF52*1/AH52</f>
        <v>0.6688741721854304</v>
      </c>
      <c r="AK52" s="691">
        <f>AH52/Q52</f>
        <v>302</v>
      </c>
      <c r="AL52" s="693">
        <f>AG52/AH52</f>
        <v>5</v>
      </c>
      <c r="AM52" s="694">
        <v>820</v>
      </c>
      <c r="AN52" s="692">
        <f t="shared" si="0"/>
        <v>0.8414634146341463</v>
      </c>
      <c r="AO52" s="261">
        <v>42820.5</v>
      </c>
      <c r="AP52" s="262">
        <v>3421</v>
      </c>
      <c r="AQ52" s="452">
        <f>AO52/AP52</f>
        <v>12.516954106986262</v>
      </c>
      <c r="AR52" s="716">
        <v>40977</v>
      </c>
      <c r="AS52" s="413" t="s">
        <v>521</v>
      </c>
      <c r="AT52" s="60"/>
    </row>
    <row r="53" spans="1:46" s="10" customFormat="1" ht="15.75">
      <c r="A53" s="331" t="s">
        <v>511</v>
      </c>
      <c r="B53" s="332"/>
      <c r="C53" s="315" t="s">
        <v>261</v>
      </c>
      <c r="D53" s="312"/>
      <c r="E53" s="312"/>
      <c r="F53" s="312"/>
      <c r="G53" s="312"/>
      <c r="H53" s="333"/>
      <c r="I53" s="316" t="s">
        <v>54</v>
      </c>
      <c r="J53" s="203" t="s">
        <v>141</v>
      </c>
      <c r="K53" s="462" t="s">
        <v>142</v>
      </c>
      <c r="L53" s="463"/>
      <c r="M53" s="463" t="s">
        <v>141</v>
      </c>
      <c r="N53" s="467">
        <v>40893</v>
      </c>
      <c r="O53" s="465" t="s">
        <v>8</v>
      </c>
      <c r="P53" s="266">
        <v>131</v>
      </c>
      <c r="Q53" s="267">
        <v>2</v>
      </c>
      <c r="R53" s="267">
        <v>13</v>
      </c>
      <c r="S53" s="362">
        <v>48</v>
      </c>
      <c r="T53" s="360">
        <v>7</v>
      </c>
      <c r="U53" s="362">
        <v>391</v>
      </c>
      <c r="V53" s="360">
        <v>60</v>
      </c>
      <c r="W53" s="362">
        <v>400</v>
      </c>
      <c r="X53" s="360">
        <v>63</v>
      </c>
      <c r="Y53" s="435">
        <f>SUM(S53+U53+W53)</f>
        <v>839</v>
      </c>
      <c r="Z53" s="436">
        <f>T53+V53+X53</f>
        <v>130</v>
      </c>
      <c r="AA53" s="422">
        <f>IF(Y53&lt;&gt;0,Z53/Q53,"")</f>
        <v>65</v>
      </c>
      <c r="AB53" s="423">
        <f>IF(Y53&lt;&gt;0,Y53/Z53,"")</f>
        <v>6.453846153846154</v>
      </c>
      <c r="AC53" s="421">
        <v>1203</v>
      </c>
      <c r="AD53" s="425">
        <f>IF(AC53&lt;&gt;0,-(AC53-Y53)/AC53,"")</f>
        <v>-0.3025768911055694</v>
      </c>
      <c r="AE53" s="690">
        <f>AG53-Y53</f>
        <v>456</v>
      </c>
      <c r="AF53" s="691">
        <f>AH53-Z53</f>
        <v>75</v>
      </c>
      <c r="AG53" s="731">
        <v>1295</v>
      </c>
      <c r="AH53" s="732">
        <v>205</v>
      </c>
      <c r="AI53" s="692">
        <f>Z53*1/AH53</f>
        <v>0.6341463414634146</v>
      </c>
      <c r="AJ53" s="692">
        <f>AF53*1/AH53</f>
        <v>0.36585365853658536</v>
      </c>
      <c r="AK53" s="691">
        <f>AH53/Q53</f>
        <v>102.5</v>
      </c>
      <c r="AL53" s="693">
        <f>AG53/AH53</f>
        <v>6.317073170731708</v>
      </c>
      <c r="AM53" s="694">
        <v>33707</v>
      </c>
      <c r="AN53" s="692">
        <f t="shared" si="0"/>
        <v>-0.9615806805708014</v>
      </c>
      <c r="AO53" s="268">
        <v>15467940</v>
      </c>
      <c r="AP53" s="269">
        <v>1730407</v>
      </c>
      <c r="AQ53" s="452">
        <f>AO53/AP53</f>
        <v>8.938902813037627</v>
      </c>
      <c r="AR53" s="716">
        <v>40977</v>
      </c>
      <c r="AS53" s="413" t="s">
        <v>504</v>
      </c>
      <c r="AT53" s="60"/>
    </row>
    <row r="54" spans="1:45" s="10" customFormat="1" ht="15.75">
      <c r="A54" s="331" t="s">
        <v>512</v>
      </c>
      <c r="B54" s="312"/>
      <c r="C54" s="315" t="s">
        <v>261</v>
      </c>
      <c r="D54" s="324" t="s">
        <v>223</v>
      </c>
      <c r="E54" s="318"/>
      <c r="F54" s="312"/>
      <c r="G54" s="323" t="s">
        <v>292</v>
      </c>
      <c r="H54" s="317" t="s">
        <v>55</v>
      </c>
      <c r="I54" s="313"/>
      <c r="J54" s="212" t="s">
        <v>49</v>
      </c>
      <c r="K54" s="468" t="s">
        <v>92</v>
      </c>
      <c r="L54" s="468" t="s">
        <v>94</v>
      </c>
      <c r="M54" s="461" t="s">
        <v>59</v>
      </c>
      <c r="N54" s="464">
        <v>40774</v>
      </c>
      <c r="O54" s="465" t="s">
        <v>12</v>
      </c>
      <c r="P54" s="258">
        <v>123</v>
      </c>
      <c r="Q54" s="259">
        <v>2</v>
      </c>
      <c r="R54" s="259">
        <v>30</v>
      </c>
      <c r="S54" s="556">
        <v>171</v>
      </c>
      <c r="T54" s="557">
        <v>27</v>
      </c>
      <c r="U54" s="556">
        <v>209</v>
      </c>
      <c r="V54" s="557">
        <v>34</v>
      </c>
      <c r="W54" s="556">
        <v>219</v>
      </c>
      <c r="X54" s="557">
        <v>36</v>
      </c>
      <c r="Y54" s="435">
        <f>SUM(S54+U54+W54)</f>
        <v>599</v>
      </c>
      <c r="Z54" s="436">
        <f>T54+V54+X54</f>
        <v>97</v>
      </c>
      <c r="AA54" s="422">
        <f>IF(Y54&lt;&gt;0,Z54/Q54,"")</f>
        <v>48.5</v>
      </c>
      <c r="AB54" s="423">
        <f>IF(Y54&lt;&gt;0,Y54/Z54,"")</f>
        <v>6.175257731958763</v>
      </c>
      <c r="AC54" s="426">
        <v>513</v>
      </c>
      <c r="AD54" s="425">
        <f>IF(AC54&lt;&gt;0,-(AC54-Y54)/AC54,"")</f>
        <v>0.16764132553606237</v>
      </c>
      <c r="AE54" s="690">
        <f>AG54-Y54</f>
        <v>684</v>
      </c>
      <c r="AF54" s="691">
        <f>AH54-Z54</f>
        <v>108</v>
      </c>
      <c r="AG54" s="729">
        <v>1283</v>
      </c>
      <c r="AH54" s="730">
        <v>205</v>
      </c>
      <c r="AI54" s="692">
        <f>Z54*1/AH54</f>
        <v>0.47317073170731705</v>
      </c>
      <c r="AJ54" s="692">
        <f>AF54*1/AH54</f>
        <v>0.526829268292683</v>
      </c>
      <c r="AK54" s="691">
        <f>AH54/Q54</f>
        <v>102.5</v>
      </c>
      <c r="AL54" s="693">
        <f>AG54/AH54</f>
        <v>6.258536585365854</v>
      </c>
      <c r="AM54" s="695">
        <v>1197</v>
      </c>
      <c r="AN54" s="692">
        <f t="shared" si="0"/>
        <v>0.07184628237259816</v>
      </c>
      <c r="AO54" s="263">
        <v>7032696</v>
      </c>
      <c r="AP54" s="264">
        <v>689523</v>
      </c>
      <c r="AQ54" s="452">
        <f>AO54/AP54</f>
        <v>10.199363908092986</v>
      </c>
      <c r="AR54" s="716">
        <v>40977</v>
      </c>
      <c r="AS54" s="413" t="s">
        <v>514</v>
      </c>
    </row>
    <row r="55" spans="1:45" s="10" customFormat="1" ht="15.75">
      <c r="A55" s="331" t="s">
        <v>513</v>
      </c>
      <c r="B55" s="312"/>
      <c r="C55" s="315" t="s">
        <v>261</v>
      </c>
      <c r="D55" s="312"/>
      <c r="E55" s="312"/>
      <c r="F55" s="327">
        <v>2</v>
      </c>
      <c r="G55" s="323" t="s">
        <v>292</v>
      </c>
      <c r="H55" s="313"/>
      <c r="I55" s="313"/>
      <c r="J55" s="207" t="s">
        <v>222</v>
      </c>
      <c r="K55" s="462" t="s">
        <v>213</v>
      </c>
      <c r="L55" s="468" t="s">
        <v>94</v>
      </c>
      <c r="M55" s="466" t="s">
        <v>222</v>
      </c>
      <c r="N55" s="467">
        <v>40900</v>
      </c>
      <c r="O55" s="465" t="s">
        <v>12</v>
      </c>
      <c r="P55" s="258">
        <v>184</v>
      </c>
      <c r="Q55" s="259">
        <v>2</v>
      </c>
      <c r="R55" s="259">
        <v>11</v>
      </c>
      <c r="S55" s="556">
        <v>171</v>
      </c>
      <c r="T55" s="557">
        <v>27</v>
      </c>
      <c r="U55" s="556">
        <v>209</v>
      </c>
      <c r="V55" s="557">
        <v>34</v>
      </c>
      <c r="W55" s="556">
        <v>206</v>
      </c>
      <c r="X55" s="557">
        <v>34</v>
      </c>
      <c r="Y55" s="435">
        <f>SUM(S55+U55+W55)</f>
        <v>586</v>
      </c>
      <c r="Z55" s="436">
        <f>T55+V55+X55</f>
        <v>95</v>
      </c>
      <c r="AA55" s="422">
        <f>IF(Y55&lt;&gt;0,Z55/Q55,"")</f>
        <v>47.5</v>
      </c>
      <c r="AB55" s="423">
        <f>IF(Y55&lt;&gt;0,Y55/Z55,"")</f>
        <v>6.168421052631579</v>
      </c>
      <c r="AC55" s="426">
        <v>40</v>
      </c>
      <c r="AD55" s="425">
        <f>IF(AC55&lt;&gt;0,-(AC55-Y55)/AC55,"")</f>
        <v>13.65</v>
      </c>
      <c r="AE55" s="690">
        <f>AG55-Y55</f>
        <v>684</v>
      </c>
      <c r="AF55" s="691">
        <f>AH55-Z55</f>
        <v>108</v>
      </c>
      <c r="AG55" s="729">
        <v>1270</v>
      </c>
      <c r="AH55" s="730">
        <v>203</v>
      </c>
      <c r="AI55" s="692">
        <f>Z55*1/AH55</f>
        <v>0.46798029556650245</v>
      </c>
      <c r="AJ55" s="692">
        <f>AF55*1/AH55</f>
        <v>0.5320197044334976</v>
      </c>
      <c r="AK55" s="691">
        <f>AH55/Q55</f>
        <v>101.5</v>
      </c>
      <c r="AL55" s="693">
        <f>AG55/AH55</f>
        <v>6.25615763546798</v>
      </c>
      <c r="AM55" s="694">
        <v>135</v>
      </c>
      <c r="AN55" s="692">
        <f t="shared" si="0"/>
        <v>8.407407407407407</v>
      </c>
      <c r="AO55" s="263">
        <v>6381697</v>
      </c>
      <c r="AP55" s="264">
        <v>638076</v>
      </c>
      <c r="AQ55" s="452">
        <f>AO55/AP55</f>
        <v>10.00146847710931</v>
      </c>
      <c r="AR55" s="716">
        <v>40977</v>
      </c>
      <c r="AS55" s="413" t="s">
        <v>527</v>
      </c>
    </row>
    <row r="56" spans="1:46" s="10" customFormat="1" ht="15.75">
      <c r="A56" s="331" t="s">
        <v>372</v>
      </c>
      <c r="B56" s="311"/>
      <c r="C56" s="315" t="s">
        <v>261</v>
      </c>
      <c r="D56" s="312"/>
      <c r="E56" s="312"/>
      <c r="F56" s="312"/>
      <c r="G56" s="312"/>
      <c r="H56" s="313"/>
      <c r="I56" s="314"/>
      <c r="J56" s="207" t="s">
        <v>100</v>
      </c>
      <c r="K56" s="462" t="s">
        <v>102</v>
      </c>
      <c r="L56" s="461" t="s">
        <v>79</v>
      </c>
      <c r="M56" s="466" t="s">
        <v>101</v>
      </c>
      <c r="N56" s="464">
        <v>40872</v>
      </c>
      <c r="O56" s="465" t="s">
        <v>68</v>
      </c>
      <c r="P56" s="258">
        <v>20</v>
      </c>
      <c r="Q56" s="259">
        <v>1</v>
      </c>
      <c r="R56" s="259">
        <v>14</v>
      </c>
      <c r="S56" s="554">
        <v>0</v>
      </c>
      <c r="T56" s="555">
        <v>0</v>
      </c>
      <c r="U56" s="554">
        <v>0</v>
      </c>
      <c r="V56" s="555">
        <v>0</v>
      </c>
      <c r="W56" s="554">
        <v>0</v>
      </c>
      <c r="X56" s="555">
        <v>0</v>
      </c>
      <c r="Y56" s="435">
        <f>SUM(S56+U56+W56)</f>
        <v>0</v>
      </c>
      <c r="Z56" s="436">
        <f>T56+V56+X56</f>
        <v>0</v>
      </c>
      <c r="AA56" s="422">
        <f>IF(Y56&lt;&gt;0,Z56/Q56,"")</f>
      </c>
      <c r="AB56" s="423">
        <f>IF(Y56&lt;&gt;0,Y56/Z56,"")</f>
      </c>
      <c r="AC56" s="426">
        <v>0</v>
      </c>
      <c r="AD56" s="425">
        <f>IF(AC56&lt;&gt;0,-(AC56-Y56)/AC56,"")</f>
      </c>
      <c r="AE56" s="690">
        <f>AG56-Y56</f>
        <v>1188</v>
      </c>
      <c r="AF56" s="691">
        <f>AH56-Z56</f>
        <v>238</v>
      </c>
      <c r="AG56" s="727">
        <v>1188</v>
      </c>
      <c r="AH56" s="728">
        <v>238</v>
      </c>
      <c r="AI56" s="692">
        <f>Z56*1/AH56</f>
        <v>0</v>
      </c>
      <c r="AJ56" s="692">
        <f>AF56*1/AH56</f>
        <v>1</v>
      </c>
      <c r="AK56" s="691">
        <f>AH56/Q56</f>
        <v>238</v>
      </c>
      <c r="AL56" s="693">
        <f>AG56/AH56</f>
        <v>4.991596638655462</v>
      </c>
      <c r="AM56" s="694">
        <v>2348</v>
      </c>
      <c r="AN56" s="692">
        <f t="shared" si="0"/>
        <v>-0.4940374787052811</v>
      </c>
      <c r="AO56" s="270">
        <f>176767+122916.5+61599.5+22558.5+2646.5+4568+385+2545+1731+2348+5123.5+1188+3801.5+1188</f>
        <v>409366</v>
      </c>
      <c r="AP56" s="272">
        <f>14023+9525+5052+1961+507+655+55+406+298+346+724+238+761+238</f>
        <v>34789</v>
      </c>
      <c r="AQ56" s="452">
        <f>AO56/AP56</f>
        <v>11.767110293483572</v>
      </c>
      <c r="AR56" s="716">
        <v>40977</v>
      </c>
      <c r="AS56" s="413" t="s">
        <v>492</v>
      </c>
      <c r="AT56" s="60"/>
    </row>
    <row r="57" spans="1:46" s="10" customFormat="1" ht="15.75">
      <c r="A57" s="331" t="s">
        <v>514</v>
      </c>
      <c r="B57" s="311"/>
      <c r="C57" s="315" t="s">
        <v>261</v>
      </c>
      <c r="D57" s="312"/>
      <c r="E57" s="312"/>
      <c r="F57" s="312"/>
      <c r="G57" s="312"/>
      <c r="H57" s="313"/>
      <c r="I57" s="314"/>
      <c r="J57" s="207" t="s">
        <v>399</v>
      </c>
      <c r="K57" s="466" t="s">
        <v>405</v>
      </c>
      <c r="L57" s="466" t="s">
        <v>89</v>
      </c>
      <c r="M57" s="466" t="s">
        <v>399</v>
      </c>
      <c r="N57" s="464">
        <v>40886</v>
      </c>
      <c r="O57" s="465" t="s">
        <v>68</v>
      </c>
      <c r="P57" s="258">
        <v>9</v>
      </c>
      <c r="Q57" s="259">
        <v>4</v>
      </c>
      <c r="R57" s="259">
        <v>8</v>
      </c>
      <c r="S57" s="554">
        <v>0</v>
      </c>
      <c r="T57" s="555">
        <v>0</v>
      </c>
      <c r="U57" s="554">
        <v>0</v>
      </c>
      <c r="V57" s="555">
        <v>0</v>
      </c>
      <c r="W57" s="554">
        <v>0</v>
      </c>
      <c r="X57" s="555">
        <v>0</v>
      </c>
      <c r="Y57" s="435">
        <f>SUM(S57+U57+W57)</f>
        <v>0</v>
      </c>
      <c r="Z57" s="436">
        <f>T57+V57+X57</f>
        <v>0</v>
      </c>
      <c r="AA57" s="422">
        <f>IF(Y57&lt;&gt;0,Z57/Q57,"")</f>
      </c>
      <c r="AB57" s="423">
        <f>IF(Y57&lt;&gt;0,Y57/Z57,"")</f>
      </c>
      <c r="AC57" s="426">
        <v>0</v>
      </c>
      <c r="AD57" s="425">
        <f>IF(AC57&lt;&gt;0,-(AC57-Y57)/AC57,"")</f>
      </c>
      <c r="AE57" s="690">
        <f>AG57-Y57</f>
        <v>1188</v>
      </c>
      <c r="AF57" s="691">
        <f>AH57-Z57</f>
        <v>238</v>
      </c>
      <c r="AG57" s="727">
        <v>1188</v>
      </c>
      <c r="AH57" s="728">
        <v>238</v>
      </c>
      <c r="AI57" s="692">
        <f>Z57*1/AH57</f>
        <v>0</v>
      </c>
      <c r="AJ57" s="692">
        <f>AF57*1/AH57</f>
        <v>1</v>
      </c>
      <c r="AK57" s="691">
        <f>AH57/Q57</f>
        <v>59.5</v>
      </c>
      <c r="AL57" s="693">
        <f>AG57/AH57</f>
        <v>4.991596638655462</v>
      </c>
      <c r="AM57" s="694">
        <v>1782</v>
      </c>
      <c r="AN57" s="692">
        <f t="shared" si="0"/>
        <v>-0.3333333333333333</v>
      </c>
      <c r="AO57" s="270">
        <f>55869.5+42730+1422+522+1782+4115.4+1188+1188</f>
        <v>108816.9</v>
      </c>
      <c r="AP57" s="272">
        <f>3902+3837+240+87+356+563+238+238</f>
        <v>9461</v>
      </c>
      <c r="AQ57" s="452">
        <f>AO57/AP57</f>
        <v>11.501627734911743</v>
      </c>
      <c r="AR57" s="716">
        <v>40977</v>
      </c>
      <c r="AS57" s="413" t="s">
        <v>518</v>
      </c>
      <c r="AT57" s="60"/>
    </row>
    <row r="58" spans="1:46" s="10" customFormat="1" ht="15.75">
      <c r="A58" s="331" t="s">
        <v>515</v>
      </c>
      <c r="B58" s="311"/>
      <c r="C58" s="315" t="s">
        <v>261</v>
      </c>
      <c r="D58" s="312"/>
      <c r="E58" s="318"/>
      <c r="F58" s="312"/>
      <c r="G58" s="312"/>
      <c r="H58" s="313"/>
      <c r="I58" s="313"/>
      <c r="J58" s="207" t="s">
        <v>626</v>
      </c>
      <c r="K58" s="466" t="s">
        <v>640</v>
      </c>
      <c r="L58" s="461" t="s">
        <v>248</v>
      </c>
      <c r="M58" s="466" t="s">
        <v>136</v>
      </c>
      <c r="N58" s="464">
        <v>40186</v>
      </c>
      <c r="O58" s="465" t="s">
        <v>68</v>
      </c>
      <c r="P58" s="258">
        <v>4</v>
      </c>
      <c r="Q58" s="259">
        <v>1</v>
      </c>
      <c r="R58" s="259">
        <v>38</v>
      </c>
      <c r="S58" s="554">
        <v>0</v>
      </c>
      <c r="T58" s="555">
        <v>0</v>
      </c>
      <c r="U58" s="554">
        <v>0</v>
      </c>
      <c r="V58" s="555">
        <v>0</v>
      </c>
      <c r="W58" s="554">
        <v>0</v>
      </c>
      <c r="X58" s="555">
        <v>0</v>
      </c>
      <c r="Y58" s="435">
        <f>SUM(S58+U58+W58)</f>
        <v>0</v>
      </c>
      <c r="Z58" s="436">
        <f>T58+V58+X58</f>
        <v>0</v>
      </c>
      <c r="AA58" s="422"/>
      <c r="AB58" s="423"/>
      <c r="AC58" s="426">
        <v>0</v>
      </c>
      <c r="AD58" s="425">
        <f>IF(AC58&lt;&gt;0,-(AC58-Y58)/AC58,"")</f>
      </c>
      <c r="AE58" s="690">
        <f>AG58-Y58</f>
        <v>1188</v>
      </c>
      <c r="AF58" s="691">
        <f>AH58-Z58</f>
        <v>238</v>
      </c>
      <c r="AG58" s="727">
        <v>1188</v>
      </c>
      <c r="AH58" s="728">
        <v>238</v>
      </c>
      <c r="AI58" s="692">
        <f>Z58*1/AH58</f>
        <v>0</v>
      </c>
      <c r="AJ58" s="692">
        <f>AF58*1/AH58</f>
        <v>1</v>
      </c>
      <c r="AK58" s="691">
        <f>AH58/Q58</f>
        <v>238</v>
      </c>
      <c r="AL58" s="693">
        <f>AG58/AH58</f>
        <v>4.991596638655462</v>
      </c>
      <c r="AM58" s="694"/>
      <c r="AN58" s="692">
        <f t="shared" si="0"/>
      </c>
      <c r="AO58" s="270">
        <f>83443.75+1230+270+181+132+1991+2160.5+1188+1188+1188</f>
        <v>92972.25</v>
      </c>
      <c r="AP58" s="272">
        <f>11555+209+47+34+22+311+532+238+238+238</f>
        <v>13424</v>
      </c>
      <c r="AQ58" s="452">
        <f>AO58/AP58</f>
        <v>6.925823152562574</v>
      </c>
      <c r="AR58" s="716">
        <v>40977</v>
      </c>
      <c r="AS58" s="413" t="s">
        <v>519</v>
      </c>
      <c r="AT58" s="60"/>
    </row>
    <row r="59" spans="1:46" s="10" customFormat="1" ht="15.75">
      <c r="A59" s="331" t="s">
        <v>516</v>
      </c>
      <c r="B59" s="311"/>
      <c r="C59" s="315" t="s">
        <v>261</v>
      </c>
      <c r="D59" s="312"/>
      <c r="E59" s="312"/>
      <c r="F59" s="332"/>
      <c r="G59" s="312"/>
      <c r="H59" s="313"/>
      <c r="I59" s="314"/>
      <c r="J59" s="207" t="s">
        <v>448</v>
      </c>
      <c r="K59" s="466" t="s">
        <v>462</v>
      </c>
      <c r="L59" s="466" t="s">
        <v>89</v>
      </c>
      <c r="M59" s="466" t="s">
        <v>456</v>
      </c>
      <c r="N59" s="464">
        <v>40753</v>
      </c>
      <c r="O59" s="465" t="s">
        <v>68</v>
      </c>
      <c r="P59" s="258">
        <v>13</v>
      </c>
      <c r="Q59" s="259">
        <v>1</v>
      </c>
      <c r="R59" s="259">
        <v>18</v>
      </c>
      <c r="S59" s="554">
        <v>0</v>
      </c>
      <c r="T59" s="555">
        <v>0</v>
      </c>
      <c r="U59" s="554">
        <v>0</v>
      </c>
      <c r="V59" s="555">
        <v>0</v>
      </c>
      <c r="W59" s="554">
        <v>0</v>
      </c>
      <c r="X59" s="555">
        <v>0</v>
      </c>
      <c r="Y59" s="435">
        <f>SUM(S59+U59+W59)</f>
        <v>0</v>
      </c>
      <c r="Z59" s="436">
        <f>T59+V59+X59</f>
        <v>0</v>
      </c>
      <c r="AA59" s="422">
        <f>IF(Y59&lt;&gt;0,Z59/Q59,"")</f>
      </c>
      <c r="AB59" s="423">
        <f>IF(Y59&lt;&gt;0,Y59/Z59,"")</f>
      </c>
      <c r="AC59" s="426">
        <v>0</v>
      </c>
      <c r="AD59" s="425">
        <f>IF(AC59&lt;&gt;0,-(AC59-Y59)/AC59,"")</f>
      </c>
      <c r="AE59" s="690">
        <f>AG59-Y59</f>
        <v>1188</v>
      </c>
      <c r="AF59" s="691">
        <f>AH59-Z59</f>
        <v>238</v>
      </c>
      <c r="AG59" s="727">
        <v>1188</v>
      </c>
      <c r="AH59" s="728">
        <v>238</v>
      </c>
      <c r="AI59" s="692">
        <f>Z59*1/AH59</f>
        <v>0</v>
      </c>
      <c r="AJ59" s="692">
        <f>AF59*1/AH59</f>
        <v>1</v>
      </c>
      <c r="AK59" s="691">
        <f>AH59/Q59</f>
        <v>238</v>
      </c>
      <c r="AL59" s="693">
        <f>AG59/AH59</f>
        <v>4.991596638655462</v>
      </c>
      <c r="AM59" s="694"/>
      <c r="AN59" s="692">
        <f t="shared" si="0"/>
      </c>
      <c r="AO59" s="270">
        <f>37355+12427+7492+8213.5+4676+5757+7050+1356+2892.5+6045+5978+639+919+810+143.5+1188+1188+1188</f>
        <v>105317.5</v>
      </c>
      <c r="AP59" s="272">
        <f>3112+1234+925+858+645+791+1079+205+381+739+757+85+126+135+31+238+238+238</f>
        <v>11817</v>
      </c>
      <c r="AQ59" s="452">
        <f>AO59/AP59</f>
        <v>8.912372006431413</v>
      </c>
      <c r="AR59" s="716">
        <v>40977</v>
      </c>
      <c r="AS59" s="413" t="s">
        <v>407</v>
      </c>
      <c r="AT59" s="60"/>
    </row>
    <row r="60" spans="1:46" s="10" customFormat="1" ht="15.75">
      <c r="A60" s="331" t="s">
        <v>517</v>
      </c>
      <c r="B60" s="311"/>
      <c r="C60" s="315" t="s">
        <v>261</v>
      </c>
      <c r="D60" s="312"/>
      <c r="E60" s="312"/>
      <c r="F60" s="312"/>
      <c r="G60" s="312"/>
      <c r="H60" s="313"/>
      <c r="I60" s="316" t="s">
        <v>54</v>
      </c>
      <c r="J60" s="207" t="s">
        <v>356</v>
      </c>
      <c r="K60" s="466" t="s">
        <v>366</v>
      </c>
      <c r="L60" s="461"/>
      <c r="M60" s="466" t="s">
        <v>356</v>
      </c>
      <c r="N60" s="464">
        <v>40795</v>
      </c>
      <c r="O60" s="465" t="s">
        <v>68</v>
      </c>
      <c r="P60" s="258">
        <v>3</v>
      </c>
      <c r="Q60" s="259">
        <v>1</v>
      </c>
      <c r="R60" s="259">
        <v>10</v>
      </c>
      <c r="S60" s="554">
        <v>0</v>
      </c>
      <c r="T60" s="555">
        <v>0</v>
      </c>
      <c r="U60" s="554">
        <v>0</v>
      </c>
      <c r="V60" s="555">
        <v>0</v>
      </c>
      <c r="W60" s="554">
        <v>0</v>
      </c>
      <c r="X60" s="555">
        <v>0</v>
      </c>
      <c r="Y60" s="435">
        <f>SUM(S60+U60+W60)</f>
        <v>0</v>
      </c>
      <c r="Z60" s="436">
        <f>T60+V60+X60</f>
        <v>0</v>
      </c>
      <c r="AA60" s="422">
        <f>IF(Y60&lt;&gt;0,Z60/Q60,"")</f>
      </c>
      <c r="AB60" s="423">
        <f>IF(Y60&lt;&gt;0,Y60/Z60,"")</f>
      </c>
      <c r="AC60" s="426">
        <v>0</v>
      </c>
      <c r="AD60" s="425">
        <f>IF(AC60&lt;&gt;0,-(AC60-Y60)/AC60,"")</f>
      </c>
      <c r="AE60" s="690">
        <f>AG60-Y60</f>
        <v>950.5</v>
      </c>
      <c r="AF60" s="691">
        <f>AH60-Z60</f>
        <v>190</v>
      </c>
      <c r="AG60" s="727">
        <v>950.5</v>
      </c>
      <c r="AH60" s="728">
        <v>190</v>
      </c>
      <c r="AI60" s="692">
        <f>Z60*1/AH60</f>
        <v>0</v>
      </c>
      <c r="AJ60" s="692">
        <f>AF60*1/AH60</f>
        <v>1</v>
      </c>
      <c r="AK60" s="691">
        <f>AH60/Q60</f>
        <v>190</v>
      </c>
      <c r="AL60" s="693">
        <f>AG60/AH60</f>
        <v>5.002631578947368</v>
      </c>
      <c r="AM60" s="694">
        <v>1782</v>
      </c>
      <c r="AN60" s="692">
        <f t="shared" si="0"/>
        <v>-0.4666105499438833</v>
      </c>
      <c r="AO60" s="270">
        <f>4125+2511+398+1048+854+482+594+1782+713+950.5</f>
        <v>13457.5</v>
      </c>
      <c r="AP60" s="272">
        <f>422+287+52+100+134+61+149+446+143+190</f>
        <v>1984</v>
      </c>
      <c r="AQ60" s="452">
        <f>AO60/AP60</f>
        <v>6.783014112903226</v>
      </c>
      <c r="AR60" s="716">
        <v>40977</v>
      </c>
      <c r="AS60" s="413" t="s">
        <v>567</v>
      </c>
      <c r="AT60" s="60"/>
    </row>
    <row r="61" spans="1:46" s="10" customFormat="1" ht="18">
      <c r="A61" s="331" t="s">
        <v>518</v>
      </c>
      <c r="B61" s="332"/>
      <c r="C61" s="312"/>
      <c r="D61" s="332"/>
      <c r="E61" s="332"/>
      <c r="F61" s="312"/>
      <c r="G61" s="332"/>
      <c r="H61" s="313"/>
      <c r="I61" s="314"/>
      <c r="J61" s="211" t="s">
        <v>606</v>
      </c>
      <c r="K61" s="462" t="s">
        <v>607</v>
      </c>
      <c r="L61" s="465" t="s">
        <v>99</v>
      </c>
      <c r="M61" s="465" t="s">
        <v>608</v>
      </c>
      <c r="N61" s="464">
        <v>40949</v>
      </c>
      <c r="O61" s="465" t="s">
        <v>52</v>
      </c>
      <c r="P61" s="258">
        <v>26</v>
      </c>
      <c r="Q61" s="259">
        <v>2</v>
      </c>
      <c r="R61" s="259">
        <v>5</v>
      </c>
      <c r="S61" s="261">
        <v>96</v>
      </c>
      <c r="T61" s="262">
        <v>16</v>
      </c>
      <c r="U61" s="261">
        <v>249</v>
      </c>
      <c r="V61" s="262">
        <v>41</v>
      </c>
      <c r="W61" s="261">
        <v>145</v>
      </c>
      <c r="X61" s="262">
        <v>23</v>
      </c>
      <c r="Y61" s="435">
        <f>SUM(S61+U61+W61)</f>
        <v>490</v>
      </c>
      <c r="Z61" s="436">
        <f>T61+V61+X61</f>
        <v>80</v>
      </c>
      <c r="AA61" s="422">
        <f>IF(Y61&lt;&gt;0,Z61/Q61,"")</f>
        <v>40</v>
      </c>
      <c r="AB61" s="423">
        <f>IF(Y61&lt;&gt;0,Y61/Z61,"")</f>
        <v>6.125</v>
      </c>
      <c r="AC61" s="424">
        <v>1220</v>
      </c>
      <c r="AD61" s="425">
        <f>IF(AC61&lt;&gt;0,-(AC61-Y61)/AC61,"")</f>
        <v>-0.5983606557377049</v>
      </c>
      <c r="AE61" s="690">
        <f>AG61-Y61</f>
        <v>356</v>
      </c>
      <c r="AF61" s="691">
        <f>AH61-Z61</f>
        <v>62</v>
      </c>
      <c r="AG61" s="729">
        <v>846</v>
      </c>
      <c r="AH61" s="730">
        <v>142</v>
      </c>
      <c r="AI61" s="692">
        <f>Z61*1/AH61</f>
        <v>0.5633802816901409</v>
      </c>
      <c r="AJ61" s="692">
        <f>AF61*1/AH61</f>
        <v>0.43661971830985913</v>
      </c>
      <c r="AK61" s="691">
        <f>AH61/Q61</f>
        <v>71</v>
      </c>
      <c r="AL61" s="693">
        <f>AG61/AH61</f>
        <v>5.957746478873239</v>
      </c>
      <c r="AM61" s="694">
        <v>1933</v>
      </c>
      <c r="AN61" s="692">
        <f t="shared" si="0"/>
        <v>-0.5623383341955509</v>
      </c>
      <c r="AO61" s="276">
        <f>122578.91+41944.68+10936.83+1933+846</f>
        <v>178239.41999999998</v>
      </c>
      <c r="AP61" s="277">
        <f>12461+4347+1252+278+142</f>
        <v>18480</v>
      </c>
      <c r="AQ61" s="452">
        <f>AO61/AP61</f>
        <v>9.64499025974026</v>
      </c>
      <c r="AR61" s="716">
        <v>40977</v>
      </c>
      <c r="AS61" s="413" t="s">
        <v>503</v>
      </c>
      <c r="AT61" s="359"/>
    </row>
    <row r="62" spans="1:46" s="10" customFormat="1" ht="18">
      <c r="A62" s="331" t="s">
        <v>519</v>
      </c>
      <c r="B62" s="312"/>
      <c r="C62" s="315" t="s">
        <v>261</v>
      </c>
      <c r="D62" s="312"/>
      <c r="E62" s="312"/>
      <c r="F62" s="312"/>
      <c r="G62" s="323" t="s">
        <v>292</v>
      </c>
      <c r="H62" s="333"/>
      <c r="I62" s="409"/>
      <c r="J62" s="205" t="s">
        <v>221</v>
      </c>
      <c r="K62" s="462" t="s">
        <v>96</v>
      </c>
      <c r="L62" s="465" t="s">
        <v>95</v>
      </c>
      <c r="M62" s="465" t="s">
        <v>146</v>
      </c>
      <c r="N62" s="467">
        <v>40893</v>
      </c>
      <c r="O62" s="465" t="s">
        <v>10</v>
      </c>
      <c r="P62" s="258">
        <v>133</v>
      </c>
      <c r="Q62" s="271">
        <v>1</v>
      </c>
      <c r="R62" s="271">
        <v>12</v>
      </c>
      <c r="S62" s="268">
        <v>168</v>
      </c>
      <c r="T62" s="269">
        <v>46</v>
      </c>
      <c r="U62" s="268">
        <v>273</v>
      </c>
      <c r="V62" s="269">
        <v>75</v>
      </c>
      <c r="W62" s="268">
        <v>252</v>
      </c>
      <c r="X62" s="269">
        <v>64</v>
      </c>
      <c r="Y62" s="435">
        <f>SUM(S62+U62+W62)</f>
        <v>693</v>
      </c>
      <c r="Z62" s="436">
        <f>T62+V62+X62</f>
        <v>185</v>
      </c>
      <c r="AA62" s="422">
        <f>IF(Y62&lt;&gt;0,Z62/Q62,"")</f>
        <v>185</v>
      </c>
      <c r="AB62" s="423">
        <f>IF(Y62&lt;&gt;0,Y62/Z62,"")</f>
        <v>3.745945945945946</v>
      </c>
      <c r="AC62" s="424">
        <v>3101</v>
      </c>
      <c r="AD62" s="425">
        <f>IF(AC62&lt;&gt;0,-(AC62-Y62)/AC62,"")</f>
        <v>-0.7765237020316027</v>
      </c>
      <c r="AE62" s="690">
        <f>AG62-Y62</f>
        <v>103</v>
      </c>
      <c r="AF62" s="691">
        <f>AH62-Z62</f>
        <v>25</v>
      </c>
      <c r="AG62" s="731">
        <v>796</v>
      </c>
      <c r="AH62" s="732">
        <v>210</v>
      </c>
      <c r="AI62" s="692">
        <f>Z62*1/AH62</f>
        <v>0.8809523809523809</v>
      </c>
      <c r="AJ62" s="692">
        <f>AF62*1/AH62</f>
        <v>0.11904761904761904</v>
      </c>
      <c r="AK62" s="691">
        <f>AH62/Q62</f>
        <v>210</v>
      </c>
      <c r="AL62" s="693">
        <f>AG62/AH62</f>
        <v>3.7904761904761903</v>
      </c>
      <c r="AM62" s="694">
        <v>4932</v>
      </c>
      <c r="AN62" s="692">
        <f t="shared" si="0"/>
        <v>-0.8386050283860503</v>
      </c>
      <c r="AO62" s="268">
        <v>7216096</v>
      </c>
      <c r="AP62" s="269">
        <v>713955</v>
      </c>
      <c r="AQ62" s="452">
        <f>AO62/AP62</f>
        <v>10.107214040100567</v>
      </c>
      <c r="AR62" s="716">
        <v>40977</v>
      </c>
      <c r="AS62" s="413" t="s">
        <v>495</v>
      </c>
      <c r="AT62" s="359"/>
    </row>
    <row r="63" spans="1:46" s="10" customFormat="1" ht="18">
      <c r="A63" s="331" t="s">
        <v>407</v>
      </c>
      <c r="B63" s="311"/>
      <c r="C63" s="312"/>
      <c r="D63" s="312"/>
      <c r="E63" s="319">
        <v>3</v>
      </c>
      <c r="F63" s="312"/>
      <c r="G63" s="312"/>
      <c r="H63" s="313"/>
      <c r="I63" s="313"/>
      <c r="J63" s="203" t="s">
        <v>345</v>
      </c>
      <c r="K63" s="462" t="s">
        <v>126</v>
      </c>
      <c r="L63" s="463" t="s">
        <v>89</v>
      </c>
      <c r="M63" s="463" t="s">
        <v>352</v>
      </c>
      <c r="N63" s="467">
        <v>40914</v>
      </c>
      <c r="O63" s="465" t="s">
        <v>68</v>
      </c>
      <c r="P63" s="258">
        <v>66</v>
      </c>
      <c r="Q63" s="259">
        <v>1</v>
      </c>
      <c r="R63" s="259">
        <v>10</v>
      </c>
      <c r="S63" s="554">
        <v>0</v>
      </c>
      <c r="T63" s="555">
        <v>0</v>
      </c>
      <c r="U63" s="554">
        <v>0</v>
      </c>
      <c r="V63" s="555">
        <v>0</v>
      </c>
      <c r="W63" s="554">
        <v>0</v>
      </c>
      <c r="X63" s="555">
        <v>0</v>
      </c>
      <c r="Y63" s="435">
        <f>SUM(S63+U63+W63)</f>
        <v>0</v>
      </c>
      <c r="Z63" s="436">
        <f>T63+V63+X63</f>
        <v>0</v>
      </c>
      <c r="AA63" s="422">
        <f>IF(Y63&lt;&gt;0,Z63/Q63,"")</f>
      </c>
      <c r="AB63" s="423">
        <f>IF(Y63&lt;&gt;0,Y63/Z63,"")</f>
      </c>
      <c r="AC63" s="427">
        <v>0</v>
      </c>
      <c r="AD63" s="425">
        <f>IF(AC63&lt;&gt;0,-(AC63-Y63)/AC63,"")</f>
      </c>
      <c r="AE63" s="690">
        <f>AG63-Y63</f>
        <v>586</v>
      </c>
      <c r="AF63" s="691">
        <f>AH63-Z63</f>
        <v>93</v>
      </c>
      <c r="AG63" s="727">
        <v>586</v>
      </c>
      <c r="AH63" s="728">
        <v>93</v>
      </c>
      <c r="AI63" s="692">
        <f>Z63*1/AH63</f>
        <v>0</v>
      </c>
      <c r="AJ63" s="692">
        <f>AF63*1/AH63</f>
        <v>1</v>
      </c>
      <c r="AK63" s="691">
        <f>AH63/Q63</f>
        <v>93</v>
      </c>
      <c r="AL63" s="693">
        <f>AG63/AH63</f>
        <v>6.301075268817204</v>
      </c>
      <c r="AM63" s="694">
        <v>25288.04</v>
      </c>
      <c r="AN63" s="692">
        <f t="shared" si="0"/>
        <v>-0.9768269901502845</v>
      </c>
      <c r="AO63" s="270">
        <f>683638.5+541400+108974+11712.95+7203.5+24918.21+6723.58+2560+1425.5+586</f>
        <v>1389142.24</v>
      </c>
      <c r="AP63" s="272">
        <f>65177+52837+11432+1468+1076+3492+1060+423+285+93</f>
        <v>137343</v>
      </c>
      <c r="AQ63" s="452">
        <f>AO63/AP63</f>
        <v>10.114401462033012</v>
      </c>
      <c r="AR63" s="716">
        <v>40977</v>
      </c>
      <c r="AS63" s="413" t="s">
        <v>509</v>
      </c>
      <c r="AT63" s="359"/>
    </row>
    <row r="64" spans="1:46" s="10" customFormat="1" ht="15.75">
      <c r="A64" s="331" t="s">
        <v>520</v>
      </c>
      <c r="B64" s="332"/>
      <c r="C64" s="312"/>
      <c r="D64" s="312"/>
      <c r="E64" s="312"/>
      <c r="F64" s="312"/>
      <c r="G64" s="312"/>
      <c r="H64" s="313"/>
      <c r="I64" s="313"/>
      <c r="J64" s="205" t="s">
        <v>580</v>
      </c>
      <c r="K64" s="462" t="s">
        <v>581</v>
      </c>
      <c r="L64" s="469" t="s">
        <v>94</v>
      </c>
      <c r="M64" s="469" t="s">
        <v>582</v>
      </c>
      <c r="N64" s="464">
        <v>40942</v>
      </c>
      <c r="O64" s="465" t="s">
        <v>12</v>
      </c>
      <c r="P64" s="258">
        <v>38</v>
      </c>
      <c r="Q64" s="259">
        <v>1</v>
      </c>
      <c r="R64" s="259">
        <v>6</v>
      </c>
      <c r="S64" s="556">
        <v>34</v>
      </c>
      <c r="T64" s="557">
        <v>4</v>
      </c>
      <c r="U64" s="556">
        <v>177</v>
      </c>
      <c r="V64" s="557">
        <v>24</v>
      </c>
      <c r="W64" s="556">
        <v>40</v>
      </c>
      <c r="X64" s="557">
        <v>5</v>
      </c>
      <c r="Y64" s="435">
        <f>SUM(S64+U64+W64)</f>
        <v>251</v>
      </c>
      <c r="Z64" s="436">
        <f>T64+V64+X64</f>
        <v>33</v>
      </c>
      <c r="AA64" s="422">
        <f>IF(Y64&lt;&gt;0,Z64/Q64,"")</f>
        <v>33</v>
      </c>
      <c r="AB64" s="423">
        <f>IF(Y64&lt;&gt;0,Y64/Z64,"")</f>
        <v>7.606060606060606</v>
      </c>
      <c r="AC64" s="426">
        <v>2105</v>
      </c>
      <c r="AD64" s="425">
        <f>IF(AC64&lt;&gt;0,-(AC64-Y64)/AC64,"")</f>
        <v>-0.8807600950118765</v>
      </c>
      <c r="AE64" s="690">
        <f>AG64-Y64</f>
        <v>157</v>
      </c>
      <c r="AF64" s="691">
        <f>AH64-Z64</f>
        <v>20</v>
      </c>
      <c r="AG64" s="729">
        <v>408</v>
      </c>
      <c r="AH64" s="730">
        <v>53</v>
      </c>
      <c r="AI64" s="692">
        <f>Z64*1/AH64</f>
        <v>0.6226415094339622</v>
      </c>
      <c r="AJ64" s="692">
        <f>AF64*1/AH64</f>
        <v>0.37735849056603776</v>
      </c>
      <c r="AK64" s="691">
        <f>AH64/Q64</f>
        <v>53</v>
      </c>
      <c r="AL64" s="693">
        <f>AG64/AH64</f>
        <v>7.69811320754717</v>
      </c>
      <c r="AM64" s="695">
        <v>3573</v>
      </c>
      <c r="AN64" s="692">
        <f t="shared" si="0"/>
        <v>-0.8858102434928632</v>
      </c>
      <c r="AO64" s="263">
        <v>524906</v>
      </c>
      <c r="AP64" s="264">
        <v>45430</v>
      </c>
      <c r="AQ64" s="452">
        <f>AO64/AP64</f>
        <v>11.554171252476337</v>
      </c>
      <c r="AR64" s="716">
        <v>40977</v>
      </c>
      <c r="AS64" s="413" t="s">
        <v>493</v>
      </c>
      <c r="AT64" s="60"/>
    </row>
    <row r="65" spans="1:46" s="10" customFormat="1" ht="15.75">
      <c r="A65" s="331" t="s">
        <v>521</v>
      </c>
      <c r="B65" s="311"/>
      <c r="C65" s="315" t="s">
        <v>261</v>
      </c>
      <c r="D65" s="318"/>
      <c r="E65" s="319">
        <v>3</v>
      </c>
      <c r="F65" s="318"/>
      <c r="G65" s="312"/>
      <c r="H65" s="314"/>
      <c r="I65" s="313"/>
      <c r="J65" s="210" t="s">
        <v>72</v>
      </c>
      <c r="K65" s="462" t="s">
        <v>83</v>
      </c>
      <c r="L65" s="462" t="s">
        <v>189</v>
      </c>
      <c r="M65" s="462" t="s">
        <v>182</v>
      </c>
      <c r="N65" s="464">
        <v>40858</v>
      </c>
      <c r="O65" s="465" t="s">
        <v>8</v>
      </c>
      <c r="P65" s="258">
        <v>132</v>
      </c>
      <c r="Q65" s="558">
        <v>1</v>
      </c>
      <c r="R65" s="558">
        <v>15</v>
      </c>
      <c r="S65" s="362">
        <v>39</v>
      </c>
      <c r="T65" s="360">
        <v>6</v>
      </c>
      <c r="U65" s="362">
        <v>52</v>
      </c>
      <c r="V65" s="360">
        <v>8</v>
      </c>
      <c r="W65" s="362">
        <v>113</v>
      </c>
      <c r="X65" s="360">
        <v>18</v>
      </c>
      <c r="Y65" s="435">
        <f>SUM(S65+U65+W65)</f>
        <v>204</v>
      </c>
      <c r="Z65" s="436">
        <f>T65+V65+X65</f>
        <v>32</v>
      </c>
      <c r="AA65" s="422">
        <f>IF(Y65&lt;&gt;0,Z65/Q65,"")</f>
        <v>32</v>
      </c>
      <c r="AB65" s="423">
        <f>IF(Y65&lt;&gt;0,Y65/Z65,"")</f>
        <v>6.375</v>
      </c>
      <c r="AC65" s="426">
        <v>1022</v>
      </c>
      <c r="AD65" s="425">
        <f>IF(AC65&lt;&gt;0,-(AC65-Y65)/AC65,"")</f>
        <v>-0.8003913894324853</v>
      </c>
      <c r="AE65" s="690">
        <f>AG65-Y65</f>
        <v>184</v>
      </c>
      <c r="AF65" s="691">
        <f>AH65-Z65</f>
        <v>28</v>
      </c>
      <c r="AG65" s="731">
        <v>388</v>
      </c>
      <c r="AH65" s="732">
        <v>60</v>
      </c>
      <c r="AI65" s="692">
        <f>Z65*1/AH65</f>
        <v>0.5333333333333333</v>
      </c>
      <c r="AJ65" s="692">
        <f>AF65*1/AH65</f>
        <v>0.4666666666666667</v>
      </c>
      <c r="AK65" s="691">
        <f>AH65/Q65</f>
        <v>60</v>
      </c>
      <c r="AL65" s="693">
        <f>AG65/AH65</f>
        <v>6.466666666666667</v>
      </c>
      <c r="AM65" s="695">
        <v>617</v>
      </c>
      <c r="AN65" s="692">
        <f t="shared" si="0"/>
        <v>-0.3711507293354943</v>
      </c>
      <c r="AO65" s="268">
        <v>6014615</v>
      </c>
      <c r="AP65" s="269">
        <v>541372</v>
      </c>
      <c r="AQ65" s="452">
        <f>AO65/AP65</f>
        <v>11.109948427329082</v>
      </c>
      <c r="AR65" s="716">
        <v>40977</v>
      </c>
      <c r="AS65" s="413" t="s">
        <v>529</v>
      </c>
      <c r="AT65" s="60"/>
    </row>
    <row r="66" spans="1:46" s="10" customFormat="1" ht="15.75">
      <c r="A66" s="331" t="s">
        <v>522</v>
      </c>
      <c r="B66" s="311"/>
      <c r="C66" s="315" t="s">
        <v>261</v>
      </c>
      <c r="D66" s="312"/>
      <c r="E66" s="312"/>
      <c r="F66" s="312"/>
      <c r="G66" s="312"/>
      <c r="H66" s="313"/>
      <c r="I66" s="313"/>
      <c r="J66" s="211" t="s">
        <v>159</v>
      </c>
      <c r="K66" s="465" t="s">
        <v>164</v>
      </c>
      <c r="L66" s="465" t="s">
        <v>79</v>
      </c>
      <c r="M66" s="465" t="s">
        <v>165</v>
      </c>
      <c r="N66" s="467">
        <v>40886</v>
      </c>
      <c r="O66" s="465" t="s">
        <v>13</v>
      </c>
      <c r="P66" s="258">
        <v>3</v>
      </c>
      <c r="Q66" s="259">
        <v>1</v>
      </c>
      <c r="R66" s="259">
        <v>11</v>
      </c>
      <c r="S66" s="261">
        <v>16</v>
      </c>
      <c r="T66" s="262">
        <v>2</v>
      </c>
      <c r="U66" s="261">
        <v>136</v>
      </c>
      <c r="V66" s="262">
        <v>17</v>
      </c>
      <c r="W66" s="261">
        <v>76</v>
      </c>
      <c r="X66" s="262">
        <v>9</v>
      </c>
      <c r="Y66" s="435">
        <f>SUM(S66+U66+W66)</f>
        <v>228</v>
      </c>
      <c r="Z66" s="436">
        <f>T66+V66+X66</f>
        <v>28</v>
      </c>
      <c r="AA66" s="422">
        <f>IF(Y66&lt;&gt;0,Z66/Q66,"")</f>
        <v>28</v>
      </c>
      <c r="AB66" s="423">
        <f>IF(Y66&lt;&gt;0,Y66/Z66,"")</f>
        <v>8.142857142857142</v>
      </c>
      <c r="AC66" s="426">
        <v>797</v>
      </c>
      <c r="AD66" s="425">
        <f>IF(AC66&lt;&gt;0,-(AC66-Y66)/AC66,"")</f>
        <v>-0.7139272271016311</v>
      </c>
      <c r="AE66" s="690">
        <f>AG66-Y66</f>
        <v>126</v>
      </c>
      <c r="AF66" s="691">
        <f>AH66-Z66</f>
        <v>16</v>
      </c>
      <c r="AG66" s="729">
        <v>354</v>
      </c>
      <c r="AH66" s="730">
        <v>44</v>
      </c>
      <c r="AI66" s="692">
        <f>Z66*1/AH66</f>
        <v>0.6363636363636364</v>
      </c>
      <c r="AJ66" s="692">
        <f>AF66*1/AH66</f>
        <v>0.36363636363636365</v>
      </c>
      <c r="AK66" s="691">
        <f>AH66/Q66</f>
        <v>44</v>
      </c>
      <c r="AL66" s="693">
        <f>AG66/AH66</f>
        <v>8.045454545454545</v>
      </c>
      <c r="AM66" s="695">
        <v>2376</v>
      </c>
      <c r="AN66" s="692">
        <f t="shared" si="0"/>
        <v>-0.851010101010101</v>
      </c>
      <c r="AO66" s="261">
        <v>24695</v>
      </c>
      <c r="AP66" s="262">
        <v>3734</v>
      </c>
      <c r="AQ66" s="452">
        <f>AO66/AP66</f>
        <v>6.613551151580075</v>
      </c>
      <c r="AR66" s="716">
        <v>40977</v>
      </c>
      <c r="AS66" s="413" t="s">
        <v>498</v>
      </c>
      <c r="AT66" s="60"/>
    </row>
    <row r="67" spans="1:46" s="10" customFormat="1" ht="15.75">
      <c r="A67" s="331" t="s">
        <v>523</v>
      </c>
      <c r="B67" s="311"/>
      <c r="C67" s="312"/>
      <c r="D67" s="312"/>
      <c r="E67" s="312"/>
      <c r="F67" s="312"/>
      <c r="G67" s="312"/>
      <c r="H67" s="313"/>
      <c r="I67" s="313"/>
      <c r="J67" s="203" t="s">
        <v>341</v>
      </c>
      <c r="K67" s="462" t="s">
        <v>342</v>
      </c>
      <c r="L67" s="463" t="s">
        <v>189</v>
      </c>
      <c r="M67" s="463" t="s">
        <v>343</v>
      </c>
      <c r="N67" s="467">
        <v>40914</v>
      </c>
      <c r="O67" s="465" t="s">
        <v>8</v>
      </c>
      <c r="P67" s="266">
        <v>36</v>
      </c>
      <c r="Q67" s="558">
        <v>1</v>
      </c>
      <c r="R67" s="558">
        <v>8</v>
      </c>
      <c r="S67" s="362">
        <v>14</v>
      </c>
      <c r="T67" s="360">
        <v>2</v>
      </c>
      <c r="U67" s="362">
        <v>63</v>
      </c>
      <c r="V67" s="360">
        <v>9</v>
      </c>
      <c r="W67" s="362">
        <v>70</v>
      </c>
      <c r="X67" s="360">
        <v>10</v>
      </c>
      <c r="Y67" s="435">
        <f>SUM(S67+U67+W67)</f>
        <v>147</v>
      </c>
      <c r="Z67" s="436">
        <f>T67+V67+X67</f>
        <v>21</v>
      </c>
      <c r="AA67" s="422">
        <f>IF(Y67&lt;&gt;0,Z67/Q67,"")</f>
        <v>21</v>
      </c>
      <c r="AB67" s="423">
        <f>IF(Y67&lt;&gt;0,Y67/Z67,"")</f>
        <v>7</v>
      </c>
      <c r="AC67" s="427">
        <v>504</v>
      </c>
      <c r="AD67" s="425">
        <f>IF(AC67&lt;&gt;0,-(AC67-Y67)/AC67,"")</f>
        <v>-0.7083333333333334</v>
      </c>
      <c r="AE67" s="690">
        <f>AG67-Y67</f>
        <v>116</v>
      </c>
      <c r="AF67" s="691">
        <f>AH67-Z67</f>
        <v>18</v>
      </c>
      <c r="AG67" s="731">
        <v>263</v>
      </c>
      <c r="AH67" s="732">
        <v>39</v>
      </c>
      <c r="AI67" s="692">
        <f>Z67*1/AH67</f>
        <v>0.5384615384615384</v>
      </c>
      <c r="AJ67" s="692">
        <f>AF67*1/AH67</f>
        <v>0.46153846153846156</v>
      </c>
      <c r="AK67" s="691">
        <f>AH67/Q67</f>
        <v>39</v>
      </c>
      <c r="AL67" s="693">
        <f>AG67/AH67</f>
        <v>6.743589743589744</v>
      </c>
      <c r="AM67" s="694">
        <v>2387</v>
      </c>
      <c r="AN67" s="692">
        <f t="shared" si="0"/>
        <v>-0.889819857561793</v>
      </c>
      <c r="AO67" s="268">
        <v>536187</v>
      </c>
      <c r="AP67" s="269">
        <v>46784</v>
      </c>
      <c r="AQ67" s="452">
        <f>AO67/AP67</f>
        <v>11.460905437756498</v>
      </c>
      <c r="AR67" s="716">
        <v>40977</v>
      </c>
      <c r="AS67" s="413" t="s">
        <v>518</v>
      </c>
      <c r="AT67" s="60"/>
    </row>
    <row r="68" spans="1:46" s="10" customFormat="1" ht="15.75">
      <c r="A68" s="331" t="s">
        <v>524</v>
      </c>
      <c r="B68" s="332"/>
      <c r="C68" s="312"/>
      <c r="D68" s="312"/>
      <c r="E68" s="312"/>
      <c r="F68" s="312"/>
      <c r="G68" s="312"/>
      <c r="H68" s="313"/>
      <c r="I68" s="316" t="s">
        <v>54</v>
      </c>
      <c r="J68" s="209" t="s">
        <v>601</v>
      </c>
      <c r="K68" s="462" t="s">
        <v>588</v>
      </c>
      <c r="L68" s="470" t="s">
        <v>138</v>
      </c>
      <c r="M68" s="461" t="s">
        <v>601</v>
      </c>
      <c r="N68" s="464">
        <v>40942</v>
      </c>
      <c r="O68" s="465" t="s">
        <v>53</v>
      </c>
      <c r="P68" s="274">
        <v>95</v>
      </c>
      <c r="Q68" s="275">
        <v>1</v>
      </c>
      <c r="R68" s="275">
        <v>6</v>
      </c>
      <c r="S68" s="556">
        <v>0</v>
      </c>
      <c r="T68" s="557">
        <v>0</v>
      </c>
      <c r="U68" s="556">
        <v>48</v>
      </c>
      <c r="V68" s="557">
        <v>6</v>
      </c>
      <c r="W68" s="556">
        <v>67</v>
      </c>
      <c r="X68" s="557">
        <v>8</v>
      </c>
      <c r="Y68" s="435">
        <f>SUM(S68+U68+W68)</f>
        <v>115</v>
      </c>
      <c r="Z68" s="436">
        <f>T68+V68+X68</f>
        <v>14</v>
      </c>
      <c r="AA68" s="422">
        <f>IF(Y68&lt;&gt;0,Z68/Q68,"")</f>
        <v>14</v>
      </c>
      <c r="AB68" s="423">
        <f>IF(Y68&lt;&gt;0,Y68/Z68,"")</f>
        <v>8.214285714285714</v>
      </c>
      <c r="AC68" s="426">
        <v>802</v>
      </c>
      <c r="AD68" s="425">
        <f>IF(AC68&lt;&gt;0,-(AC68-Y68)/AC68,"")</f>
        <v>-0.8566084788029925</v>
      </c>
      <c r="AE68" s="690">
        <f>AG68-Y68</f>
        <v>65</v>
      </c>
      <c r="AF68" s="691">
        <f>AH68-Z68</f>
        <v>8</v>
      </c>
      <c r="AG68" s="729">
        <v>180</v>
      </c>
      <c r="AH68" s="730">
        <v>22</v>
      </c>
      <c r="AI68" s="692">
        <f>Z68*1/AH68</f>
        <v>0.6363636363636364</v>
      </c>
      <c r="AJ68" s="692">
        <f>AF68*1/AH68</f>
        <v>0.36363636363636365</v>
      </c>
      <c r="AK68" s="691">
        <f>AH68/Q68</f>
        <v>22</v>
      </c>
      <c r="AL68" s="693">
        <f>AG68/AH68</f>
        <v>8.181818181818182</v>
      </c>
      <c r="AM68" s="696">
        <v>4237</v>
      </c>
      <c r="AN68" s="692">
        <f t="shared" si="0"/>
        <v>-0.9575171111635591</v>
      </c>
      <c r="AO68" s="276">
        <f>166893.1+124753.91+25288.04+4237+1396+180</f>
        <v>322748.05</v>
      </c>
      <c r="AP68" s="277">
        <f>18839+14893+3105+518+139+22</f>
        <v>37516</v>
      </c>
      <c r="AQ68" s="452">
        <f>AO68/AP68</f>
        <v>8.60294407719373</v>
      </c>
      <c r="AR68" s="716">
        <v>40977</v>
      </c>
      <c r="AS68" s="413" t="s">
        <v>511</v>
      </c>
      <c r="AT68" s="60"/>
    </row>
    <row r="69" spans="1:46" s="10" customFormat="1" ht="15.75" hidden="1">
      <c r="A69" s="331"/>
      <c r="B69" s="332"/>
      <c r="C69" s="312"/>
      <c r="D69" s="332"/>
      <c r="E69" s="332"/>
      <c r="F69" s="332"/>
      <c r="G69" s="332"/>
      <c r="H69" s="313"/>
      <c r="I69" s="326"/>
      <c r="J69" s="210" t="s">
        <v>609</v>
      </c>
      <c r="K69" s="461" t="s">
        <v>615</v>
      </c>
      <c r="L69" s="461" t="s">
        <v>128</v>
      </c>
      <c r="M69" s="463" t="s">
        <v>616</v>
      </c>
      <c r="N69" s="464">
        <v>40949</v>
      </c>
      <c r="O69" s="465" t="s">
        <v>68</v>
      </c>
      <c r="P69" s="258">
        <v>30</v>
      </c>
      <c r="Q69" s="259">
        <v>6</v>
      </c>
      <c r="R69" s="259">
        <v>4</v>
      </c>
      <c r="S69" s="554">
        <v>3348.5</v>
      </c>
      <c r="T69" s="555">
        <v>207</v>
      </c>
      <c r="U69" s="554">
        <v>4656.5</v>
      </c>
      <c r="V69" s="555">
        <v>303</v>
      </c>
      <c r="W69" s="554">
        <v>5260</v>
      </c>
      <c r="X69" s="555">
        <v>328</v>
      </c>
      <c r="Y69" s="435">
        <f>SUM(S69+U69+W69)</f>
        <v>13265</v>
      </c>
      <c r="Z69" s="436">
        <f>T69+V69+X69</f>
        <v>838</v>
      </c>
      <c r="AA69" s="422">
        <f>IF(Y69&lt;&gt;0,Z69/Q69,"")</f>
        <v>139.66666666666666</v>
      </c>
      <c r="AB69" s="423">
        <f>IF(Y69&lt;&gt;0,Y69/Z69,"")</f>
        <v>15.829355608591886</v>
      </c>
      <c r="AC69" s="426">
        <v>13265</v>
      </c>
      <c r="AD69" s="425">
        <f>IF(AC69&lt;&gt;0,-(AC69-Y69)/AC69,"")</f>
        <v>0</v>
      </c>
      <c r="AE69" s="690">
        <f>AG69-Y69</f>
        <v>7126</v>
      </c>
      <c r="AF69" s="691">
        <f>AH69-Z69</f>
        <v>620</v>
      </c>
      <c r="AG69" s="705">
        <v>20391</v>
      </c>
      <c r="AH69" s="706">
        <v>1458</v>
      </c>
      <c r="AI69" s="692">
        <f>Z69*1/AH69</f>
        <v>0.5747599451303155</v>
      </c>
      <c r="AJ69" s="692">
        <f>AF69*1/AH69</f>
        <v>0.4252400548696845</v>
      </c>
      <c r="AK69" s="691">
        <f>AH69/Q69</f>
        <v>243</v>
      </c>
      <c r="AL69" s="693">
        <f>AG69/AH69</f>
        <v>13.98559670781893</v>
      </c>
      <c r="AM69" s="695">
        <v>59444.68</v>
      </c>
      <c r="AN69" s="692"/>
      <c r="AO69" s="270">
        <f>252789.19+123971.25+59444.68+20391</f>
        <v>456596.12</v>
      </c>
      <c r="AP69" s="272">
        <f>19304+9364+4801+1458</f>
        <v>34927</v>
      </c>
      <c r="AQ69" s="452">
        <f>AO69/AP69</f>
        <v>13.07286969965929</v>
      </c>
      <c r="AR69" s="716">
        <v>40970</v>
      </c>
      <c r="AS69" s="413" t="s">
        <v>480</v>
      </c>
      <c r="AT69" s="60"/>
    </row>
    <row r="70" spans="1:46" s="10" customFormat="1" ht="15.75" hidden="1">
      <c r="A70" s="331"/>
      <c r="B70" s="311"/>
      <c r="C70" s="315" t="s">
        <v>261</v>
      </c>
      <c r="D70" s="312"/>
      <c r="E70" s="312"/>
      <c r="F70" s="312"/>
      <c r="G70" s="312"/>
      <c r="H70" s="313"/>
      <c r="I70" s="316" t="s">
        <v>54</v>
      </c>
      <c r="J70" s="207" t="s">
        <v>67</v>
      </c>
      <c r="K70" s="466" t="s">
        <v>85</v>
      </c>
      <c r="L70" s="466"/>
      <c r="M70" s="466" t="s">
        <v>67</v>
      </c>
      <c r="N70" s="464">
        <v>40844</v>
      </c>
      <c r="O70" s="465" t="s">
        <v>68</v>
      </c>
      <c r="P70" s="258">
        <v>278</v>
      </c>
      <c r="Q70" s="259">
        <v>1</v>
      </c>
      <c r="R70" s="259">
        <v>19</v>
      </c>
      <c r="S70" s="554">
        <v>0</v>
      </c>
      <c r="T70" s="555">
        <v>0</v>
      </c>
      <c r="U70" s="554">
        <v>0</v>
      </c>
      <c r="V70" s="555">
        <v>0</v>
      </c>
      <c r="W70" s="554">
        <v>0</v>
      </c>
      <c r="X70" s="555">
        <v>0</v>
      </c>
      <c r="Y70" s="435">
        <f>SUM(S70+U70+W70)</f>
        <v>0</v>
      </c>
      <c r="Z70" s="436">
        <f>T70+V70+X70</f>
        <v>0</v>
      </c>
      <c r="AA70" s="422">
        <f>IF(Y70&lt;&gt;0,Z70/Q70,"")</f>
      </c>
      <c r="AB70" s="423">
        <f>IF(Y70&lt;&gt;0,Y70/Z70,"")</f>
      </c>
      <c r="AC70" s="426">
        <v>0</v>
      </c>
      <c r="AD70" s="425">
        <f>IF(AC70&lt;&gt;0,-(AC70-Y70)/AC70,"")</f>
      </c>
      <c r="AE70" s="690">
        <f>AG70-Y70</f>
        <v>4832</v>
      </c>
      <c r="AF70" s="691">
        <f>AH70-Z70</f>
        <v>673</v>
      </c>
      <c r="AG70" s="705">
        <v>4832</v>
      </c>
      <c r="AH70" s="706">
        <v>673</v>
      </c>
      <c r="AI70" s="692">
        <f>Z70*1/AH70</f>
        <v>0</v>
      </c>
      <c r="AJ70" s="692">
        <f>AF70*1/AH70</f>
        <v>1</v>
      </c>
      <c r="AK70" s="691">
        <f>AH70/Q70</f>
        <v>673</v>
      </c>
      <c r="AL70" s="693">
        <f>AG70/AH70</f>
        <v>7.179791976225855</v>
      </c>
      <c r="AM70" s="694"/>
      <c r="AN70" s="692">
        <f>IF(AM70&lt;&gt;0,-(AM70-AG70)/AM70,"")</f>
      </c>
      <c r="AO70" s="270">
        <f>2021467.25+4147826.75+1641146.5+1086471.5+837723.5+353523.5+115157+12431.5+1554+13261.5+3397.5+17222.5+17226.5+5821+1188+2851+2851+2530+4832</f>
        <v>10288482.5</v>
      </c>
      <c r="AP70" s="272">
        <f>231121+459388+190384+130345+104513+46481+14878+1830+250+1860+737+1888+2090+661+238+570+284+543+673</f>
        <v>1188734</v>
      </c>
      <c r="AQ70" s="452">
        <f>AO70/AP70</f>
        <v>8.654991360556693</v>
      </c>
      <c r="AR70" s="716">
        <v>40970</v>
      </c>
      <c r="AS70" s="413" t="s">
        <v>489</v>
      </c>
      <c r="AT70" s="60"/>
    </row>
    <row r="71" spans="1:46" s="10" customFormat="1" ht="15.75" hidden="1">
      <c r="A71" s="331"/>
      <c r="B71" s="332"/>
      <c r="C71" s="312"/>
      <c r="D71" s="332"/>
      <c r="E71" s="332"/>
      <c r="F71" s="312"/>
      <c r="G71" s="332"/>
      <c r="H71" s="313"/>
      <c r="I71" s="314"/>
      <c r="J71" s="211" t="s">
        <v>604</v>
      </c>
      <c r="K71" s="465" t="s">
        <v>605</v>
      </c>
      <c r="L71" s="465" t="s">
        <v>394</v>
      </c>
      <c r="M71" s="465" t="s">
        <v>603</v>
      </c>
      <c r="N71" s="467">
        <v>40949</v>
      </c>
      <c r="O71" s="465" t="s">
        <v>370</v>
      </c>
      <c r="P71" s="258">
        <v>27</v>
      </c>
      <c r="Q71" s="259">
        <v>5</v>
      </c>
      <c r="R71" s="259">
        <v>4</v>
      </c>
      <c r="S71" s="483">
        <v>1056</v>
      </c>
      <c r="T71" s="484">
        <v>121</v>
      </c>
      <c r="U71" s="483">
        <v>909</v>
      </c>
      <c r="V71" s="484">
        <v>99</v>
      </c>
      <c r="W71" s="483">
        <v>661</v>
      </c>
      <c r="X71" s="484">
        <v>67</v>
      </c>
      <c r="Y71" s="435">
        <f>SUM(S71+U71+W71)</f>
        <v>2626</v>
      </c>
      <c r="Z71" s="436">
        <f>T71+V71+X71</f>
        <v>287</v>
      </c>
      <c r="AA71" s="422">
        <f>IF(Y71&lt;&gt;0,Z71/Q71,"")</f>
        <v>57.4</v>
      </c>
      <c r="AB71" s="423">
        <f>IF(Y71&lt;&gt;0,Y71/Z71,"")</f>
        <v>9.149825783972126</v>
      </c>
      <c r="AC71" s="424">
        <v>2626</v>
      </c>
      <c r="AD71" s="425">
        <f>IF(AC71&lt;&gt;0,-(AC71-Y71)/AC71,"")</f>
        <v>0</v>
      </c>
      <c r="AE71" s="690">
        <f>AG71-Y71</f>
        <v>1831</v>
      </c>
      <c r="AF71" s="691">
        <f>AH71-Z71</f>
        <v>194</v>
      </c>
      <c r="AG71" s="697">
        <v>4457</v>
      </c>
      <c r="AH71" s="698">
        <v>481</v>
      </c>
      <c r="AI71" s="692">
        <f>Z71*1/AH71</f>
        <v>0.5966735966735967</v>
      </c>
      <c r="AJ71" s="692">
        <f>AF71*1/AH71</f>
        <v>0.40332640332640335</v>
      </c>
      <c r="AK71" s="691">
        <f>AH71/Q71</f>
        <v>96.2</v>
      </c>
      <c r="AL71" s="693">
        <f>AG71/AH71</f>
        <v>9.266112266112266</v>
      </c>
      <c r="AM71" s="694">
        <v>34932</v>
      </c>
      <c r="AN71" s="692"/>
      <c r="AO71" s="483">
        <v>307965</v>
      </c>
      <c r="AP71" s="484">
        <v>25431</v>
      </c>
      <c r="AQ71" s="452">
        <f>AO71/AP71</f>
        <v>12.109826589595375</v>
      </c>
      <c r="AR71" s="716">
        <v>40970</v>
      </c>
      <c r="AS71" s="413" t="s">
        <v>490</v>
      </c>
      <c r="AT71" s="60"/>
    </row>
    <row r="72" spans="1:46" s="10" customFormat="1" ht="15.75" hidden="1">
      <c r="A72" s="331"/>
      <c r="B72" s="312"/>
      <c r="C72" s="312"/>
      <c r="D72" s="312"/>
      <c r="E72" s="312"/>
      <c r="F72" s="312"/>
      <c r="G72" s="312"/>
      <c r="H72" s="313"/>
      <c r="I72" s="316" t="s">
        <v>54</v>
      </c>
      <c r="J72" s="282" t="s">
        <v>381</v>
      </c>
      <c r="K72" s="465" t="s">
        <v>382</v>
      </c>
      <c r="L72" s="465"/>
      <c r="M72" s="465" t="s">
        <v>381</v>
      </c>
      <c r="N72" s="464">
        <v>40921</v>
      </c>
      <c r="O72" s="465" t="s">
        <v>52</v>
      </c>
      <c r="P72" s="258">
        <v>49</v>
      </c>
      <c r="Q72" s="259">
        <v>2</v>
      </c>
      <c r="R72" s="259">
        <v>8</v>
      </c>
      <c r="S72" s="261">
        <v>230</v>
      </c>
      <c r="T72" s="262">
        <v>37</v>
      </c>
      <c r="U72" s="261">
        <v>830</v>
      </c>
      <c r="V72" s="262">
        <v>132</v>
      </c>
      <c r="W72" s="261">
        <v>767</v>
      </c>
      <c r="X72" s="262">
        <v>120</v>
      </c>
      <c r="Y72" s="435">
        <f>SUM(S72+U72+W72)</f>
        <v>1827</v>
      </c>
      <c r="Z72" s="436">
        <f>T72+V72+X72</f>
        <v>289</v>
      </c>
      <c r="AA72" s="422">
        <f>IF(Y72&lt;&gt;0,Z72/Q72,"")</f>
        <v>144.5</v>
      </c>
      <c r="AB72" s="423">
        <f>IF(Y72&lt;&gt;0,Y72/Z72,"")</f>
        <v>6.321799307958478</v>
      </c>
      <c r="AC72" s="426">
        <v>1827</v>
      </c>
      <c r="AD72" s="425">
        <f>IF(AC72&lt;&gt;0,-(AC72-Y72)/AC72,"")</f>
        <v>0</v>
      </c>
      <c r="AE72" s="690">
        <f>AG72-Y72</f>
        <v>1616</v>
      </c>
      <c r="AF72" s="691">
        <f>AH72-Z72</f>
        <v>272</v>
      </c>
      <c r="AG72" s="699">
        <v>3443</v>
      </c>
      <c r="AH72" s="700">
        <v>561</v>
      </c>
      <c r="AI72" s="692">
        <f>Z72*1/AH72</f>
        <v>0.5151515151515151</v>
      </c>
      <c r="AJ72" s="692">
        <f>AF72*1/AH72</f>
        <v>0.48484848484848486</v>
      </c>
      <c r="AK72" s="691">
        <f>AH72/Q72</f>
        <v>280.5</v>
      </c>
      <c r="AL72" s="693">
        <f>AG72/AH72</f>
        <v>6.137254901960785</v>
      </c>
      <c r="AM72" s="695">
        <v>8256</v>
      </c>
      <c r="AN72" s="692">
        <f>IF(AM72&lt;&gt;0,-(AM72-AG72)/AM72,"")</f>
        <v>-0.5829699612403101</v>
      </c>
      <c r="AO72" s="276">
        <f>357713+343246.5+115529.5+51137+24830.5+11883+8256+3443</f>
        <v>916038.5</v>
      </c>
      <c r="AP72" s="277">
        <f>33400+31498+10192+4818+3004+1638+1139+561</f>
        <v>86250</v>
      </c>
      <c r="AQ72" s="452">
        <f>AO72/AP72</f>
        <v>10.620736231884058</v>
      </c>
      <c r="AR72" s="716">
        <v>40970</v>
      </c>
      <c r="AS72" s="413" t="s">
        <v>494</v>
      </c>
      <c r="AT72" s="60"/>
    </row>
    <row r="73" spans="1:46" s="10" customFormat="1" ht="15.75" hidden="1">
      <c r="A73" s="331"/>
      <c r="B73" s="321"/>
      <c r="C73" s="315" t="s">
        <v>261</v>
      </c>
      <c r="D73" s="322"/>
      <c r="E73" s="322"/>
      <c r="F73" s="312"/>
      <c r="G73" s="322"/>
      <c r="H73" s="317" t="s">
        <v>55</v>
      </c>
      <c r="I73" s="316" t="s">
        <v>54</v>
      </c>
      <c r="J73" s="209" t="s">
        <v>74</v>
      </c>
      <c r="K73" s="470" t="s">
        <v>80</v>
      </c>
      <c r="L73" s="470"/>
      <c r="M73" s="470" t="s">
        <v>74</v>
      </c>
      <c r="N73" s="464">
        <v>40851</v>
      </c>
      <c r="O73" s="465" t="s">
        <v>53</v>
      </c>
      <c r="P73" s="266">
        <v>247</v>
      </c>
      <c r="Q73" s="275">
        <v>1</v>
      </c>
      <c r="R73" s="275">
        <v>18</v>
      </c>
      <c r="S73" s="480">
        <v>762</v>
      </c>
      <c r="T73" s="481">
        <v>152</v>
      </c>
      <c r="U73" s="480">
        <v>750</v>
      </c>
      <c r="V73" s="481">
        <v>150</v>
      </c>
      <c r="W73" s="480">
        <v>890</v>
      </c>
      <c r="X73" s="481">
        <v>178</v>
      </c>
      <c r="Y73" s="435">
        <f>SUM(S73+U73+W73)</f>
        <v>2402</v>
      </c>
      <c r="Z73" s="436">
        <f>T73+V73+X73</f>
        <v>480</v>
      </c>
      <c r="AA73" s="422">
        <f>IF(Y73&lt;&gt;0,Z73/Q73,"")</f>
        <v>480</v>
      </c>
      <c r="AB73" s="423">
        <f>IF(Y73&lt;&gt;0,Y73/Z73,"")</f>
        <v>5.004166666666666</v>
      </c>
      <c r="AC73" s="426">
        <v>2402</v>
      </c>
      <c r="AD73" s="425">
        <f>IF(AC73&lt;&gt;0,-(AC73-Y73)/AC73,"")</f>
        <v>0</v>
      </c>
      <c r="AE73" s="690">
        <f>AG73-Y73</f>
        <v>0</v>
      </c>
      <c r="AF73" s="691">
        <f>AH73-Z73</f>
        <v>0</v>
      </c>
      <c r="AG73" s="699">
        <v>2402</v>
      </c>
      <c r="AH73" s="700">
        <v>480</v>
      </c>
      <c r="AI73" s="692">
        <f>Z73*1/AH73</f>
        <v>1</v>
      </c>
      <c r="AJ73" s="692">
        <f>AF73*1/AH73</f>
        <v>0</v>
      </c>
      <c r="AK73" s="691">
        <f>AH73/Q73</f>
        <v>480</v>
      </c>
      <c r="AL73" s="693">
        <f>AG73/AH73</f>
        <v>5.004166666666666</v>
      </c>
      <c r="AM73" s="695">
        <v>350</v>
      </c>
      <c r="AN73" s="692">
        <f>IF(AM73&lt;&gt;0,-(AM73-AG73)/AM73,"")</f>
        <v>5.862857142857143</v>
      </c>
      <c r="AO73" s="276">
        <f>2260223+2366876.75+3859638+3137342+1906742.5+252.25+1189485.5+474275+250512+184428+13126+754+5006+188+4804+3604+350+2402</f>
        <v>15660009</v>
      </c>
      <c r="AP73" s="277">
        <f>286038+329194+554088+452220+278080+42+178270+68355+40409+33224+1975+104+988+22+960+721+70+480</f>
        <v>2225240</v>
      </c>
      <c r="AQ73" s="452">
        <f>AO73/AP73</f>
        <v>7.037447196706872</v>
      </c>
      <c r="AR73" s="716">
        <v>40970</v>
      </c>
      <c r="AS73" s="413" t="s">
        <v>496</v>
      </c>
      <c r="AT73" s="60"/>
    </row>
    <row r="74" spans="1:46" s="10" customFormat="1" ht="15.75" hidden="1">
      <c r="A74" s="331"/>
      <c r="B74" s="311"/>
      <c r="C74" s="315" t="s">
        <v>261</v>
      </c>
      <c r="D74" s="312"/>
      <c r="E74" s="312"/>
      <c r="F74" s="312"/>
      <c r="G74" s="312"/>
      <c r="H74" s="313"/>
      <c r="I74" s="313"/>
      <c r="J74" s="282" t="s">
        <v>241</v>
      </c>
      <c r="K74" s="465" t="s">
        <v>129</v>
      </c>
      <c r="L74" s="465" t="s">
        <v>79</v>
      </c>
      <c r="M74" s="465" t="s">
        <v>242</v>
      </c>
      <c r="N74" s="464">
        <v>40781</v>
      </c>
      <c r="O74" s="465" t="s">
        <v>13</v>
      </c>
      <c r="P74" s="258">
        <v>10</v>
      </c>
      <c r="Q74" s="259">
        <v>1</v>
      </c>
      <c r="R74" s="259">
        <v>9</v>
      </c>
      <c r="S74" s="261">
        <v>0</v>
      </c>
      <c r="T74" s="262">
        <v>0</v>
      </c>
      <c r="U74" s="261">
        <v>0</v>
      </c>
      <c r="V74" s="262">
        <v>0</v>
      </c>
      <c r="W74" s="261">
        <v>0</v>
      </c>
      <c r="X74" s="262">
        <v>0</v>
      </c>
      <c r="Y74" s="435">
        <f>SUM(S74+U74+W74)</f>
        <v>0</v>
      </c>
      <c r="Z74" s="436">
        <f>T74+V74+X74</f>
        <v>0</v>
      </c>
      <c r="AA74" s="422">
        <f>IF(Y74&lt;&gt;0,Z74/Q74,"")</f>
      </c>
      <c r="AB74" s="423">
        <f>IF(Y74&lt;&gt;0,Y74/Z74,"")</f>
      </c>
      <c r="AC74" s="426">
        <v>0</v>
      </c>
      <c r="AD74" s="425">
        <f>IF(AC74&lt;&gt;0,-(AC74-Y74)/AC74,"")</f>
      </c>
      <c r="AE74" s="690">
        <f>AG74-Y74</f>
        <v>2376</v>
      </c>
      <c r="AF74" s="691">
        <f>AH74-Z74</f>
        <v>476</v>
      </c>
      <c r="AG74" s="699">
        <v>2376</v>
      </c>
      <c r="AH74" s="700">
        <v>476</v>
      </c>
      <c r="AI74" s="692">
        <f>Z74*1/AH74</f>
        <v>0</v>
      </c>
      <c r="AJ74" s="692">
        <f>AF74*1/AH74</f>
        <v>1</v>
      </c>
      <c r="AK74" s="691">
        <f>AH74/Q74</f>
        <v>476</v>
      </c>
      <c r="AL74" s="693">
        <f>AG74/AH74</f>
        <v>4.991596638655462</v>
      </c>
      <c r="AM74" s="695">
        <v>1188</v>
      </c>
      <c r="AN74" s="692">
        <f>IF(AM74&lt;&gt;0,-(AM74-AG74)/AM74,"")</f>
        <v>1</v>
      </c>
      <c r="AO74" s="261">
        <v>34812</v>
      </c>
      <c r="AP74" s="262">
        <v>4571</v>
      </c>
      <c r="AQ74" s="452">
        <f>AO74/AP74</f>
        <v>7.615838984904835</v>
      </c>
      <c r="AR74" s="716">
        <v>40970</v>
      </c>
      <c r="AS74" s="413" t="s">
        <v>500</v>
      </c>
      <c r="AT74" s="60"/>
    </row>
    <row r="75" spans="1:46" s="10" customFormat="1" ht="15.75" hidden="1">
      <c r="A75" s="331"/>
      <c r="B75" s="332"/>
      <c r="C75" s="315" t="s">
        <v>261</v>
      </c>
      <c r="D75" s="332"/>
      <c r="E75" s="332"/>
      <c r="F75" s="312"/>
      <c r="G75" s="332"/>
      <c r="H75" s="313"/>
      <c r="I75" s="314"/>
      <c r="J75" s="211" t="s">
        <v>378</v>
      </c>
      <c r="K75" s="462" t="s">
        <v>377</v>
      </c>
      <c r="L75" s="465" t="s">
        <v>248</v>
      </c>
      <c r="M75" s="465" t="s">
        <v>379</v>
      </c>
      <c r="N75" s="464">
        <v>40893</v>
      </c>
      <c r="O75" s="465" t="s">
        <v>332</v>
      </c>
      <c r="P75" s="258">
        <v>8</v>
      </c>
      <c r="Q75" s="259">
        <v>2</v>
      </c>
      <c r="R75" s="259">
        <v>6</v>
      </c>
      <c r="S75" s="261">
        <v>270</v>
      </c>
      <c r="T75" s="262">
        <v>54</v>
      </c>
      <c r="U75" s="261">
        <v>700</v>
      </c>
      <c r="V75" s="262">
        <v>140</v>
      </c>
      <c r="W75" s="261">
        <v>750</v>
      </c>
      <c r="X75" s="262">
        <v>150</v>
      </c>
      <c r="Y75" s="435">
        <f>SUM(S75+U75+W75)</f>
        <v>1720</v>
      </c>
      <c r="Z75" s="436">
        <f>T75+V75+X75</f>
        <v>344</v>
      </c>
      <c r="AA75" s="422">
        <f>IF(Y75&lt;&gt;0,Z75/Q75,"")</f>
        <v>172</v>
      </c>
      <c r="AB75" s="423">
        <f>IF(Y75&lt;&gt;0,Y75/Z75,"")</f>
        <v>5</v>
      </c>
      <c r="AC75" s="424">
        <v>1720</v>
      </c>
      <c r="AD75" s="425">
        <f>IF(AC75&lt;&gt;0,-(AC75-Y75)/AC75,"")</f>
        <v>0</v>
      </c>
      <c r="AE75" s="690">
        <f>AG75-Y75</f>
        <v>656</v>
      </c>
      <c r="AF75" s="691">
        <f>AH75-Z75</f>
        <v>132</v>
      </c>
      <c r="AG75" s="699">
        <v>2376</v>
      </c>
      <c r="AH75" s="700">
        <v>476</v>
      </c>
      <c r="AI75" s="692">
        <f>Z75*1/AH75</f>
        <v>0.7226890756302521</v>
      </c>
      <c r="AJ75" s="692">
        <f>AF75*1/AH75</f>
        <v>0.2773109243697479</v>
      </c>
      <c r="AK75" s="691">
        <f>AH75/Q75</f>
        <v>238</v>
      </c>
      <c r="AL75" s="693">
        <f>AG75/AH75</f>
        <v>4.991596638655462</v>
      </c>
      <c r="AM75" s="694">
        <v>11405.5</v>
      </c>
      <c r="AN75" s="692">
        <f>IF(AM75&lt;&gt;0,-(AM75-AG75)/AM75,"")</f>
        <v>-0.7916794528955329</v>
      </c>
      <c r="AO75" s="261">
        <v>42965.5</v>
      </c>
      <c r="AP75" s="262">
        <v>4578</v>
      </c>
      <c r="AQ75" s="452">
        <f>AO75/AP75</f>
        <v>9.385211882918306</v>
      </c>
      <c r="AR75" s="716">
        <v>40970</v>
      </c>
      <c r="AS75" s="413" t="s">
        <v>501</v>
      </c>
      <c r="AT75" s="60"/>
    </row>
    <row r="76" spans="1:46" s="10" customFormat="1" ht="15.75" hidden="1">
      <c r="A76" s="331"/>
      <c r="B76" s="312"/>
      <c r="C76" s="315" t="s">
        <v>261</v>
      </c>
      <c r="D76" s="312"/>
      <c r="E76" s="312"/>
      <c r="F76" s="312"/>
      <c r="G76" s="312"/>
      <c r="H76" s="313"/>
      <c r="I76" s="313"/>
      <c r="J76" s="282" t="s">
        <v>702</v>
      </c>
      <c r="K76" s="465" t="s">
        <v>707</v>
      </c>
      <c r="L76" s="465" t="s">
        <v>708</v>
      </c>
      <c r="M76" s="465" t="s">
        <v>703</v>
      </c>
      <c r="N76" s="464">
        <v>40922</v>
      </c>
      <c r="O76" s="465" t="s">
        <v>332</v>
      </c>
      <c r="P76" s="258">
        <v>7</v>
      </c>
      <c r="Q76" s="259">
        <v>2</v>
      </c>
      <c r="R76" s="259">
        <v>14</v>
      </c>
      <c r="S76" s="261">
        <v>0</v>
      </c>
      <c r="T76" s="262">
        <v>0</v>
      </c>
      <c r="U76" s="261">
        <v>0</v>
      </c>
      <c r="V76" s="262">
        <v>0</v>
      </c>
      <c r="W76" s="261">
        <v>0</v>
      </c>
      <c r="X76" s="262">
        <v>0</v>
      </c>
      <c r="Y76" s="435">
        <f>SUM(S76+U76+W76)</f>
        <v>0</v>
      </c>
      <c r="Z76" s="436">
        <f>T76+V76+X76</f>
        <v>0</v>
      </c>
      <c r="AA76" s="422">
        <f>IF(Y76&lt;&gt;0,Z76/Q76,"")</f>
      </c>
      <c r="AB76" s="423">
        <f>IF(Y76&lt;&gt;0,Y76/Z76,"")</f>
      </c>
      <c r="AC76" s="426">
        <v>0</v>
      </c>
      <c r="AD76" s="425">
        <f>IF(AC76&lt;&gt;0,-(AC76-Y76)/AC76,"")</f>
      </c>
      <c r="AE76" s="690">
        <f>AG76-Y76</f>
        <v>2376</v>
      </c>
      <c r="AF76" s="691">
        <f>AH76-Z76</f>
        <v>476</v>
      </c>
      <c r="AG76" s="699">
        <v>2376</v>
      </c>
      <c r="AH76" s="700">
        <v>476</v>
      </c>
      <c r="AI76" s="692">
        <f>Z76*1/AH76</f>
        <v>0</v>
      </c>
      <c r="AJ76" s="692">
        <f>AF76*1/AH76</f>
        <v>1</v>
      </c>
      <c r="AK76" s="691">
        <f>AH76/Q76</f>
        <v>238</v>
      </c>
      <c r="AL76" s="693">
        <f>AG76/AH76</f>
        <v>4.991596638655462</v>
      </c>
      <c r="AM76" s="695"/>
      <c r="AN76" s="692"/>
      <c r="AO76" s="261">
        <v>108609</v>
      </c>
      <c r="AP76" s="262">
        <v>8894</v>
      </c>
      <c r="AQ76" s="452">
        <f>AO76/AP76</f>
        <v>12.211490892736677</v>
      </c>
      <c r="AR76" s="716">
        <v>40970</v>
      </c>
      <c r="AS76" s="413" t="s">
        <v>499</v>
      </c>
      <c r="AT76" s="252"/>
    </row>
    <row r="77" spans="1:46" s="10" customFormat="1" ht="15.75" hidden="1">
      <c r="A77" s="331"/>
      <c r="B77" s="311"/>
      <c r="C77" s="315" t="s">
        <v>261</v>
      </c>
      <c r="D77" s="312"/>
      <c r="E77" s="312"/>
      <c r="F77" s="312"/>
      <c r="G77" s="312"/>
      <c r="H77" s="313"/>
      <c r="I77" s="314"/>
      <c r="J77" s="207" t="s">
        <v>712</v>
      </c>
      <c r="K77" s="462" t="s">
        <v>396</v>
      </c>
      <c r="L77" s="461" t="s">
        <v>260</v>
      </c>
      <c r="M77" s="466" t="s">
        <v>713</v>
      </c>
      <c r="N77" s="464">
        <v>40704</v>
      </c>
      <c r="O77" s="465" t="s">
        <v>68</v>
      </c>
      <c r="P77" s="258">
        <v>5</v>
      </c>
      <c r="Q77" s="259">
        <v>1</v>
      </c>
      <c r="R77" s="259">
        <v>16</v>
      </c>
      <c r="S77" s="554">
        <v>0</v>
      </c>
      <c r="T77" s="555">
        <v>0</v>
      </c>
      <c r="U77" s="554">
        <v>0</v>
      </c>
      <c r="V77" s="555">
        <v>0</v>
      </c>
      <c r="W77" s="554">
        <v>0</v>
      </c>
      <c r="X77" s="555">
        <v>0</v>
      </c>
      <c r="Y77" s="435">
        <f>SUM(S77+U77+W77)</f>
        <v>0</v>
      </c>
      <c r="Z77" s="436">
        <f>T77+V77+X77</f>
        <v>0</v>
      </c>
      <c r="AA77" s="422"/>
      <c r="AB77" s="423"/>
      <c r="AC77" s="426">
        <v>0</v>
      </c>
      <c r="AD77" s="425">
        <f>IF(AC77&lt;&gt;0,-(AC77-Y77)/AC77,"")</f>
      </c>
      <c r="AE77" s="690">
        <f>AG77-Y77</f>
        <v>1782</v>
      </c>
      <c r="AF77" s="691">
        <f>AH77-Z77</f>
        <v>356</v>
      </c>
      <c r="AG77" s="705">
        <v>1782</v>
      </c>
      <c r="AH77" s="706">
        <v>356</v>
      </c>
      <c r="AI77" s="692">
        <f>Z77*1/AH77</f>
        <v>0</v>
      </c>
      <c r="AJ77" s="692">
        <f>AF77*1/AH77</f>
        <v>1</v>
      </c>
      <c r="AK77" s="691">
        <f>AH77/Q77</f>
        <v>356</v>
      </c>
      <c r="AL77" s="693">
        <f>AG77/AH77</f>
        <v>5.00561797752809</v>
      </c>
      <c r="AM77" s="694"/>
      <c r="AN77" s="692"/>
      <c r="AO77" s="270">
        <f>20401.5+5027+2422+1135.5+4917+1138.5+597+1238.5+1934+2721.5+1965.5+798+172+1307+1782+1782</f>
        <v>49339</v>
      </c>
      <c r="AP77" s="272">
        <f>1380+485+214+81+460+135+75+159+185+328+268+93+24+328+446+356</f>
        <v>5017</v>
      </c>
      <c r="AQ77" s="452">
        <f>AO77/AP77</f>
        <v>9.83436316523819</v>
      </c>
      <c r="AR77" s="716">
        <v>40970</v>
      </c>
      <c r="AS77" s="413" t="s">
        <v>505</v>
      </c>
      <c r="AT77" s="60"/>
    </row>
    <row r="78" spans="1:46" s="10" customFormat="1" ht="15.75" hidden="1">
      <c r="A78" s="331"/>
      <c r="B78" s="311"/>
      <c r="C78" s="315" t="s">
        <v>261</v>
      </c>
      <c r="D78" s="312"/>
      <c r="E78" s="312"/>
      <c r="F78" s="312"/>
      <c r="G78" s="312"/>
      <c r="H78" s="313"/>
      <c r="I78" s="316" t="s">
        <v>54</v>
      </c>
      <c r="J78" s="207" t="s">
        <v>710</v>
      </c>
      <c r="K78" s="462" t="s">
        <v>732</v>
      </c>
      <c r="L78" s="461"/>
      <c r="M78" s="466" t="s">
        <v>710</v>
      </c>
      <c r="N78" s="464">
        <v>39836</v>
      </c>
      <c r="O78" s="465" t="s">
        <v>68</v>
      </c>
      <c r="P78" s="258">
        <v>13</v>
      </c>
      <c r="Q78" s="259">
        <v>1</v>
      </c>
      <c r="R78" s="259">
        <v>30</v>
      </c>
      <c r="S78" s="554">
        <v>0</v>
      </c>
      <c r="T78" s="555">
        <v>0</v>
      </c>
      <c r="U78" s="554">
        <v>0</v>
      </c>
      <c r="V78" s="555">
        <v>0</v>
      </c>
      <c r="W78" s="554">
        <v>0</v>
      </c>
      <c r="X78" s="555">
        <v>0</v>
      </c>
      <c r="Y78" s="435">
        <f>SUM(S78+U78+W78)</f>
        <v>0</v>
      </c>
      <c r="Z78" s="436">
        <f>T78+V78+X78</f>
        <v>0</v>
      </c>
      <c r="AA78" s="422"/>
      <c r="AB78" s="423"/>
      <c r="AC78" s="426">
        <v>0</v>
      </c>
      <c r="AD78" s="425">
        <f>IF(AC78&lt;&gt;0,-(AC78-Y78)/AC78,"")</f>
      </c>
      <c r="AE78" s="690">
        <f>AG78-Y78</f>
        <v>1780</v>
      </c>
      <c r="AF78" s="691">
        <f>AH78-Z78</f>
        <v>356</v>
      </c>
      <c r="AG78" s="705">
        <v>1780</v>
      </c>
      <c r="AH78" s="706">
        <v>356</v>
      </c>
      <c r="AI78" s="692">
        <f>Z78*1/AH78</f>
        <v>0</v>
      </c>
      <c r="AJ78" s="692">
        <f>AF78*1/AH78</f>
        <v>1</v>
      </c>
      <c r="AK78" s="691">
        <f>AH78/Q78</f>
        <v>356</v>
      </c>
      <c r="AL78" s="693">
        <f>AG78/AH78</f>
        <v>5</v>
      </c>
      <c r="AM78" s="694"/>
      <c r="AN78" s="692"/>
      <c r="AO78" s="270">
        <f>57133.5+23554+18557+9186+29743.5+13631.5+13446+7072+7029+8018.5+7220.5+2856.5+1828+102+3517+635+324+30+2146+1842+376+154+799+463.52+415.64+339.28+4160+712+230+1780</f>
        <v>217301.44</v>
      </c>
      <c r="AP78" s="272">
        <f>5405+2651+2356+1389+3583+1713+1661+1216+1174+1324+1425+542+453+16+757+96+108+10+508+436+35+14+67+102+95+80+1040+178+60+356</f>
        <v>28850</v>
      </c>
      <c r="AQ78" s="452">
        <f>AO78/AP78</f>
        <v>7.532112305025997</v>
      </c>
      <c r="AR78" s="716">
        <v>40970</v>
      </c>
      <c r="AS78" s="413" t="s">
        <v>506</v>
      </c>
      <c r="AT78" s="60"/>
    </row>
    <row r="79" spans="1:46" s="10" customFormat="1" ht="15.75" hidden="1">
      <c r="A79" s="331"/>
      <c r="B79" s="311"/>
      <c r="C79" s="315" t="s">
        <v>261</v>
      </c>
      <c r="D79" s="312"/>
      <c r="E79" s="312"/>
      <c r="F79" s="312"/>
      <c r="G79" s="312"/>
      <c r="H79" s="313"/>
      <c r="I79" s="316" t="s">
        <v>54</v>
      </c>
      <c r="J79" s="207" t="s">
        <v>711</v>
      </c>
      <c r="K79" s="462" t="s">
        <v>733</v>
      </c>
      <c r="L79" s="461"/>
      <c r="M79" s="466" t="s">
        <v>711</v>
      </c>
      <c r="N79" s="464">
        <v>40613</v>
      </c>
      <c r="O79" s="465" t="s">
        <v>68</v>
      </c>
      <c r="P79" s="258">
        <v>25</v>
      </c>
      <c r="Q79" s="259">
        <v>1</v>
      </c>
      <c r="R79" s="259">
        <v>27</v>
      </c>
      <c r="S79" s="554">
        <v>0</v>
      </c>
      <c r="T79" s="555">
        <v>0</v>
      </c>
      <c r="U79" s="554">
        <v>0</v>
      </c>
      <c r="V79" s="555">
        <v>0</v>
      </c>
      <c r="W79" s="554">
        <v>0</v>
      </c>
      <c r="X79" s="555">
        <v>0</v>
      </c>
      <c r="Y79" s="435">
        <f>SUM(S79+U79+W79)</f>
        <v>0</v>
      </c>
      <c r="Z79" s="436">
        <f>T79+V79+X79</f>
        <v>0</v>
      </c>
      <c r="AA79" s="422"/>
      <c r="AB79" s="423" t="s">
        <v>734</v>
      </c>
      <c r="AC79" s="426">
        <v>0</v>
      </c>
      <c r="AD79" s="425">
        <f>IF(AC79&lt;&gt;0,-(AC79-Y79)/AC79,"")</f>
      </c>
      <c r="AE79" s="690">
        <f>AG79-Y79</f>
        <v>1632</v>
      </c>
      <c r="AF79" s="691">
        <f>AH79-Z79</f>
        <v>204</v>
      </c>
      <c r="AG79" s="705">
        <v>1632</v>
      </c>
      <c r="AH79" s="706">
        <v>204</v>
      </c>
      <c r="AI79" s="692">
        <f>Z79*1/AH79</f>
        <v>0</v>
      </c>
      <c r="AJ79" s="692">
        <f>AF79*1/AH79</f>
        <v>1</v>
      </c>
      <c r="AK79" s="691">
        <f>AH79/Q79</f>
        <v>204</v>
      </c>
      <c r="AL79" s="693">
        <f>AG79/AH79</f>
        <v>8</v>
      </c>
      <c r="AM79" s="694"/>
      <c r="AN79" s="692"/>
      <c r="AO79" s="270">
        <f>75934+53479.5+29060+17465+26762+20460.5+20847+12710+19039+8622+2147+3636+459+653+4560+770+4752+402+297+502+464+1127+1384+88+276+1188+1632</f>
        <v>308716</v>
      </c>
      <c r="AP79" s="272">
        <f>9554+7103+4053+2490+4055+3124+3295+2389+2957+1767+459+626+92+107+609+124+1188+40+48+86+74+161+193+16+46+297+204</f>
        <v>45157</v>
      </c>
      <c r="AQ79" s="452">
        <f>AO79/AP79</f>
        <v>6.836503753570875</v>
      </c>
      <c r="AR79" s="716">
        <v>40970</v>
      </c>
      <c r="AS79" s="413" t="s">
        <v>507</v>
      </c>
      <c r="AT79" s="60"/>
    </row>
    <row r="80" spans="1:46" s="10" customFormat="1" ht="15.75" hidden="1">
      <c r="A80" s="331"/>
      <c r="B80" s="332"/>
      <c r="C80" s="312"/>
      <c r="D80" s="332"/>
      <c r="E80" s="332"/>
      <c r="F80" s="312"/>
      <c r="G80" s="332"/>
      <c r="H80" s="313"/>
      <c r="I80" s="314"/>
      <c r="J80" s="211" t="s">
        <v>374</v>
      </c>
      <c r="K80" s="462" t="s">
        <v>376</v>
      </c>
      <c r="L80" s="465" t="s">
        <v>260</v>
      </c>
      <c r="M80" s="465" t="s">
        <v>375</v>
      </c>
      <c r="N80" s="464">
        <v>40921</v>
      </c>
      <c r="O80" s="465" t="s">
        <v>332</v>
      </c>
      <c r="P80" s="258">
        <v>16</v>
      </c>
      <c r="Q80" s="259">
        <v>1</v>
      </c>
      <c r="R80" s="259">
        <v>7</v>
      </c>
      <c r="S80" s="261">
        <v>50</v>
      </c>
      <c r="T80" s="262">
        <v>10</v>
      </c>
      <c r="U80" s="261">
        <v>200</v>
      </c>
      <c r="V80" s="262">
        <v>40</v>
      </c>
      <c r="W80" s="261">
        <v>250</v>
      </c>
      <c r="X80" s="262">
        <v>50</v>
      </c>
      <c r="Y80" s="435">
        <f>SUM(S80+U80+W80)</f>
        <v>500</v>
      </c>
      <c r="Z80" s="436">
        <f>T80+V80+X80</f>
        <v>100</v>
      </c>
      <c r="AA80" s="422">
        <f>IF(Y80&lt;&gt;0,Z80/Q80,"")</f>
        <v>100</v>
      </c>
      <c r="AB80" s="423">
        <f>IF(Y80&lt;&gt;0,Y80/Z80,"")</f>
        <v>5</v>
      </c>
      <c r="AC80" s="424">
        <v>500</v>
      </c>
      <c r="AD80" s="425">
        <f>IF(AC80&lt;&gt;0,-(AC80-Y80)/AC80,"")</f>
        <v>0</v>
      </c>
      <c r="AE80" s="690">
        <f>AG80-Y80</f>
        <v>1010</v>
      </c>
      <c r="AF80" s="691">
        <f>AH80-Z80</f>
        <v>202</v>
      </c>
      <c r="AG80" s="699">
        <v>1510</v>
      </c>
      <c r="AH80" s="700">
        <v>302</v>
      </c>
      <c r="AI80" s="692">
        <f>Z80*1/AH80</f>
        <v>0.33112582781456956</v>
      </c>
      <c r="AJ80" s="692">
        <f>AF80*1/AH80</f>
        <v>0.6688741721854304</v>
      </c>
      <c r="AK80" s="691">
        <f>AH80/Q80</f>
        <v>302</v>
      </c>
      <c r="AL80" s="693">
        <f>AG80/AH80</f>
        <v>5</v>
      </c>
      <c r="AM80" s="694">
        <v>2012</v>
      </c>
      <c r="AN80" s="692">
        <f>IF(AM80&lt;&gt;0,-(AM80-AG80)/AM80,"")</f>
        <v>-0.24950298210735586</v>
      </c>
      <c r="AO80" s="261">
        <v>148907</v>
      </c>
      <c r="AP80" s="262">
        <v>13521</v>
      </c>
      <c r="AQ80" s="452">
        <f>AO80/AP80</f>
        <v>11.01301678869906</v>
      </c>
      <c r="AR80" s="716">
        <v>40970</v>
      </c>
      <c r="AS80" s="413" t="s">
        <v>508</v>
      </c>
      <c r="AT80" s="60"/>
    </row>
    <row r="81" spans="1:46" s="10" customFormat="1" ht="15.75" hidden="1">
      <c r="A81" s="331"/>
      <c r="B81" s="311"/>
      <c r="C81" s="315" t="s">
        <v>261</v>
      </c>
      <c r="D81" s="324" t="s">
        <v>223</v>
      </c>
      <c r="E81" s="312"/>
      <c r="F81" s="717"/>
      <c r="G81" s="323" t="s">
        <v>292</v>
      </c>
      <c r="H81" s="317" t="s">
        <v>55</v>
      </c>
      <c r="I81" s="314"/>
      <c r="J81" s="207" t="s">
        <v>357</v>
      </c>
      <c r="K81" s="466" t="s">
        <v>126</v>
      </c>
      <c r="L81" s="461" t="s">
        <v>89</v>
      </c>
      <c r="M81" s="466" t="s">
        <v>361</v>
      </c>
      <c r="N81" s="464">
        <v>40172</v>
      </c>
      <c r="O81" s="465" t="s">
        <v>68</v>
      </c>
      <c r="P81" s="258">
        <v>60</v>
      </c>
      <c r="Q81" s="259">
        <v>1</v>
      </c>
      <c r="R81" s="259">
        <v>42</v>
      </c>
      <c r="S81" s="554">
        <v>0</v>
      </c>
      <c r="T81" s="555">
        <v>0</v>
      </c>
      <c r="U81" s="554">
        <v>0</v>
      </c>
      <c r="V81" s="555">
        <v>0</v>
      </c>
      <c r="W81" s="554">
        <v>0</v>
      </c>
      <c r="X81" s="555">
        <v>0</v>
      </c>
      <c r="Y81" s="435">
        <f>SUM(S81+U81+W81)</f>
        <v>0</v>
      </c>
      <c r="Z81" s="436">
        <f>T81+V81+X81</f>
        <v>0</v>
      </c>
      <c r="AA81" s="422">
        <f>IF(Y81&lt;&gt;0,Z81/Q81,"")</f>
      </c>
      <c r="AB81" s="423">
        <f>IF(Y81&lt;&gt;0,Y81/Z81,"")</f>
      </c>
      <c r="AC81" s="426">
        <v>0</v>
      </c>
      <c r="AD81" s="425">
        <f>IF(AC81&lt;&gt;0,-(AC81-Y81)/AC81,"")</f>
      </c>
      <c r="AE81" s="690">
        <f>AG81-Y81</f>
        <v>1425.5</v>
      </c>
      <c r="AF81" s="691">
        <f>AH81-Z81</f>
        <v>285</v>
      </c>
      <c r="AG81" s="705">
        <v>1425.5</v>
      </c>
      <c r="AH81" s="706">
        <v>285</v>
      </c>
      <c r="AI81" s="692">
        <f>Z81*1/AH81</f>
        <v>0</v>
      </c>
      <c r="AJ81" s="692">
        <f>AF81*1/AH81</f>
        <v>1</v>
      </c>
      <c r="AK81" s="691">
        <f>AH81/Q81</f>
        <v>285</v>
      </c>
      <c r="AL81" s="693">
        <f>AG81/AH81</f>
        <v>5.0017543859649125</v>
      </c>
      <c r="AM81" s="694"/>
      <c r="AN81" s="692">
        <f>IF(AM81&lt;&gt;0,-(AM81-AG81)/AM81,"")</f>
      </c>
      <c r="AO81" s="270">
        <f>421775.5+397095.5+287050+215248.5+189819.5+180729.5+86816.5+23840+19148+14942.5+8798.5+9599+13618.5+4298+4028+3310+8547+6712.5+1803+1172+973+2291+380.5+3015+1103.5+65+2061.5+1262+1020+2232+2970+5074+2970+1188+250+200+70+4277+2138.5+1425.5+2376+1425.5</f>
        <v>1937120</v>
      </c>
      <c r="AP81" s="272">
        <f>43739+40732+31780+27356+25902+24895+12153+4496+3179+3069+1650+2236+3335+954+829+540+1945+1297+429+261+173+594+53+613+200+10+480+240+102+533+743+1267+742+297+28+20+7+1068+534+356+475+285</f>
        <v>239597</v>
      </c>
      <c r="AQ81" s="452">
        <f>AO81/AP81</f>
        <v>8.08490924343794</v>
      </c>
      <c r="AR81" s="716">
        <v>40970</v>
      </c>
      <c r="AS81" s="413" t="s">
        <v>510</v>
      </c>
      <c r="AT81" s="60"/>
    </row>
    <row r="82" spans="1:46" s="10" customFormat="1" ht="15.75" hidden="1">
      <c r="A82" s="331"/>
      <c r="B82" s="311"/>
      <c r="C82" s="315" t="s">
        <v>261</v>
      </c>
      <c r="D82" s="332"/>
      <c r="E82" s="332"/>
      <c r="F82" s="312"/>
      <c r="G82" s="332"/>
      <c r="H82" s="313"/>
      <c r="I82" s="314"/>
      <c r="J82" s="211" t="s">
        <v>434</v>
      </c>
      <c r="K82" s="462" t="s">
        <v>435</v>
      </c>
      <c r="L82" s="465" t="s">
        <v>394</v>
      </c>
      <c r="M82" s="465" t="s">
        <v>436</v>
      </c>
      <c r="N82" s="464">
        <v>40816</v>
      </c>
      <c r="O82" s="465" t="s">
        <v>370</v>
      </c>
      <c r="P82" s="258">
        <v>41</v>
      </c>
      <c r="Q82" s="259">
        <v>2</v>
      </c>
      <c r="R82" s="259">
        <v>14</v>
      </c>
      <c r="S82" s="483">
        <v>104.5</v>
      </c>
      <c r="T82" s="484">
        <v>7</v>
      </c>
      <c r="U82" s="483">
        <v>160</v>
      </c>
      <c r="V82" s="484">
        <v>11</v>
      </c>
      <c r="W82" s="483">
        <v>584.5</v>
      </c>
      <c r="X82" s="484">
        <v>43</v>
      </c>
      <c r="Y82" s="435">
        <f>SUM(S82+U82+W82)</f>
        <v>849</v>
      </c>
      <c r="Z82" s="436">
        <f>T82+V82+X82</f>
        <v>61</v>
      </c>
      <c r="AA82" s="422">
        <f>IF(Y82&lt;&gt;0,Z82/Q82,"")</f>
        <v>30.5</v>
      </c>
      <c r="AB82" s="423">
        <f>IF(Y82&lt;&gt;0,Y82/Z82,"")</f>
        <v>13.918032786885245</v>
      </c>
      <c r="AC82" s="424">
        <v>849</v>
      </c>
      <c r="AD82" s="425">
        <f>IF(AC82&lt;&gt;0,-(AC82-Y82)/AC82,"")</f>
        <v>0</v>
      </c>
      <c r="AE82" s="690">
        <f>AG82-Y82</f>
        <v>464.5</v>
      </c>
      <c r="AF82" s="691">
        <f>AH82-Z82</f>
        <v>39</v>
      </c>
      <c r="AG82" s="697">
        <v>1313.5</v>
      </c>
      <c r="AH82" s="698">
        <v>100</v>
      </c>
      <c r="AI82" s="692">
        <f>Z82*1/AH82</f>
        <v>0.61</v>
      </c>
      <c r="AJ82" s="692">
        <f>AF82*1/AH82</f>
        <v>0.39</v>
      </c>
      <c r="AK82" s="691">
        <f>AH82/Q82</f>
        <v>50</v>
      </c>
      <c r="AL82" s="693">
        <f>AG82/AH82</f>
        <v>13.135</v>
      </c>
      <c r="AM82" s="694">
        <v>49</v>
      </c>
      <c r="AN82" s="692">
        <f>IF(AM82&lt;&gt;0,-(AM82-AG82)/AM82,"")</f>
        <v>25.806122448979593</v>
      </c>
      <c r="AO82" s="483">
        <v>1294032</v>
      </c>
      <c r="AP82" s="484">
        <v>102876</v>
      </c>
      <c r="AQ82" s="452">
        <f>AO82/AP82</f>
        <v>12.578560597223841</v>
      </c>
      <c r="AR82" s="716">
        <v>40970</v>
      </c>
      <c r="AS82" s="413" t="s">
        <v>512</v>
      </c>
      <c r="AT82" s="60"/>
    </row>
    <row r="83" spans="1:46" s="10" customFormat="1" ht="15.75" hidden="1">
      <c r="A83" s="331"/>
      <c r="B83" s="312"/>
      <c r="C83" s="315" t="s">
        <v>261</v>
      </c>
      <c r="D83" s="312"/>
      <c r="E83" s="312"/>
      <c r="F83" s="312"/>
      <c r="G83" s="312"/>
      <c r="H83" s="313"/>
      <c r="I83" s="316" t="s">
        <v>54</v>
      </c>
      <c r="J83" s="207" t="s">
        <v>115</v>
      </c>
      <c r="K83" s="462" t="s">
        <v>116</v>
      </c>
      <c r="L83" s="461"/>
      <c r="M83" s="466" t="s">
        <v>115</v>
      </c>
      <c r="N83" s="464">
        <v>40886</v>
      </c>
      <c r="O83" s="465" t="s">
        <v>12</v>
      </c>
      <c r="P83" s="258">
        <v>161</v>
      </c>
      <c r="Q83" s="259">
        <v>2</v>
      </c>
      <c r="R83" s="259">
        <v>13</v>
      </c>
      <c r="S83" s="480">
        <v>117</v>
      </c>
      <c r="T83" s="481">
        <v>31</v>
      </c>
      <c r="U83" s="480">
        <v>256</v>
      </c>
      <c r="V83" s="481">
        <v>66</v>
      </c>
      <c r="W83" s="480">
        <v>249</v>
      </c>
      <c r="X83" s="481">
        <v>55</v>
      </c>
      <c r="Y83" s="435">
        <f>SUM(S83+U83+W83)</f>
        <v>622</v>
      </c>
      <c r="Z83" s="436">
        <f>T83+V83+X83</f>
        <v>152</v>
      </c>
      <c r="AA83" s="422">
        <f>IF(Y83&lt;&gt;0,Z83/Q83,"")</f>
        <v>76</v>
      </c>
      <c r="AB83" s="423">
        <f>IF(Y83&lt;&gt;0,Y83/Z83,"")</f>
        <v>4.092105263157895</v>
      </c>
      <c r="AC83" s="426">
        <v>622</v>
      </c>
      <c r="AD83" s="425">
        <f>IF(AC83&lt;&gt;0,-(AC83-Y83)/AC83,"")</f>
        <v>0</v>
      </c>
      <c r="AE83" s="690">
        <f>AG83-Y83</f>
        <v>688</v>
      </c>
      <c r="AF83" s="691">
        <f>AH83-Z83</f>
        <v>58</v>
      </c>
      <c r="AG83" s="699">
        <v>1310</v>
      </c>
      <c r="AH83" s="700">
        <v>210</v>
      </c>
      <c r="AI83" s="692">
        <f>Z83*1/AH83</f>
        <v>0.7238095238095238</v>
      </c>
      <c r="AJ83" s="692">
        <f>AF83*1/AH83</f>
        <v>0.2761904761904762</v>
      </c>
      <c r="AK83" s="691">
        <f>AH83/Q83</f>
        <v>105</v>
      </c>
      <c r="AL83" s="693">
        <f>AG83/AH83</f>
        <v>6.238095238095238</v>
      </c>
      <c r="AM83" s="695">
        <v>1197</v>
      </c>
      <c r="AN83" s="692">
        <f>IF(AM83&lt;&gt;0,-(AM83-AG83)/AM83,"")</f>
        <v>0.09440267335004177</v>
      </c>
      <c r="AO83" s="263">
        <v>882324</v>
      </c>
      <c r="AP83" s="264">
        <v>107710</v>
      </c>
      <c r="AQ83" s="452">
        <f>AO83/AP83</f>
        <v>8.191662798254573</v>
      </c>
      <c r="AR83" s="716">
        <v>40970</v>
      </c>
      <c r="AS83" s="413" t="s">
        <v>513</v>
      </c>
      <c r="AT83" s="60"/>
    </row>
    <row r="84" spans="1:46" s="10" customFormat="1" ht="15.75" hidden="1">
      <c r="A84" s="331"/>
      <c r="B84" s="321"/>
      <c r="C84" s="315" t="s">
        <v>261</v>
      </c>
      <c r="D84" s="322"/>
      <c r="E84" s="322"/>
      <c r="F84" s="312"/>
      <c r="G84" s="312"/>
      <c r="H84" s="312"/>
      <c r="I84" s="316" t="s">
        <v>54</v>
      </c>
      <c r="J84" s="203">
        <v>120</v>
      </c>
      <c r="K84" s="463" t="s">
        <v>690</v>
      </c>
      <c r="L84" s="462"/>
      <c r="M84" s="463">
        <v>120</v>
      </c>
      <c r="N84" s="467">
        <v>39488</v>
      </c>
      <c r="O84" s="465" t="s">
        <v>53</v>
      </c>
      <c r="P84" s="258">
        <v>179</v>
      </c>
      <c r="Q84" s="275">
        <v>1</v>
      </c>
      <c r="R84" s="275">
        <v>50</v>
      </c>
      <c r="S84" s="480">
        <v>201</v>
      </c>
      <c r="T84" s="481">
        <v>40</v>
      </c>
      <c r="U84" s="480">
        <v>500</v>
      </c>
      <c r="V84" s="481">
        <v>100</v>
      </c>
      <c r="W84" s="480">
        <v>500</v>
      </c>
      <c r="X84" s="481">
        <v>100</v>
      </c>
      <c r="Y84" s="435">
        <f>SUM(S84+U84+W84)</f>
        <v>1201</v>
      </c>
      <c r="Z84" s="436">
        <f>T84+V84+X84</f>
        <v>240</v>
      </c>
      <c r="AA84" s="422">
        <f>IF(Y84&lt;&gt;0,Z84/Q84,"")</f>
        <v>240</v>
      </c>
      <c r="AB84" s="423">
        <f>IF(Y84&lt;&gt;0,Y84/Z84,"")</f>
        <v>5.004166666666666</v>
      </c>
      <c r="AC84" s="426">
        <v>1201</v>
      </c>
      <c r="AD84" s="425">
        <f>IF(AC84&lt;&gt;0,-(AC84-Y84)/AC84,"")</f>
        <v>0</v>
      </c>
      <c r="AE84" s="690">
        <f>AG84-Y84</f>
        <v>0</v>
      </c>
      <c r="AF84" s="691">
        <f>AH84-Z84</f>
        <v>0</v>
      </c>
      <c r="AG84" s="699">
        <v>1201</v>
      </c>
      <c r="AH84" s="700">
        <v>240</v>
      </c>
      <c r="AI84" s="692">
        <f>Z84*1/AH84</f>
        <v>1</v>
      </c>
      <c r="AJ84" s="692">
        <f>AF84*1/AH84</f>
        <v>0</v>
      </c>
      <c r="AK84" s="691">
        <f>AH84/Q84</f>
        <v>240</v>
      </c>
      <c r="AL84" s="693">
        <f>AG84/AH84</f>
        <v>5.004166666666666</v>
      </c>
      <c r="AM84" s="695"/>
      <c r="AN84" s="692"/>
      <c r="AO84" s="276">
        <f>5039812.5+1919+2402+2402+1201</f>
        <v>5047736.5</v>
      </c>
      <c r="AP84" s="277">
        <f>1038442+320+480+480+240</f>
        <v>1039962</v>
      </c>
      <c r="AQ84" s="452">
        <f>AO84/AP84</f>
        <v>4.853770137755033</v>
      </c>
      <c r="AR84" s="716">
        <v>40970</v>
      </c>
      <c r="AS84" s="413" t="s">
        <v>372</v>
      </c>
      <c r="AT84" s="60"/>
    </row>
    <row r="85" spans="1:46" s="10" customFormat="1" ht="15.75" hidden="1">
      <c r="A85" s="331"/>
      <c r="B85" s="321"/>
      <c r="C85" s="315" t="s">
        <v>261</v>
      </c>
      <c r="D85" s="324" t="s">
        <v>223</v>
      </c>
      <c r="E85" s="322"/>
      <c r="F85" s="312"/>
      <c r="G85" s="323" t="s">
        <v>292</v>
      </c>
      <c r="H85" s="312"/>
      <c r="I85" s="320"/>
      <c r="J85" s="203" t="s">
        <v>693</v>
      </c>
      <c r="K85" s="463" t="s">
        <v>691</v>
      </c>
      <c r="L85" s="462" t="s">
        <v>186</v>
      </c>
      <c r="M85" s="463" t="s">
        <v>692</v>
      </c>
      <c r="N85" s="467">
        <v>37895</v>
      </c>
      <c r="O85" s="465" t="s">
        <v>53</v>
      </c>
      <c r="P85" s="258">
        <v>50</v>
      </c>
      <c r="Q85" s="275">
        <v>1</v>
      </c>
      <c r="R85" s="275">
        <v>38</v>
      </c>
      <c r="S85" s="480">
        <v>201</v>
      </c>
      <c r="T85" s="481">
        <v>40</v>
      </c>
      <c r="U85" s="480">
        <v>500</v>
      </c>
      <c r="V85" s="481">
        <v>100</v>
      </c>
      <c r="W85" s="480">
        <v>500</v>
      </c>
      <c r="X85" s="481">
        <v>100</v>
      </c>
      <c r="Y85" s="435">
        <f>SUM(S85+U85+W85)</f>
        <v>1201</v>
      </c>
      <c r="Z85" s="436">
        <f>T85+V85+X85</f>
        <v>240</v>
      </c>
      <c r="AA85" s="422">
        <f>IF(Y85&lt;&gt;0,Z85/Q85,"")</f>
        <v>240</v>
      </c>
      <c r="AB85" s="423">
        <f>IF(Y85&lt;&gt;0,Y85/Z85,"")</f>
        <v>5.004166666666666</v>
      </c>
      <c r="AC85" s="426">
        <v>1201</v>
      </c>
      <c r="AD85" s="425">
        <f>IF(AC85&lt;&gt;0,-(AC85-Y85)/AC85,"")</f>
        <v>0</v>
      </c>
      <c r="AE85" s="690">
        <f>AG85-Y85</f>
        <v>0</v>
      </c>
      <c r="AF85" s="691">
        <f>AH85-Z85</f>
        <v>0</v>
      </c>
      <c r="AG85" s="699">
        <v>1201</v>
      </c>
      <c r="AH85" s="700">
        <v>240</v>
      </c>
      <c r="AI85" s="692">
        <f>Z85*1/AH85</f>
        <v>1</v>
      </c>
      <c r="AJ85" s="692">
        <f>AF85*1/AH85</f>
        <v>0</v>
      </c>
      <c r="AK85" s="691">
        <f>AH85/Q85</f>
        <v>240</v>
      </c>
      <c r="AL85" s="693">
        <f>AG85/AH85</f>
        <v>5.004166666666666</v>
      </c>
      <c r="AM85" s="695"/>
      <c r="AN85" s="692"/>
      <c r="AO85" s="276">
        <v>662891.75</v>
      </c>
      <c r="AP85" s="277">
        <v>157386</v>
      </c>
      <c r="AQ85" s="452">
        <f>AO85/AP85</f>
        <v>4.211885110492674</v>
      </c>
      <c r="AR85" s="716">
        <v>40970</v>
      </c>
      <c r="AS85" s="413" t="s">
        <v>514</v>
      </c>
      <c r="AT85" s="60"/>
    </row>
    <row r="86" spans="1:46" s="10" customFormat="1" ht="15.75" hidden="1">
      <c r="A86" s="331"/>
      <c r="B86" s="312"/>
      <c r="C86" s="315" t="s">
        <v>261</v>
      </c>
      <c r="D86" s="312"/>
      <c r="E86" s="312"/>
      <c r="F86" s="312"/>
      <c r="G86" s="333"/>
      <c r="H86" s="333"/>
      <c r="I86" s="316" t="s">
        <v>54</v>
      </c>
      <c r="J86" s="205" t="s">
        <v>717</v>
      </c>
      <c r="K86" s="462" t="s">
        <v>716</v>
      </c>
      <c r="L86" s="465"/>
      <c r="M86" s="465" t="s">
        <v>717</v>
      </c>
      <c r="N86" s="467">
        <v>40682</v>
      </c>
      <c r="O86" s="465" t="s">
        <v>10</v>
      </c>
      <c r="P86" s="258">
        <v>164</v>
      </c>
      <c r="Q86" s="271">
        <v>1</v>
      </c>
      <c r="R86" s="271">
        <v>12</v>
      </c>
      <c r="S86" s="268">
        <v>0</v>
      </c>
      <c r="T86" s="269">
        <v>0</v>
      </c>
      <c r="U86" s="268">
        <v>0</v>
      </c>
      <c r="V86" s="269">
        <v>0</v>
      </c>
      <c r="W86" s="268">
        <v>0</v>
      </c>
      <c r="X86" s="269">
        <v>0</v>
      </c>
      <c r="Y86" s="435">
        <f>SUM(S86+U86+W86)</f>
        <v>0</v>
      </c>
      <c r="Z86" s="436">
        <f>T86+V86+X86</f>
        <v>0</v>
      </c>
      <c r="AA86" s="422">
        <f>IF(Y86&lt;&gt;0,Z86/Q86,"")</f>
      </c>
      <c r="AB86" s="423">
        <f>IF(Y86&lt;&gt;0,Y86/Z86,"")</f>
      </c>
      <c r="AC86" s="424">
        <v>0</v>
      </c>
      <c r="AD86" s="425">
        <f>IF(AC86&lt;&gt;0,-(AC86-Y86)/AC86,"")</f>
      </c>
      <c r="AE86" s="690">
        <f>AG86-Y86</f>
        <v>1188</v>
      </c>
      <c r="AF86" s="691">
        <f>AH86-Z86</f>
        <v>297</v>
      </c>
      <c r="AG86" s="701">
        <v>1188</v>
      </c>
      <c r="AH86" s="702">
        <v>297</v>
      </c>
      <c r="AI86" s="692">
        <f>Z86*1/AH86</f>
        <v>0</v>
      </c>
      <c r="AJ86" s="692">
        <f>AF86*1/AH86</f>
        <v>1</v>
      </c>
      <c r="AK86" s="691">
        <f>AH86/Q86</f>
        <v>297</v>
      </c>
      <c r="AL86" s="693">
        <f>AG86/AH86</f>
        <v>4</v>
      </c>
      <c r="AM86" s="694"/>
      <c r="AN86" s="692"/>
      <c r="AO86" s="268">
        <v>578668</v>
      </c>
      <c r="AP86" s="269">
        <v>63763</v>
      </c>
      <c r="AQ86" s="452">
        <f>AO86/AP86</f>
        <v>9.075294449759264</v>
      </c>
      <c r="AR86" s="716">
        <v>40970</v>
      </c>
      <c r="AS86" s="413" t="s">
        <v>515</v>
      </c>
      <c r="AT86" s="60"/>
    </row>
    <row r="87" spans="1:46" s="10" customFormat="1" ht="15.75" hidden="1">
      <c r="A87" s="331"/>
      <c r="B87" s="312"/>
      <c r="C87" s="315" t="s">
        <v>261</v>
      </c>
      <c r="D87" s="312"/>
      <c r="E87" s="312"/>
      <c r="F87" s="312"/>
      <c r="G87" s="312"/>
      <c r="H87" s="313"/>
      <c r="I87" s="313"/>
      <c r="J87" s="282" t="s">
        <v>256</v>
      </c>
      <c r="K87" s="465" t="s">
        <v>257</v>
      </c>
      <c r="L87" s="465" t="s">
        <v>248</v>
      </c>
      <c r="M87" s="465" t="s">
        <v>240</v>
      </c>
      <c r="N87" s="464">
        <v>40739</v>
      </c>
      <c r="O87" s="465" t="s">
        <v>13</v>
      </c>
      <c r="P87" s="258">
        <v>3</v>
      </c>
      <c r="Q87" s="259">
        <v>2</v>
      </c>
      <c r="R87" s="259">
        <v>17</v>
      </c>
      <c r="S87" s="261">
        <v>0</v>
      </c>
      <c r="T87" s="262">
        <v>0</v>
      </c>
      <c r="U87" s="261">
        <v>0</v>
      </c>
      <c r="V87" s="262">
        <v>0</v>
      </c>
      <c r="W87" s="261">
        <v>0</v>
      </c>
      <c r="X87" s="262">
        <v>0</v>
      </c>
      <c r="Y87" s="435">
        <f>SUM(S87+U87+W87)</f>
        <v>0</v>
      </c>
      <c r="Z87" s="436">
        <f>T87+V87+X87</f>
        <v>0</v>
      </c>
      <c r="AA87" s="422">
        <f>IF(Y87&lt;&gt;0,Z87/Q87,"")</f>
      </c>
      <c r="AB87" s="423">
        <f>IF(Y87&lt;&gt;0,Y87/Z87,"")</f>
      </c>
      <c r="AC87" s="426">
        <v>0</v>
      </c>
      <c r="AD87" s="425">
        <f>IF(AC87&lt;&gt;0,-(AC87-Y87)/AC87,"")</f>
      </c>
      <c r="AE87" s="690">
        <f>AG87-Y87</f>
        <v>1188</v>
      </c>
      <c r="AF87" s="691">
        <f>AH87-Z87</f>
        <v>238</v>
      </c>
      <c r="AG87" s="699">
        <v>1188</v>
      </c>
      <c r="AH87" s="700">
        <v>238</v>
      </c>
      <c r="AI87" s="692">
        <f>Z87*1/AH87</f>
        <v>0</v>
      </c>
      <c r="AJ87" s="692">
        <f>AF87*1/AH87</f>
        <v>1</v>
      </c>
      <c r="AK87" s="691">
        <f>AH87/Q87</f>
        <v>119</v>
      </c>
      <c r="AL87" s="693">
        <f>AG87/AH87</f>
        <v>4.991596638655462</v>
      </c>
      <c r="AM87" s="695">
        <v>2608</v>
      </c>
      <c r="AN87" s="692">
        <f>IF(AM87&lt;&gt;0,-(AM87-AG87)/AM87,"")</f>
        <v>-0.5444785276073619</v>
      </c>
      <c r="AO87" s="261">
        <v>44944.5</v>
      </c>
      <c r="AP87" s="262">
        <v>5725</v>
      </c>
      <c r="AQ87" s="452">
        <f>AO87/AP87</f>
        <v>7.850567685589519</v>
      </c>
      <c r="AR87" s="716">
        <v>40970</v>
      </c>
      <c r="AS87" s="413" t="s">
        <v>516</v>
      </c>
      <c r="AT87" s="60"/>
    </row>
    <row r="88" spans="1:46" s="10" customFormat="1" ht="15.75" hidden="1">
      <c r="A88" s="331"/>
      <c r="B88" s="312"/>
      <c r="C88" s="315" t="s">
        <v>261</v>
      </c>
      <c r="D88" s="332"/>
      <c r="E88" s="332"/>
      <c r="F88" s="312"/>
      <c r="G88" s="332"/>
      <c r="H88" s="313"/>
      <c r="I88" s="314"/>
      <c r="J88" s="211" t="s">
        <v>704</v>
      </c>
      <c r="K88" s="462" t="s">
        <v>709</v>
      </c>
      <c r="L88" s="465" t="s">
        <v>706</v>
      </c>
      <c r="M88" s="465" t="s">
        <v>705</v>
      </c>
      <c r="N88" s="464">
        <v>40312</v>
      </c>
      <c r="O88" s="465" t="s">
        <v>52</v>
      </c>
      <c r="P88" s="278">
        <v>64</v>
      </c>
      <c r="Q88" s="259">
        <v>1</v>
      </c>
      <c r="R88" s="259">
        <v>23</v>
      </c>
      <c r="S88" s="261">
        <v>0</v>
      </c>
      <c r="T88" s="262">
        <v>0</v>
      </c>
      <c r="U88" s="261">
        <v>0</v>
      </c>
      <c r="V88" s="262">
        <v>0</v>
      </c>
      <c r="W88" s="261">
        <v>0</v>
      </c>
      <c r="X88" s="262">
        <v>0</v>
      </c>
      <c r="Y88" s="435">
        <f>SUM(S88+U88+W88)</f>
        <v>0</v>
      </c>
      <c r="Z88" s="436">
        <f>T88+V88+X88</f>
        <v>0</v>
      </c>
      <c r="AA88" s="422">
        <f>IF(Y88&lt;&gt;0,Z88/Q88,"")</f>
      </c>
      <c r="AB88" s="423">
        <f>IF(Y88&lt;&gt;0,Y88/Z88,"")</f>
      </c>
      <c r="AC88" s="424">
        <v>0</v>
      </c>
      <c r="AD88" s="425">
        <f>IF(AC88&lt;&gt;0,-(AC88-Y88)/AC88,"")</f>
      </c>
      <c r="AE88" s="690">
        <f>AG88-Y88</f>
        <v>1188</v>
      </c>
      <c r="AF88" s="691">
        <f>AH88-Z88</f>
        <v>238</v>
      </c>
      <c r="AG88" s="699">
        <v>1188</v>
      </c>
      <c r="AH88" s="700">
        <v>238</v>
      </c>
      <c r="AI88" s="692">
        <f>Z88*1/AH88</f>
        <v>0</v>
      </c>
      <c r="AJ88" s="692">
        <f>AF88*1/AH88</f>
        <v>1</v>
      </c>
      <c r="AK88" s="691">
        <f>AH88/Q88</f>
        <v>238</v>
      </c>
      <c r="AL88" s="693">
        <f>AG88/AH88</f>
        <v>4.991596638655462</v>
      </c>
      <c r="AM88" s="694"/>
      <c r="AN88" s="692"/>
      <c r="AO88" s="276">
        <f>384993+315+150+24+2376+1188</f>
        <v>389046</v>
      </c>
      <c r="AP88" s="277">
        <f>43717+38+25+4+475+238</f>
        <v>44497</v>
      </c>
      <c r="AQ88" s="452">
        <f>AO88/AP88</f>
        <v>8.74319617052835</v>
      </c>
      <c r="AR88" s="716">
        <v>40970</v>
      </c>
      <c r="AS88" s="413" t="s">
        <v>517</v>
      </c>
      <c r="AT88" s="60"/>
    </row>
    <row r="89" spans="1:46" s="10" customFormat="1" ht="15.75" hidden="1">
      <c r="A89" s="331"/>
      <c r="B89" s="311"/>
      <c r="C89" s="315" t="s">
        <v>261</v>
      </c>
      <c r="D89" s="324" t="s">
        <v>223</v>
      </c>
      <c r="E89" s="312"/>
      <c r="F89" s="332"/>
      <c r="G89" s="323" t="s">
        <v>292</v>
      </c>
      <c r="H89" s="317" t="s">
        <v>55</v>
      </c>
      <c r="I89" s="314"/>
      <c r="J89" s="207" t="s">
        <v>441</v>
      </c>
      <c r="K89" s="466" t="s">
        <v>458</v>
      </c>
      <c r="L89" s="466" t="s">
        <v>89</v>
      </c>
      <c r="M89" s="466" t="s">
        <v>467</v>
      </c>
      <c r="N89" s="464">
        <v>40697</v>
      </c>
      <c r="O89" s="465" t="s">
        <v>68</v>
      </c>
      <c r="P89" s="258">
        <v>71</v>
      </c>
      <c r="Q89" s="259">
        <v>2</v>
      </c>
      <c r="R89" s="259">
        <v>37</v>
      </c>
      <c r="S89" s="554">
        <v>0</v>
      </c>
      <c r="T89" s="555">
        <v>0</v>
      </c>
      <c r="U89" s="554">
        <v>0</v>
      </c>
      <c r="V89" s="555">
        <v>0</v>
      </c>
      <c r="W89" s="554">
        <v>0</v>
      </c>
      <c r="X89" s="555">
        <v>0</v>
      </c>
      <c r="Y89" s="435">
        <f>SUM(S89+U89+W89)</f>
        <v>0</v>
      </c>
      <c r="Z89" s="436">
        <f>T89+V89+X89</f>
        <v>0</v>
      </c>
      <c r="AA89" s="422">
        <f>IF(Y89&lt;&gt;0,Z89/Q89,"")</f>
      </c>
      <c r="AB89" s="423">
        <f>IF(Y89&lt;&gt;0,Y89/Z89,"")</f>
      </c>
      <c r="AC89" s="426">
        <v>0</v>
      </c>
      <c r="AD89" s="425">
        <f>IF(AC89&lt;&gt;0,-(AC89-Y89)/AC89,"")</f>
      </c>
      <c r="AE89" s="690">
        <f>AG89-Y89</f>
        <v>1030.5</v>
      </c>
      <c r="AF89" s="691">
        <f>AH89-Z89</f>
        <v>199</v>
      </c>
      <c r="AG89" s="705">
        <v>1030.5</v>
      </c>
      <c r="AH89" s="706">
        <v>199</v>
      </c>
      <c r="AI89" s="692">
        <f>Z89*1/AH89</f>
        <v>0</v>
      </c>
      <c r="AJ89" s="692">
        <f>AF89*1/AH89</f>
        <v>1</v>
      </c>
      <c r="AK89" s="691">
        <f>AH89/Q89</f>
        <v>99.5</v>
      </c>
      <c r="AL89" s="693">
        <f>AG89/AH89</f>
        <v>5.178391959798995</v>
      </c>
      <c r="AM89" s="694"/>
      <c r="AN89" s="692">
        <f>IF(AM89&lt;&gt;0,-(AM89-AG89)/AM89,"")</f>
      </c>
      <c r="AO89" s="270">
        <f>204018.5+92011.75+38624.5+27400+22817+12697.5+8373+8455.5+6781+2290+2830+1048+3163+3005+2166+6840+1490+14+6415.5+3721.5+7267.5+3007+701.5+608.5+3931+316+1244+768+1787+1197+7128+1188+3008+2446+1425.5+1425.5+1030.5</f>
        <v>492640.75</v>
      </c>
      <c r="AP89" s="272">
        <f>20915+10991+4900+3855+3433+1986+1329+1415+1032+399+409+237+591+657+312+1653+293+7+1605+687+1458+678+106+95+900+62+202+109+514+390+1783+238+720+1164+285+285+199</f>
        <v>65894</v>
      </c>
      <c r="AQ89" s="452">
        <f>AO89/AP89</f>
        <v>7.476261116338361</v>
      </c>
      <c r="AR89" s="716">
        <v>40970</v>
      </c>
      <c r="AS89" s="413" t="s">
        <v>518</v>
      </c>
      <c r="AT89" s="60"/>
    </row>
    <row r="90" spans="1:46" s="10" customFormat="1" ht="15.75" hidden="1">
      <c r="A90" s="331"/>
      <c r="B90" s="311"/>
      <c r="C90" s="315" t="s">
        <v>261</v>
      </c>
      <c r="D90" s="324" t="s">
        <v>223</v>
      </c>
      <c r="E90" s="312"/>
      <c r="F90" s="332"/>
      <c r="G90" s="312"/>
      <c r="H90" s="317" t="s">
        <v>55</v>
      </c>
      <c r="I90" s="314"/>
      <c r="J90" s="207" t="s">
        <v>445</v>
      </c>
      <c r="K90" s="466" t="s">
        <v>449</v>
      </c>
      <c r="L90" s="466" t="s">
        <v>89</v>
      </c>
      <c r="M90" s="466" t="s">
        <v>453</v>
      </c>
      <c r="N90" s="464">
        <v>39864</v>
      </c>
      <c r="O90" s="465" t="s">
        <v>68</v>
      </c>
      <c r="P90" s="258">
        <v>55</v>
      </c>
      <c r="Q90" s="259">
        <v>1</v>
      </c>
      <c r="R90" s="259">
        <v>39</v>
      </c>
      <c r="S90" s="554">
        <v>0</v>
      </c>
      <c r="T90" s="555">
        <v>0</v>
      </c>
      <c r="U90" s="554">
        <v>0</v>
      </c>
      <c r="V90" s="555">
        <v>0</v>
      </c>
      <c r="W90" s="554">
        <v>0</v>
      </c>
      <c r="X90" s="555">
        <v>0</v>
      </c>
      <c r="Y90" s="435">
        <f>SUM(S90+U90+W90)</f>
        <v>0</v>
      </c>
      <c r="Z90" s="436">
        <f>T90+V90+X90</f>
        <v>0</v>
      </c>
      <c r="AA90" s="422">
        <f>IF(Y90&lt;&gt;0,Z90/Q90,"")</f>
      </c>
      <c r="AB90" s="423">
        <f>IF(Y90&lt;&gt;0,Y90/Z90,"")</f>
      </c>
      <c r="AC90" s="426">
        <v>0</v>
      </c>
      <c r="AD90" s="425">
        <f>IF(AC90&lt;&gt;0,-(AC90-Y90)/AC90,"")</f>
      </c>
      <c r="AE90" s="690">
        <f>AG90-Y90</f>
        <v>950</v>
      </c>
      <c r="AF90" s="691">
        <f>AH90-Z90</f>
        <v>190</v>
      </c>
      <c r="AG90" s="705">
        <v>950</v>
      </c>
      <c r="AH90" s="706">
        <v>190</v>
      </c>
      <c r="AI90" s="692">
        <f>Z90*1/AH90</f>
        <v>0</v>
      </c>
      <c r="AJ90" s="692">
        <f>AF90*1/AH90</f>
        <v>1</v>
      </c>
      <c r="AK90" s="691">
        <f>AH90/Q90</f>
        <v>190</v>
      </c>
      <c r="AL90" s="693">
        <f>AG90/AH90</f>
        <v>5</v>
      </c>
      <c r="AM90" s="694"/>
      <c r="AN90" s="692">
        <f>IF(AM90&lt;&gt;0,-(AM90-AG90)/AM90,"")</f>
      </c>
      <c r="AO90" s="270">
        <f>190777.5+154065+60826.5+20820+23589+29712+19396.5+16102+12940+11034+3005+981+1140+40+98.25+284+1000+300+220+1211.5+155+156+63+1780+5228+1780+450+952+145+640+2445+2376+2376+2376+4752+2376+2852+1780+950</f>
        <v>581174.25</v>
      </c>
      <c r="AP90" s="272">
        <f>20518+17650+7809+3283+4115+5826+3911+3770+2981+2505+653+199+194+8+18+60+100+75+44+292+22+22+19+445+1307+445+75+238+29+128+383+594+594+594+1188+594+713+356+190</f>
        <v>81947</v>
      </c>
      <c r="AQ90" s="452">
        <f>AO90/AP90</f>
        <v>7.09207475563474</v>
      </c>
      <c r="AR90" s="716">
        <v>40970</v>
      </c>
      <c r="AS90" s="413" t="s">
        <v>407</v>
      </c>
      <c r="AT90" s="60"/>
    </row>
    <row r="91" spans="1:46" s="10" customFormat="1" ht="15.75" hidden="1">
      <c r="A91" s="331"/>
      <c r="B91" s="311"/>
      <c r="C91" s="315" t="s">
        <v>261</v>
      </c>
      <c r="D91" s="312"/>
      <c r="E91" s="312"/>
      <c r="F91" s="312"/>
      <c r="G91" s="312"/>
      <c r="H91" s="317" t="s">
        <v>55</v>
      </c>
      <c r="I91" s="314"/>
      <c r="J91" s="207" t="s">
        <v>681</v>
      </c>
      <c r="K91" s="466" t="s">
        <v>682</v>
      </c>
      <c r="L91" s="466" t="s">
        <v>248</v>
      </c>
      <c r="M91" s="466" t="s">
        <v>683</v>
      </c>
      <c r="N91" s="464">
        <v>40816</v>
      </c>
      <c r="O91" s="465" t="s">
        <v>68</v>
      </c>
      <c r="P91" s="258">
        <v>20</v>
      </c>
      <c r="Q91" s="259">
        <v>1</v>
      </c>
      <c r="R91" s="259">
        <v>12</v>
      </c>
      <c r="S91" s="554">
        <v>0</v>
      </c>
      <c r="T91" s="555">
        <v>0</v>
      </c>
      <c r="U91" s="554">
        <v>0</v>
      </c>
      <c r="V91" s="555">
        <v>0</v>
      </c>
      <c r="W91" s="554">
        <v>0</v>
      </c>
      <c r="X91" s="555">
        <v>0</v>
      </c>
      <c r="Y91" s="435">
        <f>SUM(S91+U91+W91)</f>
        <v>0</v>
      </c>
      <c r="Z91" s="436">
        <f>T91+V91+X91</f>
        <v>0</v>
      </c>
      <c r="AA91" s="422"/>
      <c r="AB91" s="423"/>
      <c r="AC91" s="426">
        <v>0</v>
      </c>
      <c r="AD91" s="425">
        <f>IF(AC91&lt;&gt;0,-(AC91-Y91)/AC91,"")</f>
      </c>
      <c r="AE91" s="690">
        <f>AG91-Y91</f>
        <v>440</v>
      </c>
      <c r="AF91" s="691">
        <f>AH91-Z91</f>
        <v>63</v>
      </c>
      <c r="AG91" s="705">
        <v>440</v>
      </c>
      <c r="AH91" s="706">
        <v>63</v>
      </c>
      <c r="AI91" s="692">
        <f>Z91*1/AH91</f>
        <v>0</v>
      </c>
      <c r="AJ91" s="692">
        <f>AF91*1/AH91</f>
        <v>1</v>
      </c>
      <c r="AK91" s="691">
        <f>AH91/Q91</f>
        <v>63</v>
      </c>
      <c r="AL91" s="693">
        <f>AG91/AH91</f>
        <v>6.984126984126984</v>
      </c>
      <c r="AM91" s="694"/>
      <c r="AN91" s="692"/>
      <c r="AO91" s="270">
        <f>75142.5+52388.5+8679+971+3899.5+2877+58+4904+58+2376+150+440</f>
        <v>151943.5</v>
      </c>
      <c r="AP91" s="272">
        <f>6131+4590+666+86+328+725+26+1257+26+594+15+63</f>
        <v>14507</v>
      </c>
      <c r="AQ91" s="452">
        <f>AO91/AP91</f>
        <v>10.473805748948783</v>
      </c>
      <c r="AR91" s="716">
        <v>40970</v>
      </c>
      <c r="AS91" s="413" t="s">
        <v>524</v>
      </c>
      <c r="AT91" s="60"/>
    </row>
    <row r="92" spans="1:46" s="10" customFormat="1" ht="15.75" hidden="1">
      <c r="A92" s="331"/>
      <c r="B92" s="311"/>
      <c r="C92" s="315" t="s">
        <v>261</v>
      </c>
      <c r="D92" s="312"/>
      <c r="E92" s="312"/>
      <c r="F92" s="312"/>
      <c r="G92" s="318"/>
      <c r="H92" s="313"/>
      <c r="I92" s="316" t="s">
        <v>54</v>
      </c>
      <c r="J92" s="207" t="s">
        <v>151</v>
      </c>
      <c r="K92" s="462" t="s">
        <v>218</v>
      </c>
      <c r="L92" s="461"/>
      <c r="M92" s="466" t="s">
        <v>151</v>
      </c>
      <c r="N92" s="464">
        <v>40900</v>
      </c>
      <c r="O92" s="465" t="s">
        <v>68</v>
      </c>
      <c r="P92" s="258">
        <v>197</v>
      </c>
      <c r="Q92" s="259">
        <v>1</v>
      </c>
      <c r="R92" s="259">
        <v>9</v>
      </c>
      <c r="S92" s="554">
        <v>0</v>
      </c>
      <c r="T92" s="555">
        <v>0</v>
      </c>
      <c r="U92" s="554">
        <v>0</v>
      </c>
      <c r="V92" s="555">
        <v>0</v>
      </c>
      <c r="W92" s="554">
        <v>0</v>
      </c>
      <c r="X92" s="555">
        <v>0</v>
      </c>
      <c r="Y92" s="435">
        <f>SUM(S92+U92+W92)</f>
        <v>0</v>
      </c>
      <c r="Z92" s="436">
        <f>T92+V92+X92</f>
        <v>0</v>
      </c>
      <c r="AA92" s="422">
        <f>IF(Y92&lt;&gt;0,Z92/Q92,"")</f>
      </c>
      <c r="AB92" s="423">
        <f>IF(Y92&lt;&gt;0,Y92/Z92,"")</f>
      </c>
      <c r="AC92" s="426">
        <v>0</v>
      </c>
      <c r="AD92" s="425">
        <f>IF(AC92&lt;&gt;0,-(AC92-Y92)/AC92,"")</f>
      </c>
      <c r="AE92" s="690">
        <f>AG92-Y92</f>
        <v>438</v>
      </c>
      <c r="AF92" s="691">
        <f>AH92-Z92</f>
        <v>190</v>
      </c>
      <c r="AG92" s="705">
        <v>438</v>
      </c>
      <c r="AH92" s="706">
        <v>190</v>
      </c>
      <c r="AI92" s="692">
        <f>Z92*1/AH92</f>
        <v>0</v>
      </c>
      <c r="AJ92" s="692">
        <f>AF92*1/AH92</f>
        <v>1</v>
      </c>
      <c r="AK92" s="691">
        <f>AH92/Q92</f>
        <v>190</v>
      </c>
      <c r="AL92" s="693">
        <f>AG92/AH92</f>
        <v>2.305263157894737</v>
      </c>
      <c r="AM92" s="694">
        <v>5902</v>
      </c>
      <c r="AN92" s="692">
        <f>IF(AM92&lt;&gt;0,-(AM92-AG92)/AM92,"")</f>
        <v>-0.9257878685191461</v>
      </c>
      <c r="AO92" s="270">
        <f>985836.5+657011.5+454728.5+206461+72029+16105.51+5902+3599+438</f>
        <v>2402111.01</v>
      </c>
      <c r="AP92" s="272">
        <f>106718+73176+50608+29114+10776+3413+1375+639+190</f>
        <v>276009</v>
      </c>
      <c r="AQ92" s="452">
        <f>AO92/AP92</f>
        <v>8.703016966838037</v>
      </c>
      <c r="AR92" s="716">
        <v>40970</v>
      </c>
      <c r="AS92" s="413" t="s">
        <v>307</v>
      </c>
      <c r="AT92" s="60"/>
    </row>
    <row r="93" spans="1:46" s="10" customFormat="1" ht="15.75" hidden="1">
      <c r="A93" s="331"/>
      <c r="B93" s="312"/>
      <c r="C93" s="315" t="s">
        <v>261</v>
      </c>
      <c r="D93" s="324" t="s">
        <v>223</v>
      </c>
      <c r="E93" s="319">
        <v>3</v>
      </c>
      <c r="F93" s="312"/>
      <c r="G93" s="332"/>
      <c r="H93" s="317" t="s">
        <v>55</v>
      </c>
      <c r="I93" s="313"/>
      <c r="J93" s="203" t="s">
        <v>220</v>
      </c>
      <c r="K93" s="463" t="s">
        <v>93</v>
      </c>
      <c r="L93" s="465" t="s">
        <v>95</v>
      </c>
      <c r="M93" s="463" t="s">
        <v>60</v>
      </c>
      <c r="N93" s="464">
        <v>40760</v>
      </c>
      <c r="O93" s="465" t="s">
        <v>10</v>
      </c>
      <c r="P93" s="281">
        <v>184</v>
      </c>
      <c r="Q93" s="271">
        <v>1</v>
      </c>
      <c r="R93" s="271">
        <v>31</v>
      </c>
      <c r="S93" s="268">
        <v>0</v>
      </c>
      <c r="T93" s="269">
        <v>0</v>
      </c>
      <c r="U93" s="268">
        <v>13</v>
      </c>
      <c r="V93" s="269">
        <v>2</v>
      </c>
      <c r="W93" s="268">
        <v>59</v>
      </c>
      <c r="X93" s="269">
        <v>9</v>
      </c>
      <c r="Y93" s="435">
        <f>SUM(S93+U93+W93)</f>
        <v>72</v>
      </c>
      <c r="Z93" s="436">
        <f>T93+V93+X93</f>
        <v>11</v>
      </c>
      <c r="AA93" s="422">
        <f>IF(Y93&lt;&gt;0,Z93/Q93,"")</f>
        <v>11</v>
      </c>
      <c r="AB93" s="423">
        <f>IF(Y93&lt;&gt;0,Y93/Z93,"")</f>
        <v>6.545454545454546</v>
      </c>
      <c r="AC93" s="426">
        <v>72</v>
      </c>
      <c r="AD93" s="425">
        <f>IF(AC93&lt;&gt;0,-(AC93-Y93)/AC93,"")</f>
        <v>0</v>
      </c>
      <c r="AE93" s="690">
        <f>AG93-Y93</f>
        <v>124</v>
      </c>
      <c r="AF93" s="691">
        <f>AH93-Z93</f>
        <v>19</v>
      </c>
      <c r="AG93" s="701">
        <v>196</v>
      </c>
      <c r="AH93" s="702">
        <v>30</v>
      </c>
      <c r="AI93" s="692">
        <f>Z93*1/AH93</f>
        <v>0.36666666666666664</v>
      </c>
      <c r="AJ93" s="692">
        <f>AF93*1/AH93</f>
        <v>0.6333333333333333</v>
      </c>
      <c r="AK93" s="691">
        <f>AH93/Q93</f>
        <v>30</v>
      </c>
      <c r="AL93" s="693">
        <f>AG93/AH93</f>
        <v>6.533333333333333</v>
      </c>
      <c r="AM93" s="694">
        <v>1190</v>
      </c>
      <c r="AN93" s="692">
        <f>IF(AM93&lt;&gt;0,-(AM93-AG93)/AM93,"")</f>
        <v>-0.8352941176470589</v>
      </c>
      <c r="AO93" s="268">
        <v>11529947</v>
      </c>
      <c r="AP93" s="269">
        <v>1147642</v>
      </c>
      <c r="AQ93" s="452">
        <f>AO93/AP93</f>
        <v>10.046640851415336</v>
      </c>
      <c r="AR93" s="716">
        <v>40970</v>
      </c>
      <c r="AS93" s="413" t="s">
        <v>525</v>
      </c>
      <c r="AT93" s="60"/>
    </row>
    <row r="94" spans="1:46" s="10" customFormat="1" ht="15.75" hidden="1">
      <c r="A94" s="331"/>
      <c r="B94" s="312"/>
      <c r="C94" s="312"/>
      <c r="D94" s="324" t="s">
        <v>223</v>
      </c>
      <c r="E94" s="319">
        <v>3</v>
      </c>
      <c r="F94" s="327">
        <v>2</v>
      </c>
      <c r="G94" s="323" t="s">
        <v>292</v>
      </c>
      <c r="H94" s="313"/>
      <c r="I94" s="326"/>
      <c r="J94" s="210" t="s">
        <v>621</v>
      </c>
      <c r="K94" s="461" t="s">
        <v>126</v>
      </c>
      <c r="L94" s="462" t="s">
        <v>89</v>
      </c>
      <c r="M94" s="463" t="s">
        <v>620</v>
      </c>
      <c r="N94" s="464">
        <v>41253</v>
      </c>
      <c r="O94" s="465" t="s">
        <v>68</v>
      </c>
      <c r="P94" s="258">
        <v>60</v>
      </c>
      <c r="Q94" s="259">
        <v>14</v>
      </c>
      <c r="R94" s="259">
        <v>3</v>
      </c>
      <c r="S94" s="554">
        <v>1437</v>
      </c>
      <c r="T94" s="555">
        <v>90</v>
      </c>
      <c r="U94" s="554">
        <v>5412</v>
      </c>
      <c r="V94" s="555">
        <v>356</v>
      </c>
      <c r="W94" s="554">
        <v>5996.5</v>
      </c>
      <c r="X94" s="555">
        <v>418</v>
      </c>
      <c r="Y94" s="435">
        <f>SUM(S94+U94+W94)</f>
        <v>12845.5</v>
      </c>
      <c r="Z94" s="436">
        <f>T94+V94+X94</f>
        <v>864</v>
      </c>
      <c r="AA94" s="422">
        <f>IF(Y94&lt;&gt;0,Z94/Q94,"")</f>
        <v>61.714285714285715</v>
      </c>
      <c r="AB94" s="423">
        <f>IF(Y94&lt;&gt;0,Y94/Z94,"")</f>
        <v>14.867476851851851</v>
      </c>
      <c r="AC94" s="426">
        <v>12845.5</v>
      </c>
      <c r="AD94" s="425">
        <f>IF(AC94&lt;&gt;0,-(AC94-Y94)/AC94,"")</f>
        <v>0</v>
      </c>
      <c r="AE94" s="690">
        <f>AG94-Y94</f>
        <v>5370.5</v>
      </c>
      <c r="AF94" s="691">
        <f>AH94-Z94</f>
        <v>444</v>
      </c>
      <c r="AG94" s="701">
        <v>18216</v>
      </c>
      <c r="AH94" s="702">
        <v>1308</v>
      </c>
      <c r="AI94" s="692">
        <f>Z94*1/AH94</f>
        <v>0.6605504587155964</v>
      </c>
      <c r="AJ94" s="692">
        <f>AF94*1/AH94</f>
        <v>0.3394495412844037</v>
      </c>
      <c r="AK94" s="691">
        <f>AH94/Q94</f>
        <v>93.42857142857143</v>
      </c>
      <c r="AL94" s="693">
        <f>AG94/AH94</f>
        <v>13.926605504587156</v>
      </c>
      <c r="AM94" s="695">
        <v>63880</v>
      </c>
      <c r="AN94" s="692"/>
      <c r="AO94" s="268">
        <f>453045.5+152052.5+18216</f>
        <v>623314</v>
      </c>
      <c r="AP94" s="269">
        <f>36464+11789+1308</f>
        <v>49561</v>
      </c>
      <c r="AQ94" s="452">
        <f>AO94/AP94</f>
        <v>12.576703456346724</v>
      </c>
      <c r="AR94" s="716">
        <v>40963</v>
      </c>
      <c r="AS94" s="413" t="s">
        <v>485</v>
      </c>
      <c r="AT94" s="60"/>
    </row>
    <row r="95" spans="1:46" s="10" customFormat="1" ht="15.75" hidden="1">
      <c r="A95" s="331"/>
      <c r="B95" s="311"/>
      <c r="C95" s="312"/>
      <c r="D95" s="312"/>
      <c r="E95" s="312"/>
      <c r="F95" s="312"/>
      <c r="G95" s="312"/>
      <c r="H95" s="313"/>
      <c r="I95" s="313"/>
      <c r="J95" s="207" t="s">
        <v>224</v>
      </c>
      <c r="K95" s="462" t="s">
        <v>193</v>
      </c>
      <c r="L95" s="461" t="s">
        <v>128</v>
      </c>
      <c r="M95" s="466" t="s">
        <v>191</v>
      </c>
      <c r="N95" s="467">
        <v>40907</v>
      </c>
      <c r="O95" s="465" t="s">
        <v>68</v>
      </c>
      <c r="P95" s="258">
        <v>19</v>
      </c>
      <c r="Q95" s="259">
        <v>6</v>
      </c>
      <c r="R95" s="259">
        <v>9</v>
      </c>
      <c r="S95" s="554">
        <v>918</v>
      </c>
      <c r="T95" s="555">
        <v>123</v>
      </c>
      <c r="U95" s="554">
        <v>2166.5</v>
      </c>
      <c r="V95" s="555">
        <v>259</v>
      </c>
      <c r="W95" s="554">
        <v>2240</v>
      </c>
      <c r="X95" s="555">
        <v>259</v>
      </c>
      <c r="Y95" s="435">
        <f>SUM(S95+U95+W95)</f>
        <v>5324.5</v>
      </c>
      <c r="Z95" s="436">
        <f>T95+V95+X95</f>
        <v>641</v>
      </c>
      <c r="AA95" s="422">
        <f>IF(Y95&lt;&gt;0,Z95/Q95,"")</f>
        <v>106.83333333333333</v>
      </c>
      <c r="AB95" s="423">
        <f>IF(Y95&lt;&gt;0,Y95/Z95,"")</f>
        <v>8.306552262090484</v>
      </c>
      <c r="AC95" s="426">
        <v>5324.5</v>
      </c>
      <c r="AD95" s="425">
        <f>IF(AC95&lt;&gt;0,-(AC95-Y95)/AC95,"")</f>
        <v>0</v>
      </c>
      <c r="AE95" s="690">
        <f>AG95-Y95</f>
        <v>3677</v>
      </c>
      <c r="AF95" s="691">
        <f>AH95-Z95</f>
        <v>536</v>
      </c>
      <c r="AG95" s="701">
        <v>9001.5</v>
      </c>
      <c r="AH95" s="702">
        <v>1177</v>
      </c>
      <c r="AI95" s="692">
        <f>Z95*1/AH95</f>
        <v>0.5446049277824979</v>
      </c>
      <c r="AJ95" s="692">
        <f>AF95*1/AH95</f>
        <v>0.45539507221750214</v>
      </c>
      <c r="AK95" s="691">
        <f>AH95/Q95</f>
        <v>196.16666666666666</v>
      </c>
      <c r="AL95" s="693">
        <f>AG95/AH95</f>
        <v>7.647833474936279</v>
      </c>
      <c r="AM95" s="694">
        <v>152052.5</v>
      </c>
      <c r="AN95" s="692">
        <f>IF(AM95&lt;&gt;0,-(AM95-AG95)/AM95,"")</f>
        <v>-0.9408000526134066</v>
      </c>
      <c r="AO95" s="268">
        <f>108631+115157+28332.5+21104.5+2954+17358.36+18153+140+9001.5</f>
        <v>320831.86</v>
      </c>
      <c r="AP95" s="269">
        <f>8552+8628+2468+2132+301+2376+2114+19+1177</f>
        <v>27767</v>
      </c>
      <c r="AQ95" s="452">
        <f>AO95/AP95</f>
        <v>11.5544300788706</v>
      </c>
      <c r="AR95" s="716">
        <v>40963</v>
      </c>
      <c r="AS95" s="413" t="s">
        <v>490</v>
      </c>
      <c r="AT95" s="60"/>
    </row>
    <row r="96" spans="1:46" s="10" customFormat="1" ht="15.75" hidden="1">
      <c r="A96" s="331"/>
      <c r="B96" s="332"/>
      <c r="C96" s="312"/>
      <c r="D96" s="312"/>
      <c r="E96" s="312"/>
      <c r="F96" s="312"/>
      <c r="G96" s="312"/>
      <c r="H96" s="313"/>
      <c r="I96" s="312"/>
      <c r="J96" s="207" t="s">
        <v>583</v>
      </c>
      <c r="K96" s="462" t="s">
        <v>589</v>
      </c>
      <c r="L96" s="468" t="s">
        <v>95</v>
      </c>
      <c r="M96" s="466" t="s">
        <v>590</v>
      </c>
      <c r="N96" s="464">
        <v>40942</v>
      </c>
      <c r="O96" s="465" t="s">
        <v>10</v>
      </c>
      <c r="P96" s="278">
        <v>143</v>
      </c>
      <c r="Q96" s="271">
        <v>1</v>
      </c>
      <c r="R96" s="271">
        <v>1</v>
      </c>
      <c r="S96" s="268">
        <v>0</v>
      </c>
      <c r="T96" s="269">
        <v>0</v>
      </c>
      <c r="U96" s="268">
        <v>0</v>
      </c>
      <c r="V96" s="269">
        <v>0</v>
      </c>
      <c r="W96" s="268">
        <v>0</v>
      </c>
      <c r="X96" s="269">
        <v>0</v>
      </c>
      <c r="Y96" s="435">
        <f>SUM(S96+U96+W96)</f>
        <v>0</v>
      </c>
      <c r="Z96" s="436">
        <f>T96+V96+X96</f>
        <v>0</v>
      </c>
      <c r="AA96" s="422">
        <f>IF(Y96&lt;&gt;0,Z96/Q96,"")</f>
      </c>
      <c r="AB96" s="423">
        <f>IF(Y96&lt;&gt;0,Y96/Z96,"")</f>
      </c>
      <c r="AC96" s="426">
        <v>5141</v>
      </c>
      <c r="AD96" s="425">
        <f>IF(AC96&lt;&gt;0,-(AC96-Y96)/AC96,"")</f>
        <v>-1</v>
      </c>
      <c r="AE96" s="690">
        <f>AG96-Y96</f>
        <v>8702</v>
      </c>
      <c r="AF96" s="691">
        <f>AH96-Z96</f>
        <v>529</v>
      </c>
      <c r="AG96" s="701">
        <v>8702</v>
      </c>
      <c r="AH96" s="702">
        <v>529</v>
      </c>
      <c r="AI96" s="692">
        <f>Z96*1/AH96</f>
        <v>0</v>
      </c>
      <c r="AJ96" s="692">
        <f>AF96*1/AH96</f>
        <v>1</v>
      </c>
      <c r="AK96" s="691">
        <f>AH96/Q96</f>
        <v>529</v>
      </c>
      <c r="AL96" s="693">
        <f>AG96/AH96</f>
        <v>16.449905482041586</v>
      </c>
      <c r="AM96" s="695">
        <v>6341</v>
      </c>
      <c r="AN96" s="692"/>
      <c r="AO96" s="268">
        <v>2451771</v>
      </c>
      <c r="AP96" s="269">
        <v>215130</v>
      </c>
      <c r="AQ96" s="452">
        <f>AO96/AP96</f>
        <v>11.396695021614837</v>
      </c>
      <c r="AR96" s="716">
        <v>40963</v>
      </c>
      <c r="AS96" s="413" t="s">
        <v>491</v>
      </c>
      <c r="AT96" s="60"/>
    </row>
    <row r="97" spans="1:46" s="10" customFormat="1" ht="15.75" hidden="1">
      <c r="A97" s="331"/>
      <c r="B97" s="332"/>
      <c r="C97" s="312"/>
      <c r="D97" s="312"/>
      <c r="E97" s="312"/>
      <c r="F97" s="312"/>
      <c r="G97" s="312"/>
      <c r="H97" s="313"/>
      <c r="I97" s="313"/>
      <c r="J97" s="203" t="s">
        <v>427</v>
      </c>
      <c r="K97" s="462" t="s">
        <v>126</v>
      </c>
      <c r="L97" s="463" t="s">
        <v>89</v>
      </c>
      <c r="M97" s="463" t="s">
        <v>428</v>
      </c>
      <c r="N97" s="467">
        <v>40928</v>
      </c>
      <c r="O97" s="465" t="s">
        <v>68</v>
      </c>
      <c r="P97" s="266">
        <v>55</v>
      </c>
      <c r="Q97" s="259">
        <v>5</v>
      </c>
      <c r="R97" s="259">
        <v>6</v>
      </c>
      <c r="S97" s="554">
        <v>533</v>
      </c>
      <c r="T97" s="555">
        <v>83</v>
      </c>
      <c r="U97" s="554">
        <v>1175.5</v>
      </c>
      <c r="V97" s="555">
        <v>168</v>
      </c>
      <c r="W97" s="554">
        <v>1123</v>
      </c>
      <c r="X97" s="555">
        <v>162</v>
      </c>
      <c r="Y97" s="435">
        <f>SUM(S97+U97+W97)</f>
        <v>2831.5</v>
      </c>
      <c r="Z97" s="436">
        <f>T97+V97+X97</f>
        <v>413</v>
      </c>
      <c r="AA97" s="422">
        <f>IF(Y97&lt;&gt;0,Z97/Q97,"")</f>
        <v>82.6</v>
      </c>
      <c r="AB97" s="423">
        <f>IF(Y97&lt;&gt;0,Y97/Z97,"")</f>
        <v>6.8559322033898304</v>
      </c>
      <c r="AC97" s="427">
        <v>2831.5</v>
      </c>
      <c r="AD97" s="425">
        <f>IF(AC97&lt;&gt;0,-(AC97-Y97)/AC97,"")</f>
        <v>0</v>
      </c>
      <c r="AE97" s="690">
        <f>AG97-Y97</f>
        <v>1931.5</v>
      </c>
      <c r="AF97" s="691">
        <f>AH97-Z97</f>
        <v>299</v>
      </c>
      <c r="AG97" s="701">
        <v>4763</v>
      </c>
      <c r="AH97" s="702">
        <v>712</v>
      </c>
      <c r="AI97" s="692">
        <f>Z97*1/AH97</f>
        <v>0.5800561797752809</v>
      </c>
      <c r="AJ97" s="692">
        <f>AF97*1/AH97</f>
        <v>0.4199438202247191</v>
      </c>
      <c r="AK97" s="691">
        <f>AH97/Q97</f>
        <v>142.4</v>
      </c>
      <c r="AL97" s="693">
        <f>AG97/AH97</f>
        <v>6.689606741573034</v>
      </c>
      <c r="AM97" s="694">
        <v>140</v>
      </c>
      <c r="AN97" s="692">
        <f>IF(AM97&lt;&gt;0,-(AM97-AG97)/AM97,"")</f>
        <v>33.02142857142857</v>
      </c>
      <c r="AO97" s="268">
        <f>323645+173227.82+35597.95+32858.57+5134.32+4763</f>
        <v>575226.6599999999</v>
      </c>
      <c r="AP97" s="269">
        <f>28467+15589+4018+4355+973+712</f>
        <v>54114</v>
      </c>
      <c r="AQ97" s="452">
        <f>AO97/AP97</f>
        <v>10.629904645747864</v>
      </c>
      <c r="AR97" s="716">
        <v>40963</v>
      </c>
      <c r="AS97" s="413" t="s">
        <v>496</v>
      </c>
      <c r="AT97" s="60"/>
    </row>
    <row r="98" spans="1:46" s="10" customFormat="1" ht="15.75" hidden="1">
      <c r="A98" s="331"/>
      <c r="B98" s="311"/>
      <c r="C98" s="315" t="s">
        <v>261</v>
      </c>
      <c r="D98" s="312"/>
      <c r="E98" s="312"/>
      <c r="F98" s="312"/>
      <c r="G98" s="312"/>
      <c r="H98" s="313"/>
      <c r="I98" s="316" t="s">
        <v>54</v>
      </c>
      <c r="J98" s="207" t="s">
        <v>546</v>
      </c>
      <c r="K98" s="466" t="s">
        <v>547</v>
      </c>
      <c r="L98" s="466"/>
      <c r="M98" s="466" t="s">
        <v>546</v>
      </c>
      <c r="N98" s="464">
        <v>40648</v>
      </c>
      <c r="O98" s="465" t="s">
        <v>68</v>
      </c>
      <c r="P98" s="258">
        <v>28</v>
      </c>
      <c r="Q98" s="259">
        <v>1</v>
      </c>
      <c r="R98" s="259">
        <v>26</v>
      </c>
      <c r="S98" s="554">
        <v>0</v>
      </c>
      <c r="T98" s="555">
        <v>0</v>
      </c>
      <c r="U98" s="554">
        <v>0</v>
      </c>
      <c r="V98" s="555">
        <v>0</v>
      </c>
      <c r="W98" s="554">
        <v>0</v>
      </c>
      <c r="X98" s="555">
        <v>0</v>
      </c>
      <c r="Y98" s="435">
        <f>SUM(S98+U98+W98)</f>
        <v>0</v>
      </c>
      <c r="Z98" s="436">
        <f>T98+V98+X98</f>
        <v>0</v>
      </c>
      <c r="AA98" s="422">
        <f>IF(Y98&lt;&gt;0,Z98/Q98,"")</f>
      </c>
      <c r="AB98" s="423">
        <f>IF(Y98&lt;&gt;0,Y98/Z98,"")</f>
      </c>
      <c r="AC98" s="426">
        <v>0</v>
      </c>
      <c r="AD98" s="425">
        <f>IF(AC98&lt;&gt;0,-(AC98-Y98)/AC98,"")</f>
      </c>
      <c r="AE98" s="690">
        <f>AG98-Y98</f>
        <v>3801.5</v>
      </c>
      <c r="AF98" s="691">
        <f>AH98-Z98</f>
        <v>760</v>
      </c>
      <c r="AG98" s="701">
        <v>3801.5</v>
      </c>
      <c r="AH98" s="702">
        <v>760</v>
      </c>
      <c r="AI98" s="692">
        <f>Z98*1/AH98</f>
        <v>0</v>
      </c>
      <c r="AJ98" s="692">
        <f>AF98*1/AH98</f>
        <v>1</v>
      </c>
      <c r="AK98" s="691">
        <f>AH98/Q98</f>
        <v>760</v>
      </c>
      <c r="AL98" s="693">
        <f>AG98/AH98</f>
        <v>5.001973684210526</v>
      </c>
      <c r="AM98" s="694">
        <v>40</v>
      </c>
      <c r="AN98" s="692">
        <f>IF(AM98&lt;&gt;0,-(AM98-AG98)/AM98,"")</f>
        <v>94.0375</v>
      </c>
      <c r="AO98" s="268">
        <f>67573+47761.5+14206.5+4949+3617+1080.5+492+714+1413.5+3743.5+735+1502.5+825+1147+1818+154+295+2263+179+160+3326.5+950.5+1782+1425.5+594+40+3801.5</f>
        <v>166549</v>
      </c>
      <c r="AP98" s="269">
        <f>6695+4901+2068+559+504+215+178+122+205+836+119+235+131+174+400+22+45+527+35+28+831+237+446+356+149+8+760</f>
        <v>20786</v>
      </c>
      <c r="AQ98" s="452">
        <f>AO98/AP98</f>
        <v>8.012556528432599</v>
      </c>
      <c r="AR98" s="716">
        <v>40963</v>
      </c>
      <c r="AS98" s="413" t="s">
        <v>501</v>
      </c>
      <c r="AT98" s="60"/>
    </row>
    <row r="99" spans="1:46" s="10" customFormat="1" ht="15.75" hidden="1">
      <c r="A99" s="331"/>
      <c r="B99" s="311"/>
      <c r="C99" s="315" t="s">
        <v>261</v>
      </c>
      <c r="D99" s="312"/>
      <c r="E99" s="312"/>
      <c r="F99" s="312"/>
      <c r="G99" s="312"/>
      <c r="H99" s="313"/>
      <c r="I99" s="314"/>
      <c r="J99" s="211" t="s">
        <v>156</v>
      </c>
      <c r="K99" s="465" t="s">
        <v>129</v>
      </c>
      <c r="L99" s="465" t="s">
        <v>79</v>
      </c>
      <c r="M99" s="465" t="s">
        <v>130</v>
      </c>
      <c r="N99" s="464">
        <v>40893</v>
      </c>
      <c r="O99" s="465" t="s">
        <v>13</v>
      </c>
      <c r="P99" s="258">
        <v>2</v>
      </c>
      <c r="Q99" s="259">
        <v>1</v>
      </c>
      <c r="R99" s="259">
        <v>7</v>
      </c>
      <c r="S99" s="261">
        <v>250</v>
      </c>
      <c r="T99" s="262">
        <v>50</v>
      </c>
      <c r="U99" s="261">
        <v>500</v>
      </c>
      <c r="V99" s="262">
        <v>100</v>
      </c>
      <c r="W99" s="261">
        <v>500</v>
      </c>
      <c r="X99" s="262">
        <v>100</v>
      </c>
      <c r="Y99" s="435">
        <f>SUM(S99+U99+W99)</f>
        <v>1250</v>
      </c>
      <c r="Z99" s="436">
        <f>T99+V99+X99</f>
        <v>250</v>
      </c>
      <c r="AA99" s="422">
        <f>IF(Y99&lt;&gt;0,Z99/Q99,"")</f>
        <v>250</v>
      </c>
      <c r="AB99" s="423">
        <f>IF(Y99&lt;&gt;0,Y99/Z99,"")</f>
        <v>5</v>
      </c>
      <c r="AC99" s="426">
        <v>1250</v>
      </c>
      <c r="AD99" s="425">
        <f>IF(AC99&lt;&gt;0,-(AC99-Y99)/AC99,"")</f>
        <v>0</v>
      </c>
      <c r="AE99" s="690">
        <f>AG99-Y99</f>
        <v>770</v>
      </c>
      <c r="AF99" s="691">
        <f>AH99-Z99</f>
        <v>154</v>
      </c>
      <c r="AG99" s="701">
        <v>2020</v>
      </c>
      <c r="AH99" s="702">
        <v>404</v>
      </c>
      <c r="AI99" s="692">
        <f>Z99*1/AH99</f>
        <v>0.6188118811881188</v>
      </c>
      <c r="AJ99" s="692">
        <f>AF99*1/AH99</f>
        <v>0.3811881188118812</v>
      </c>
      <c r="AK99" s="691">
        <f>AH99/Q99</f>
        <v>404</v>
      </c>
      <c r="AL99" s="693">
        <f>AG99/AH99</f>
        <v>5</v>
      </c>
      <c r="AM99" s="695">
        <v>1134</v>
      </c>
      <c r="AN99" s="692">
        <f>IF(AM99&lt;&gt;0,-(AM99-AG99)/AM99,"")</f>
        <v>0.781305114638448</v>
      </c>
      <c r="AO99" s="268">
        <v>14984</v>
      </c>
      <c r="AP99" s="269">
        <v>1714</v>
      </c>
      <c r="AQ99" s="452">
        <f>AO99/AP99</f>
        <v>8.742123687281213</v>
      </c>
      <c r="AR99" s="716">
        <v>40963</v>
      </c>
      <c r="AS99" s="413" t="s">
        <v>507</v>
      </c>
      <c r="AT99" s="60"/>
    </row>
    <row r="100" spans="1:45" s="10" customFormat="1" ht="15.75" hidden="1">
      <c r="A100" s="331"/>
      <c r="B100" s="311"/>
      <c r="C100" s="315" t="s">
        <v>261</v>
      </c>
      <c r="D100" s="324" t="s">
        <v>223</v>
      </c>
      <c r="E100" s="318"/>
      <c r="F100" s="318"/>
      <c r="G100" s="312"/>
      <c r="H100" s="314"/>
      <c r="I100" s="313"/>
      <c r="J100" s="207" t="s">
        <v>664</v>
      </c>
      <c r="K100" s="462" t="s">
        <v>665</v>
      </c>
      <c r="L100" s="461" t="s">
        <v>273</v>
      </c>
      <c r="M100" s="466" t="s">
        <v>661</v>
      </c>
      <c r="N100" s="464">
        <v>40193</v>
      </c>
      <c r="O100" s="465" t="s">
        <v>68</v>
      </c>
      <c r="P100" s="258">
        <v>55</v>
      </c>
      <c r="Q100" s="259">
        <v>1</v>
      </c>
      <c r="R100" s="259">
        <v>32</v>
      </c>
      <c r="S100" s="554">
        <v>0</v>
      </c>
      <c r="T100" s="555">
        <v>0</v>
      </c>
      <c r="U100" s="554">
        <v>0</v>
      </c>
      <c r="V100" s="555">
        <v>0</v>
      </c>
      <c r="W100" s="554">
        <v>0</v>
      </c>
      <c r="X100" s="555">
        <v>0</v>
      </c>
      <c r="Y100" s="435">
        <f>SUM(S100+U100+W100)</f>
        <v>0</v>
      </c>
      <c r="Z100" s="436">
        <f>T100+V100+X100</f>
        <v>0</v>
      </c>
      <c r="AA100" s="422">
        <f>IF(Y100&lt;&gt;0,Z100/Q100,"")</f>
      </c>
      <c r="AB100" s="423">
        <f>IF(Y100&lt;&gt;0,Y100/Z100,"")</f>
      </c>
      <c r="AC100" s="426">
        <v>0</v>
      </c>
      <c r="AD100" s="425">
        <f>IF(AC100&lt;&gt;0,-(AC100-Y100)/AC100,"")</f>
      </c>
      <c r="AE100" s="690">
        <f>AG100-Y100</f>
        <v>1782</v>
      </c>
      <c r="AF100" s="691">
        <f>AH100-Z100</f>
        <v>356</v>
      </c>
      <c r="AG100" s="701">
        <v>1782</v>
      </c>
      <c r="AH100" s="702">
        <v>356</v>
      </c>
      <c r="AI100" s="692">
        <f>Z100*1/AH100</f>
        <v>0</v>
      </c>
      <c r="AJ100" s="692">
        <f>AF100*1/AH100</f>
        <v>1</v>
      </c>
      <c r="AK100" s="691">
        <f>AH100/Q100</f>
        <v>356</v>
      </c>
      <c r="AL100" s="693">
        <f>AG100/AH100</f>
        <v>5.00561797752809</v>
      </c>
      <c r="AM100" s="694"/>
      <c r="AN100" s="692"/>
      <c r="AO100" s="268">
        <f>197266+158498+94472.5+25746.5+5341+4975+4175+3550+3868+6158+8020+1277+951+3397+4599+198+566+1146+2247.5+174+31.5+2775.5+1188+735+2376+307+324+2613.5+1782+1782+1782+1782+1782</f>
        <v>545886</v>
      </c>
      <c r="AP100" s="269">
        <f>19567+17056+12441+3194+866+909+697+693+818+1478+1988+298+238+832+1154+55+212+207+411+57+12+610+297+71+594+46+71+653+445+445+445+356+356</f>
        <v>67572</v>
      </c>
      <c r="AQ100" s="452">
        <f>AO100/AP100</f>
        <v>8.07858284496537</v>
      </c>
      <c r="AR100" s="716">
        <v>40963</v>
      </c>
      <c r="AS100" s="413" t="s">
        <v>509</v>
      </c>
    </row>
    <row r="101" spans="1:45" s="10" customFormat="1" ht="15.75" hidden="1">
      <c r="A101" s="331"/>
      <c r="B101" s="311"/>
      <c r="C101" s="315" t="s">
        <v>261</v>
      </c>
      <c r="D101" s="324" t="s">
        <v>223</v>
      </c>
      <c r="E101" s="312"/>
      <c r="F101" s="332"/>
      <c r="G101" s="323" t="s">
        <v>292</v>
      </c>
      <c r="H101" s="317" t="s">
        <v>55</v>
      </c>
      <c r="I101" s="314"/>
      <c r="J101" s="207" t="s">
        <v>446</v>
      </c>
      <c r="K101" s="466" t="s">
        <v>639</v>
      </c>
      <c r="L101" s="466" t="s">
        <v>89</v>
      </c>
      <c r="M101" s="466" t="s">
        <v>454</v>
      </c>
      <c r="N101" s="464">
        <v>39878</v>
      </c>
      <c r="O101" s="465" t="s">
        <v>68</v>
      </c>
      <c r="P101" s="258">
        <v>39</v>
      </c>
      <c r="Q101" s="259">
        <v>1</v>
      </c>
      <c r="R101" s="259">
        <v>39</v>
      </c>
      <c r="S101" s="554">
        <v>0</v>
      </c>
      <c r="T101" s="555">
        <v>0</v>
      </c>
      <c r="U101" s="554">
        <v>0</v>
      </c>
      <c r="V101" s="555">
        <v>0</v>
      </c>
      <c r="W101" s="554">
        <v>0</v>
      </c>
      <c r="X101" s="555">
        <v>0</v>
      </c>
      <c r="Y101" s="435">
        <f>SUM(S101+U101+W101)</f>
        <v>0</v>
      </c>
      <c r="Z101" s="436">
        <f>T101+V101+X101</f>
        <v>0</v>
      </c>
      <c r="AA101" s="422">
        <f>IF(Y101&lt;&gt;0,Z101/Q101,"")</f>
      </c>
      <c r="AB101" s="423">
        <f>IF(Y101&lt;&gt;0,Y101/Z101,"")</f>
      </c>
      <c r="AC101" s="426">
        <v>0</v>
      </c>
      <c r="AD101" s="425">
        <f>IF(AC101&lt;&gt;0,-(AC101-Y101)/AC101,"")</f>
      </c>
      <c r="AE101" s="690">
        <f>AG101-Y101</f>
        <v>1780</v>
      </c>
      <c r="AF101" s="691">
        <f>AH101-Z101</f>
        <v>356</v>
      </c>
      <c r="AG101" s="701">
        <v>1780</v>
      </c>
      <c r="AH101" s="702">
        <v>356</v>
      </c>
      <c r="AI101" s="692">
        <f>Z101*1/AH101</f>
        <v>0</v>
      </c>
      <c r="AJ101" s="692">
        <f>AF101*1/AH101</f>
        <v>1</v>
      </c>
      <c r="AK101" s="691">
        <f>AH101/Q101</f>
        <v>356</v>
      </c>
      <c r="AL101" s="693">
        <f>AG101/AH101</f>
        <v>5</v>
      </c>
      <c r="AM101" s="694"/>
      <c r="AN101" s="692">
        <f>IF(AM101&lt;&gt;0,-(AM101-AG101)/AM101,"")</f>
      </c>
      <c r="AO101" s="268">
        <f>143992.5+82756.5+42509+41229+27290.5+16668+27602+17675+4710+8504.5+2403+4164+2272+3469+1997+135+299+674+178+30+240+1413+1006+209+393+680+1780+4040+1780+1780+952+745+2376+2376+2376+4752+2376+708+2852+1780</f>
        <v>463172</v>
      </c>
      <c r="AP101" s="269">
        <f>15320+9228+5096+5970+4485+3115+5134+3946+1139+2307+509+879+411+637+472+29+62+165+32+6+48+348+139+43+54+68+445+1010+445+445+238+149+594+594+594+1188+594+164+713+356</f>
        <v>67171</v>
      </c>
      <c r="AQ101" s="452">
        <f>AO101/AP101</f>
        <v>6.895416176623841</v>
      </c>
      <c r="AR101" s="716">
        <v>40963</v>
      </c>
      <c r="AS101" s="413" t="s">
        <v>510</v>
      </c>
    </row>
    <row r="102" spans="1:45" s="10" customFormat="1" ht="15.75" hidden="1">
      <c r="A102" s="331"/>
      <c r="B102" s="312"/>
      <c r="C102" s="312"/>
      <c r="D102" s="312"/>
      <c r="E102" s="312"/>
      <c r="F102" s="312"/>
      <c r="G102" s="312"/>
      <c r="H102" s="333"/>
      <c r="I102" s="314"/>
      <c r="J102" s="211" t="s">
        <v>391</v>
      </c>
      <c r="K102" s="462" t="s">
        <v>93</v>
      </c>
      <c r="L102" s="468" t="s">
        <v>95</v>
      </c>
      <c r="M102" s="465" t="s">
        <v>392</v>
      </c>
      <c r="N102" s="464">
        <v>40556</v>
      </c>
      <c r="O102" s="465" t="s">
        <v>10</v>
      </c>
      <c r="P102" s="258">
        <v>85</v>
      </c>
      <c r="Q102" s="271">
        <v>4</v>
      </c>
      <c r="R102" s="271">
        <v>7</v>
      </c>
      <c r="S102" s="268">
        <v>178</v>
      </c>
      <c r="T102" s="269">
        <v>23</v>
      </c>
      <c r="U102" s="268">
        <v>376</v>
      </c>
      <c r="V102" s="269">
        <v>52</v>
      </c>
      <c r="W102" s="268">
        <v>302</v>
      </c>
      <c r="X102" s="269">
        <v>37</v>
      </c>
      <c r="Y102" s="435">
        <f>SUM(S102+U102+W102)</f>
        <v>856</v>
      </c>
      <c r="Z102" s="436">
        <f>T102+V102+X102</f>
        <v>112</v>
      </c>
      <c r="AA102" s="422">
        <f>IF(Y102&lt;&gt;0,Z102/Q102,"")</f>
        <v>28</v>
      </c>
      <c r="AB102" s="423">
        <f>IF(Y102&lt;&gt;0,Y102/Z102,"")</f>
        <v>7.642857142857143</v>
      </c>
      <c r="AC102" s="426">
        <v>856</v>
      </c>
      <c r="AD102" s="425">
        <f>IF(AC102&lt;&gt;0,-(AC102-Y102)/AC102,"")</f>
        <v>0</v>
      </c>
      <c r="AE102" s="690">
        <f>AG102-Y102</f>
        <v>781</v>
      </c>
      <c r="AF102" s="691">
        <f>AH102-Z102</f>
        <v>128</v>
      </c>
      <c r="AG102" s="701">
        <v>1637</v>
      </c>
      <c r="AH102" s="702">
        <v>240</v>
      </c>
      <c r="AI102" s="692">
        <f>Z102*1/AH102</f>
        <v>0.4666666666666667</v>
      </c>
      <c r="AJ102" s="692">
        <f>AF102*1/AH102</f>
        <v>0.5333333333333333</v>
      </c>
      <c r="AK102" s="691">
        <f>AH102/Q102</f>
        <v>60</v>
      </c>
      <c r="AL102" s="693">
        <f>AG102/AH102</f>
        <v>6.820833333333334</v>
      </c>
      <c r="AM102" s="695">
        <v>9243.92</v>
      </c>
      <c r="AN102" s="692">
        <f>IF(AM102&lt;&gt;0,-(AM102-AG102)/AM102,"")</f>
        <v>-0.8229106266605509</v>
      </c>
      <c r="AO102" s="268">
        <v>1964118</v>
      </c>
      <c r="AP102" s="269">
        <v>177861</v>
      </c>
      <c r="AQ102" s="452">
        <f>AO102/AP102</f>
        <v>11.042994248317507</v>
      </c>
      <c r="AR102" s="716">
        <v>40963</v>
      </c>
      <c r="AS102" s="413" t="s">
        <v>512</v>
      </c>
    </row>
    <row r="103" spans="1:45" s="10" customFormat="1" ht="15.75" hidden="1">
      <c r="A103" s="331"/>
      <c r="B103" s="311"/>
      <c r="C103" s="315" t="s">
        <v>261</v>
      </c>
      <c r="D103" s="318"/>
      <c r="E103" s="319">
        <v>3</v>
      </c>
      <c r="F103" s="312"/>
      <c r="G103" s="312"/>
      <c r="H103" s="313"/>
      <c r="I103" s="313"/>
      <c r="J103" s="209" t="s">
        <v>147</v>
      </c>
      <c r="K103" s="465" t="s">
        <v>166</v>
      </c>
      <c r="L103" s="465" t="s">
        <v>99</v>
      </c>
      <c r="M103" s="465" t="s">
        <v>153</v>
      </c>
      <c r="N103" s="464">
        <v>40900</v>
      </c>
      <c r="O103" s="465" t="s">
        <v>52</v>
      </c>
      <c r="P103" s="278">
        <v>69</v>
      </c>
      <c r="Q103" s="259">
        <v>1</v>
      </c>
      <c r="R103" s="259">
        <v>5</v>
      </c>
      <c r="S103" s="261">
        <v>185</v>
      </c>
      <c r="T103" s="262">
        <v>18</v>
      </c>
      <c r="U103" s="261">
        <v>776</v>
      </c>
      <c r="V103" s="262">
        <v>77</v>
      </c>
      <c r="W103" s="261">
        <v>364</v>
      </c>
      <c r="X103" s="262">
        <v>36</v>
      </c>
      <c r="Y103" s="435">
        <f>SUM(S103+U103+W103)</f>
        <v>1325</v>
      </c>
      <c r="Z103" s="436">
        <f>T103+V103+X103</f>
        <v>131</v>
      </c>
      <c r="AA103" s="422">
        <f>IF(Y103&lt;&gt;0,Z103/Q103,"")</f>
        <v>131</v>
      </c>
      <c r="AB103" s="423">
        <f>IF(Y103&lt;&gt;0,Y103/Z103,"")</f>
        <v>10.114503816793894</v>
      </c>
      <c r="AC103" s="426">
        <v>1325</v>
      </c>
      <c r="AD103" s="425">
        <f>IF(AC103&lt;&gt;0,-(AC103-Y103)/AC103,"")</f>
        <v>0</v>
      </c>
      <c r="AE103" s="690">
        <f>AG103-Y103</f>
        <v>155</v>
      </c>
      <c r="AF103" s="691">
        <f>AH103-Z103</f>
        <v>20</v>
      </c>
      <c r="AG103" s="701">
        <v>1480</v>
      </c>
      <c r="AH103" s="702">
        <v>151</v>
      </c>
      <c r="AI103" s="692">
        <f>Z103*1/AH103</f>
        <v>0.8675496688741722</v>
      </c>
      <c r="AJ103" s="692">
        <f>AF103*1/AH103</f>
        <v>0.13245033112582782</v>
      </c>
      <c r="AK103" s="691">
        <f>AH103/Q103</f>
        <v>151</v>
      </c>
      <c r="AL103" s="693">
        <f>AG103/AH103</f>
        <v>9.801324503311259</v>
      </c>
      <c r="AM103" s="695">
        <v>3797</v>
      </c>
      <c r="AN103" s="692">
        <f>IF(AM103&lt;&gt;0,-(AM103-AG103)/AM103,"")</f>
        <v>-0.6102185936265473</v>
      </c>
      <c r="AO103" s="268">
        <f>247246+100865+4174+1569+1480</f>
        <v>355334</v>
      </c>
      <c r="AP103" s="269">
        <f>24388+10455+350+207+151</f>
        <v>35551</v>
      </c>
      <c r="AQ103" s="452">
        <f>AO103/AP103</f>
        <v>9.99504936569998</v>
      </c>
      <c r="AR103" s="716">
        <v>40963</v>
      </c>
      <c r="AS103" s="413" t="s">
        <v>513</v>
      </c>
    </row>
    <row r="104" spans="1:45" s="10" customFormat="1" ht="15.75" hidden="1">
      <c r="A104" s="331"/>
      <c r="B104" s="312"/>
      <c r="C104" s="315" t="s">
        <v>261</v>
      </c>
      <c r="D104" s="311"/>
      <c r="E104" s="313"/>
      <c r="F104" s="327">
        <v>2</v>
      </c>
      <c r="G104" s="313"/>
      <c r="H104" s="311"/>
      <c r="I104" s="313"/>
      <c r="J104" s="205" t="s">
        <v>538</v>
      </c>
      <c r="K104" s="462" t="s">
        <v>539</v>
      </c>
      <c r="L104" s="469" t="s">
        <v>94</v>
      </c>
      <c r="M104" s="469" t="s">
        <v>540</v>
      </c>
      <c r="N104" s="464">
        <v>40788</v>
      </c>
      <c r="O104" s="465" t="s">
        <v>12</v>
      </c>
      <c r="P104" s="258">
        <v>89</v>
      </c>
      <c r="Q104" s="259">
        <v>1</v>
      </c>
      <c r="R104" s="259">
        <v>19</v>
      </c>
      <c r="S104" s="480">
        <v>0</v>
      </c>
      <c r="T104" s="481">
        <v>0</v>
      </c>
      <c r="U104" s="480">
        <v>0</v>
      </c>
      <c r="V104" s="481">
        <v>0</v>
      </c>
      <c r="W104" s="480">
        <v>0</v>
      </c>
      <c r="X104" s="481">
        <v>0</v>
      </c>
      <c r="Y104" s="435">
        <f>SUM(S104+U104+W104)</f>
        <v>0</v>
      </c>
      <c r="Z104" s="436">
        <f>T104+V104+X104</f>
        <v>0</v>
      </c>
      <c r="AA104" s="422">
        <f>IF(Y104&lt;&gt;0,Z104/Q104,"")</f>
      </c>
      <c r="AB104" s="423">
        <f>IF(Y104&lt;&gt;0,Y104/Z104,"")</f>
      </c>
      <c r="AC104" s="426">
        <v>0</v>
      </c>
      <c r="AD104" s="425">
        <f>IF(AC104&lt;&gt;0,-(AC104-Y104)/AC104,"")</f>
      </c>
      <c r="AE104" s="690">
        <f>AG104-Y104</f>
        <v>1197</v>
      </c>
      <c r="AF104" s="691">
        <f>AH104-Z104</f>
        <v>189</v>
      </c>
      <c r="AG104" s="701">
        <v>1197</v>
      </c>
      <c r="AH104" s="702">
        <v>189</v>
      </c>
      <c r="AI104" s="692">
        <f>Z104*1/AH104</f>
        <v>0</v>
      </c>
      <c r="AJ104" s="692">
        <f>AF104*1/AH104</f>
        <v>1</v>
      </c>
      <c r="AK104" s="691">
        <f>AH104/Q104</f>
        <v>189</v>
      </c>
      <c r="AL104" s="693">
        <f>AG104/AH104</f>
        <v>6.333333333333333</v>
      </c>
      <c r="AM104" s="695">
        <v>315</v>
      </c>
      <c r="AN104" s="692">
        <f>IF(AM104&lt;&gt;0,-(AM104-AG104)/AM104,"")</f>
        <v>2.8</v>
      </c>
      <c r="AO104" s="268">
        <v>2030716</v>
      </c>
      <c r="AP104" s="269">
        <v>204032</v>
      </c>
      <c r="AQ104" s="452">
        <f>AO104/AP104</f>
        <v>9.952928952321205</v>
      </c>
      <c r="AR104" s="716">
        <v>40963</v>
      </c>
      <c r="AS104" s="413" t="s">
        <v>515</v>
      </c>
    </row>
    <row r="105" spans="1:45" s="10" customFormat="1" ht="15.75" hidden="1">
      <c r="A105" s="331"/>
      <c r="B105" s="311"/>
      <c r="C105" s="315" t="s">
        <v>261</v>
      </c>
      <c r="D105" s="332"/>
      <c r="E105" s="332"/>
      <c r="F105" s="312"/>
      <c r="G105" s="332"/>
      <c r="H105" s="410"/>
      <c r="I105" s="314"/>
      <c r="J105" s="207" t="s">
        <v>676</v>
      </c>
      <c r="K105" s="466" t="s">
        <v>678</v>
      </c>
      <c r="L105" s="461" t="s">
        <v>85</v>
      </c>
      <c r="M105" s="466" t="s">
        <v>677</v>
      </c>
      <c r="N105" s="464">
        <v>40599</v>
      </c>
      <c r="O105" s="465" t="s">
        <v>68</v>
      </c>
      <c r="P105" s="258">
        <v>60</v>
      </c>
      <c r="Q105" s="259">
        <v>1</v>
      </c>
      <c r="R105" s="259">
        <v>17</v>
      </c>
      <c r="S105" s="554">
        <v>0</v>
      </c>
      <c r="T105" s="555">
        <v>0</v>
      </c>
      <c r="U105" s="554">
        <v>0</v>
      </c>
      <c r="V105" s="555">
        <v>0</v>
      </c>
      <c r="W105" s="554">
        <v>0</v>
      </c>
      <c r="X105" s="555">
        <v>0</v>
      </c>
      <c r="Y105" s="435">
        <f>SUM(S105+U105+W105)</f>
        <v>0</v>
      </c>
      <c r="Z105" s="436">
        <f>T105+V105+X105</f>
        <v>0</v>
      </c>
      <c r="AA105" s="422">
        <f>IF(Y105&lt;&gt;0,Z105/Q105,"")</f>
      </c>
      <c r="AB105" s="423">
        <f>IF(Y105&lt;&gt;0,Y105/Z105,"")</f>
      </c>
      <c r="AC105" s="426">
        <v>0</v>
      </c>
      <c r="AD105" s="425">
        <f>IF(AC105&lt;&gt;0,-(AC105-Y105)/AC105,"")</f>
      </c>
      <c r="AE105" s="690">
        <f>AG105-Y105</f>
        <v>1188</v>
      </c>
      <c r="AF105" s="691">
        <f>AH105-Z105</f>
        <v>238</v>
      </c>
      <c r="AG105" s="701">
        <v>1188</v>
      </c>
      <c r="AH105" s="702">
        <v>238</v>
      </c>
      <c r="AI105" s="692">
        <f>Z105*1/AH105</f>
        <v>0</v>
      </c>
      <c r="AJ105" s="692">
        <f>AF105*1/AH105</f>
        <v>1</v>
      </c>
      <c r="AK105" s="691">
        <f>AH105/Q105</f>
        <v>238</v>
      </c>
      <c r="AL105" s="693">
        <f>AG105/AH105</f>
        <v>4.991596638655462</v>
      </c>
      <c r="AM105" s="694"/>
      <c r="AN105" s="692"/>
      <c r="AO105" s="268">
        <f>324952+205669.75+36076.25+7149.5+4976+6474+8888+8102.5+7995.5+1904.5+2442.5+3379+326+230+1971.5+455+1188</f>
        <v>622180</v>
      </c>
      <c r="AP105" s="269">
        <f>28582+18445+3670+1269+845+865+1858+1230+1292+340+347+689+52+38+447+79+238</f>
        <v>60286</v>
      </c>
      <c r="AQ105" s="452">
        <f>AO105/AP105</f>
        <v>10.320472414822678</v>
      </c>
      <c r="AR105" s="716">
        <v>40963</v>
      </c>
      <c r="AS105" s="413" t="s">
        <v>520</v>
      </c>
    </row>
    <row r="106" spans="1:45" s="10" customFormat="1" ht="15.75" hidden="1">
      <c r="A106" s="331"/>
      <c r="B106" s="311"/>
      <c r="C106" s="315" t="s">
        <v>261</v>
      </c>
      <c r="D106" s="312"/>
      <c r="E106" s="312"/>
      <c r="F106" s="327">
        <v>2</v>
      </c>
      <c r="G106" s="312"/>
      <c r="H106" s="312"/>
      <c r="I106" s="316" t="s">
        <v>54</v>
      </c>
      <c r="J106" s="207" t="s">
        <v>680</v>
      </c>
      <c r="K106" s="466" t="s">
        <v>686</v>
      </c>
      <c r="L106" s="466"/>
      <c r="M106" s="466" t="s">
        <v>680</v>
      </c>
      <c r="N106" s="464">
        <v>40669</v>
      </c>
      <c r="O106" s="465" t="s">
        <v>68</v>
      </c>
      <c r="P106" s="258">
        <v>31</v>
      </c>
      <c r="Q106" s="259">
        <v>1</v>
      </c>
      <c r="R106" s="259">
        <v>18</v>
      </c>
      <c r="S106" s="554">
        <v>0</v>
      </c>
      <c r="T106" s="555">
        <v>0</v>
      </c>
      <c r="U106" s="554">
        <v>0</v>
      </c>
      <c r="V106" s="555">
        <v>0</v>
      </c>
      <c r="W106" s="554">
        <v>0</v>
      </c>
      <c r="X106" s="555">
        <v>0</v>
      </c>
      <c r="Y106" s="435">
        <f>SUM(S106+U106+W106)</f>
        <v>0</v>
      </c>
      <c r="Z106" s="436">
        <f>T106+V106+X106</f>
        <v>0</v>
      </c>
      <c r="AA106" s="422"/>
      <c r="AB106" s="423"/>
      <c r="AC106" s="426">
        <v>0</v>
      </c>
      <c r="AD106" s="425">
        <f>IF(AC106&lt;&gt;0,-(AC106-Y106)/AC106,"")</f>
      </c>
      <c r="AE106" s="690">
        <f>AG106-Y106</f>
        <v>950.5</v>
      </c>
      <c r="AF106" s="691">
        <f>AH106-Z106</f>
        <v>190</v>
      </c>
      <c r="AG106" s="701">
        <v>950.5</v>
      </c>
      <c r="AH106" s="702">
        <v>190</v>
      </c>
      <c r="AI106" s="692">
        <f>Z106*1/AH106</f>
        <v>0</v>
      </c>
      <c r="AJ106" s="692">
        <f>AF106*1/AH106</f>
        <v>1</v>
      </c>
      <c r="AK106" s="691">
        <f>AH106/Q106</f>
        <v>190</v>
      </c>
      <c r="AL106" s="693">
        <f>AG106/AH106</f>
        <v>5.002631578947368</v>
      </c>
      <c r="AM106" s="694"/>
      <c r="AN106" s="692"/>
      <c r="AO106" s="268">
        <f>175019+105176.5+33821+39610.5+24959.5+21794.5+6227+4449+362+706+2230+1369.5+1342.5+950.5+240+2366+3801.5+950.5</f>
        <v>425375.5</v>
      </c>
      <c r="AP106" s="269">
        <f>19673+11998+4200+5352+3807+3790+1054+773+55+128+469+229+219+157+30+429+950+190</f>
        <v>53503</v>
      </c>
      <c r="AQ106" s="452">
        <f>AO106/AP106</f>
        <v>7.950498102910117</v>
      </c>
      <c r="AR106" s="716">
        <v>40963</v>
      </c>
      <c r="AS106" s="413" t="s">
        <v>523</v>
      </c>
    </row>
    <row r="107" spans="1:45" s="10" customFormat="1" ht="15.75" hidden="1">
      <c r="A107" s="331"/>
      <c r="B107" s="311"/>
      <c r="C107" s="315" t="s">
        <v>261</v>
      </c>
      <c r="D107" s="312"/>
      <c r="E107" s="312"/>
      <c r="F107" s="312"/>
      <c r="G107" s="312"/>
      <c r="H107" s="312"/>
      <c r="I107" s="314"/>
      <c r="J107" s="207" t="s">
        <v>679</v>
      </c>
      <c r="K107" s="466" t="s">
        <v>685</v>
      </c>
      <c r="L107" s="466" t="s">
        <v>89</v>
      </c>
      <c r="M107" s="466" t="s">
        <v>684</v>
      </c>
      <c r="N107" s="464">
        <v>40718</v>
      </c>
      <c r="O107" s="465" t="s">
        <v>68</v>
      </c>
      <c r="P107" s="258">
        <v>25</v>
      </c>
      <c r="Q107" s="259">
        <v>1</v>
      </c>
      <c r="R107" s="259">
        <v>16</v>
      </c>
      <c r="S107" s="554">
        <v>0</v>
      </c>
      <c r="T107" s="555">
        <v>0</v>
      </c>
      <c r="U107" s="554">
        <v>0</v>
      </c>
      <c r="V107" s="555">
        <v>0</v>
      </c>
      <c r="W107" s="554">
        <v>0</v>
      </c>
      <c r="X107" s="555">
        <v>0</v>
      </c>
      <c r="Y107" s="435">
        <f>SUM(S107+U107+W107)</f>
        <v>0</v>
      </c>
      <c r="Z107" s="436">
        <f>T107+V107+X107</f>
        <v>0</v>
      </c>
      <c r="AA107" s="422"/>
      <c r="AB107" s="423"/>
      <c r="AC107" s="426">
        <v>0</v>
      </c>
      <c r="AD107" s="425">
        <f>IF(AC107&lt;&gt;0,-(AC107-Y107)/AC107,"")</f>
      </c>
      <c r="AE107" s="690">
        <f>AG107-Y107</f>
        <v>950.5</v>
      </c>
      <c r="AF107" s="691">
        <f>AH107-Z107</f>
        <v>190</v>
      </c>
      <c r="AG107" s="701">
        <v>950.5</v>
      </c>
      <c r="AH107" s="702">
        <v>190</v>
      </c>
      <c r="AI107" s="692">
        <f>Z107*1/AH107</f>
        <v>0</v>
      </c>
      <c r="AJ107" s="692">
        <f>AF107*1/AH107</f>
        <v>1</v>
      </c>
      <c r="AK107" s="691">
        <f>AH107/Q107</f>
        <v>190</v>
      </c>
      <c r="AL107" s="693">
        <f>AG107/AH107</f>
        <v>5.002631578947368</v>
      </c>
      <c r="AM107" s="694"/>
      <c r="AN107" s="692"/>
      <c r="AO107" s="268">
        <f>57373+29138.5+18608.5+18274+18081+33158.5+15047+12993+4041+3825+2818+2748+473+119+6415.5+950.5</f>
        <v>224063.5</v>
      </c>
      <c r="AP107" s="269">
        <f>5353+2775+2460+2094+2184+3706+2068+1709+576+481+366+567+74+16+1605+190</f>
        <v>26224</v>
      </c>
      <c r="AQ107" s="452">
        <f>AO107/AP107</f>
        <v>8.544215222696767</v>
      </c>
      <c r="AR107" s="716">
        <v>40963</v>
      </c>
      <c r="AS107" s="413" t="s">
        <v>524</v>
      </c>
    </row>
    <row r="108" spans="1:46" s="10" customFormat="1" ht="15.75" hidden="1">
      <c r="A108" s="331"/>
      <c r="B108" s="311"/>
      <c r="C108" s="315" t="s">
        <v>261</v>
      </c>
      <c r="D108" s="312"/>
      <c r="E108" s="318"/>
      <c r="F108" s="312"/>
      <c r="G108" s="312"/>
      <c r="H108" s="313"/>
      <c r="I108" s="313"/>
      <c r="J108" s="207" t="s">
        <v>625</v>
      </c>
      <c r="K108" s="466" t="s">
        <v>636</v>
      </c>
      <c r="L108" s="461" t="s">
        <v>128</v>
      </c>
      <c r="M108" s="466" t="s">
        <v>638</v>
      </c>
      <c r="N108" s="464">
        <v>40893</v>
      </c>
      <c r="O108" s="465" t="s">
        <v>68</v>
      </c>
      <c r="P108" s="258">
        <v>1</v>
      </c>
      <c r="Q108" s="259">
        <v>1</v>
      </c>
      <c r="R108" s="259">
        <v>3</v>
      </c>
      <c r="S108" s="554">
        <v>0</v>
      </c>
      <c r="T108" s="555">
        <v>0</v>
      </c>
      <c r="U108" s="554">
        <v>0</v>
      </c>
      <c r="V108" s="555">
        <v>0</v>
      </c>
      <c r="W108" s="554">
        <v>0</v>
      </c>
      <c r="X108" s="555">
        <v>0</v>
      </c>
      <c r="Y108" s="435">
        <f>SUM(S108+U108+W108)</f>
        <v>0</v>
      </c>
      <c r="Z108" s="436">
        <f>T108+V108+X108</f>
        <v>0</v>
      </c>
      <c r="AA108" s="422"/>
      <c r="AB108" s="423"/>
      <c r="AC108" s="426">
        <v>0</v>
      </c>
      <c r="AD108" s="425">
        <f>IF(AC108&lt;&gt;0,-(AC108-Y108)/AC108,"")</f>
      </c>
      <c r="AE108" s="690">
        <f>AG108-Y108</f>
        <v>938</v>
      </c>
      <c r="AF108" s="691">
        <f>AH108-Z108</f>
        <v>93</v>
      </c>
      <c r="AG108" s="701">
        <v>938</v>
      </c>
      <c r="AH108" s="702">
        <v>93</v>
      </c>
      <c r="AI108" s="692">
        <f>Z108*1/AH108</f>
        <v>0</v>
      </c>
      <c r="AJ108" s="692">
        <f>AF108*1/AH108</f>
        <v>1</v>
      </c>
      <c r="AK108" s="691">
        <f>AH108/Q108</f>
        <v>93</v>
      </c>
      <c r="AL108" s="693">
        <f>AG108/AH108</f>
        <v>10.086021505376344</v>
      </c>
      <c r="AM108" s="694"/>
      <c r="AN108" s="692"/>
      <c r="AO108" s="268">
        <f>1021.5+726.5+3207.5+938</f>
        <v>5893.5</v>
      </c>
      <c r="AP108" s="269">
        <f>71+52+642+93</f>
        <v>858</v>
      </c>
      <c r="AQ108" s="452">
        <f>AO108/AP108</f>
        <v>6.868881118881119</v>
      </c>
      <c r="AR108" s="716">
        <v>40963</v>
      </c>
      <c r="AS108" s="413" t="s">
        <v>525</v>
      </c>
      <c r="AT108" s="60"/>
    </row>
    <row r="109" spans="1:45" s="10" customFormat="1" ht="15.75" hidden="1">
      <c r="A109" s="331"/>
      <c r="B109" s="311"/>
      <c r="C109" s="315" t="s">
        <v>261</v>
      </c>
      <c r="D109" s="312"/>
      <c r="E109" s="312"/>
      <c r="F109" s="312"/>
      <c r="G109" s="312"/>
      <c r="H109" s="317" t="s">
        <v>55</v>
      </c>
      <c r="I109" s="314"/>
      <c r="J109" s="207" t="s">
        <v>354</v>
      </c>
      <c r="K109" s="466" t="s">
        <v>126</v>
      </c>
      <c r="L109" s="461" t="s">
        <v>397</v>
      </c>
      <c r="M109" s="466" t="s">
        <v>354</v>
      </c>
      <c r="N109" s="464">
        <v>40641</v>
      </c>
      <c r="O109" s="465" t="s">
        <v>68</v>
      </c>
      <c r="P109" s="258">
        <v>137</v>
      </c>
      <c r="Q109" s="259">
        <v>1</v>
      </c>
      <c r="R109" s="259">
        <v>41</v>
      </c>
      <c r="S109" s="554">
        <v>0</v>
      </c>
      <c r="T109" s="555">
        <v>0</v>
      </c>
      <c r="U109" s="554">
        <v>0</v>
      </c>
      <c r="V109" s="555">
        <v>0</v>
      </c>
      <c r="W109" s="554">
        <v>0</v>
      </c>
      <c r="X109" s="555">
        <v>0</v>
      </c>
      <c r="Y109" s="435">
        <f>SUM(S109+U109+W109)</f>
        <v>0</v>
      </c>
      <c r="Z109" s="436">
        <f>T109+V109+X109</f>
        <v>0</v>
      </c>
      <c r="AA109" s="422">
        <f>IF(Y109&lt;&gt;0,Z109/Q109,"")</f>
      </c>
      <c r="AB109" s="423">
        <f>IF(Y109&lt;&gt;0,Y109/Z109,"")</f>
      </c>
      <c r="AC109" s="426">
        <v>0</v>
      </c>
      <c r="AD109" s="425">
        <f>IF(AC109&lt;&gt;0,-(AC109-Y109)/AC109,"")</f>
      </c>
      <c r="AE109" s="690">
        <f>AG109-Y109</f>
        <v>831</v>
      </c>
      <c r="AF109" s="691">
        <f>AH109-Z109</f>
        <v>166</v>
      </c>
      <c r="AG109" s="701">
        <v>831</v>
      </c>
      <c r="AH109" s="702">
        <v>166</v>
      </c>
      <c r="AI109" s="692">
        <f>Z109*1/AH109</f>
        <v>0</v>
      </c>
      <c r="AJ109" s="692">
        <f>AF109*1/AH109</f>
        <v>1</v>
      </c>
      <c r="AK109" s="691">
        <f>AH109/Q109</f>
        <v>166</v>
      </c>
      <c r="AL109" s="693">
        <f>AG109/AH109</f>
        <v>5.006024096385542</v>
      </c>
      <c r="AM109" s="694">
        <v>2318</v>
      </c>
      <c r="AN109" s="692">
        <f>IF(AM109&lt;&gt;0,-(AM109-AG109)/AM109,"")</f>
        <v>-0.6415012942191545</v>
      </c>
      <c r="AO109" s="268">
        <f>1093950.25+883807.25+882248.49+232093.5+101981.5+57830.5+19947.5+33359.5+10973.5+10465+4630+3501.5+10659+9758.5+3633+5790+6145.5+1329.5+1868.5+1128+2980.5+1299.5+16988+15449+14138+200+1908+7960+4871+1544.5+1533+891+3175+713+425+224+993+2318+3705+4989.5+1188+831</f>
        <v>3463424.49</v>
      </c>
      <c r="AP109" s="269">
        <f>103570+88345+90215+25333+13427+8958+3731+5336+2366+2057+997+691+1831+2140+654+1021+736+207+401+189+424+234+4142+3841+3526+40+471+1991+1218+386+96+56+735+178+84+42+228+1120+1571+1248+238+166</f>
        <v>374240</v>
      </c>
      <c r="AQ109" s="452">
        <f>AO109/AP109</f>
        <v>9.254554537195384</v>
      </c>
      <c r="AR109" s="716">
        <v>40963</v>
      </c>
      <c r="AS109" s="413" t="s">
        <v>526</v>
      </c>
    </row>
    <row r="110" spans="1:45" s="10" customFormat="1" ht="15.75" hidden="1">
      <c r="A110" s="331"/>
      <c r="B110" s="332"/>
      <c r="C110" s="315" t="s">
        <v>261</v>
      </c>
      <c r="D110" s="312"/>
      <c r="E110" s="312"/>
      <c r="F110" s="312"/>
      <c r="G110" s="312"/>
      <c r="H110" s="313"/>
      <c r="I110" s="313"/>
      <c r="J110" s="209" t="s">
        <v>667</v>
      </c>
      <c r="K110" s="462" t="s">
        <v>669</v>
      </c>
      <c r="L110" s="470" t="s">
        <v>138</v>
      </c>
      <c r="M110" s="461" t="s">
        <v>668</v>
      </c>
      <c r="N110" s="464">
        <v>41175</v>
      </c>
      <c r="O110" s="465" t="s">
        <v>53</v>
      </c>
      <c r="P110" s="274">
        <v>51</v>
      </c>
      <c r="Q110" s="275">
        <v>1</v>
      </c>
      <c r="R110" s="275">
        <v>11</v>
      </c>
      <c r="S110" s="556">
        <v>74</v>
      </c>
      <c r="T110" s="557">
        <v>6</v>
      </c>
      <c r="U110" s="556">
        <v>108</v>
      </c>
      <c r="V110" s="557">
        <v>10</v>
      </c>
      <c r="W110" s="556">
        <v>112</v>
      </c>
      <c r="X110" s="557">
        <v>11</v>
      </c>
      <c r="Y110" s="435">
        <f>SUM(S110+U110+W110)</f>
        <v>294</v>
      </c>
      <c r="Z110" s="436">
        <f>T110+V110+X110</f>
        <v>27</v>
      </c>
      <c r="AA110" s="422">
        <f>IF(Y110&lt;&gt;0,Z110/Q110,"")</f>
        <v>27</v>
      </c>
      <c r="AB110" s="423">
        <f>IF(Y110&lt;&gt;0,Y110/Z110,"")</f>
        <v>10.88888888888889</v>
      </c>
      <c r="AC110" s="426">
        <v>294</v>
      </c>
      <c r="AD110" s="425">
        <f>IF(AC110&lt;&gt;0,-(AC110-Y110)/AC110,"")</f>
        <v>0</v>
      </c>
      <c r="AE110" s="690">
        <f>AG110-Y110</f>
        <v>514</v>
      </c>
      <c r="AF110" s="691">
        <f>AH110-Z110</f>
        <v>54</v>
      </c>
      <c r="AG110" s="701">
        <v>808</v>
      </c>
      <c r="AH110" s="702">
        <v>81</v>
      </c>
      <c r="AI110" s="692">
        <f>Z110*1/AH110</f>
        <v>0.3333333333333333</v>
      </c>
      <c r="AJ110" s="692">
        <f>AF110*1/AH110</f>
        <v>0.6666666666666666</v>
      </c>
      <c r="AK110" s="691">
        <f>AH110/Q110</f>
        <v>81</v>
      </c>
      <c r="AL110" s="693">
        <f>AG110/AH110</f>
        <v>9.975308641975309</v>
      </c>
      <c r="AM110" s="696">
        <v>1510</v>
      </c>
      <c r="AN110" s="692"/>
      <c r="AO110" s="268">
        <f>365324+274223.5+203452+116521.5+40713.5+8734.5+7823+1091+1063.5+451+808</f>
        <v>1020205.5</v>
      </c>
      <c r="AP110" s="269">
        <f>32747+24923+18547+11662+5049+1079+999+148+136+54+81</f>
        <v>95425</v>
      </c>
      <c r="AQ110" s="452">
        <f>AO110/AP110</f>
        <v>10.69117631647891</v>
      </c>
      <c r="AR110" s="716">
        <v>40963</v>
      </c>
      <c r="AS110" s="413" t="s">
        <v>527</v>
      </c>
    </row>
    <row r="111" spans="1:46" s="10" customFormat="1" ht="15.75" hidden="1">
      <c r="A111" s="331"/>
      <c r="B111" s="311"/>
      <c r="C111" s="315" t="s">
        <v>261</v>
      </c>
      <c r="D111" s="312"/>
      <c r="E111" s="312"/>
      <c r="F111" s="312"/>
      <c r="G111" s="312"/>
      <c r="H111" s="313"/>
      <c r="I111" s="316" t="s">
        <v>54</v>
      </c>
      <c r="J111" s="207" t="s">
        <v>73</v>
      </c>
      <c r="K111" s="466" t="s">
        <v>87</v>
      </c>
      <c r="L111" s="466"/>
      <c r="M111" s="466" t="s">
        <v>73</v>
      </c>
      <c r="N111" s="464">
        <v>40858</v>
      </c>
      <c r="O111" s="465" t="s">
        <v>68</v>
      </c>
      <c r="P111" s="258">
        <v>32</v>
      </c>
      <c r="Q111" s="259">
        <v>1</v>
      </c>
      <c r="R111" s="259">
        <v>15</v>
      </c>
      <c r="S111" s="554">
        <v>0</v>
      </c>
      <c r="T111" s="555">
        <v>0</v>
      </c>
      <c r="U111" s="554">
        <v>0</v>
      </c>
      <c r="V111" s="555">
        <v>0</v>
      </c>
      <c r="W111" s="554">
        <v>0</v>
      </c>
      <c r="X111" s="555">
        <v>0</v>
      </c>
      <c r="Y111" s="435">
        <f>SUM(S111+U111+W111)</f>
        <v>0</v>
      </c>
      <c r="Z111" s="436">
        <f>T111+V111+X111</f>
        <v>0</v>
      </c>
      <c r="AA111" s="422">
        <f>IF(Y111&lt;&gt;0,Z111/Q111,"")</f>
      </c>
      <c r="AB111" s="423">
        <f>IF(Y111&lt;&gt;0,Y111/Z111,"")</f>
      </c>
      <c r="AC111" s="426">
        <v>0</v>
      </c>
      <c r="AD111" s="425">
        <f>IF(AC111&lt;&gt;0,-(AC111-Y111)/AC111,"")</f>
      </c>
      <c r="AE111" s="690">
        <f>AG111-Y111</f>
        <v>745</v>
      </c>
      <c r="AF111" s="691">
        <f>AH111-Z111</f>
        <v>132</v>
      </c>
      <c r="AG111" s="701">
        <v>745</v>
      </c>
      <c r="AH111" s="702">
        <v>132</v>
      </c>
      <c r="AI111" s="692">
        <f>Z111*1/AH111</f>
        <v>0</v>
      </c>
      <c r="AJ111" s="692">
        <f>AF111*1/AH111</f>
        <v>1</v>
      </c>
      <c r="AK111" s="691">
        <f>AH111/Q111</f>
        <v>132</v>
      </c>
      <c r="AL111" s="693">
        <f>AG111/AH111</f>
        <v>5.643939393939394</v>
      </c>
      <c r="AM111" s="694">
        <v>937</v>
      </c>
      <c r="AN111" s="692">
        <f>IF(AM111&lt;&gt;0,-(AM111-AG111)/AM111,"")</f>
        <v>-0.20490928495197439</v>
      </c>
      <c r="AO111" s="268">
        <f>119417+74006.5+30939.5+15734+17682+7740+3814.5+5519+937+732+479+1782+1188+713+96+745</f>
        <v>281524.5</v>
      </c>
      <c r="AP111" s="269">
        <f>12383+8559+4204+1986+2778+1301+707+782+165+115+82+325+238+143+32+132</f>
        <v>33932</v>
      </c>
      <c r="AQ111" s="452">
        <f>AO111/AP111</f>
        <v>8.296725804550277</v>
      </c>
      <c r="AR111" s="716">
        <v>40963</v>
      </c>
      <c r="AS111" s="413" t="s">
        <v>408</v>
      </c>
      <c r="AT111" s="60"/>
    </row>
    <row r="112" spans="1:45" s="10" customFormat="1" ht="15.75" hidden="1">
      <c r="A112" s="331"/>
      <c r="B112" s="312"/>
      <c r="C112" s="315" t="s">
        <v>261</v>
      </c>
      <c r="D112" s="312"/>
      <c r="E112" s="312"/>
      <c r="F112" s="312"/>
      <c r="G112" s="312"/>
      <c r="H112" s="333"/>
      <c r="I112" s="409"/>
      <c r="J112" s="211" t="s">
        <v>117</v>
      </c>
      <c r="K112" s="462" t="s">
        <v>118</v>
      </c>
      <c r="L112" s="465" t="s">
        <v>95</v>
      </c>
      <c r="M112" s="465" t="s">
        <v>119</v>
      </c>
      <c r="N112" s="471">
        <v>40886</v>
      </c>
      <c r="O112" s="465" t="s">
        <v>10</v>
      </c>
      <c r="P112" s="258">
        <v>25</v>
      </c>
      <c r="Q112" s="271">
        <v>1</v>
      </c>
      <c r="R112" s="271">
        <v>11</v>
      </c>
      <c r="S112" s="268">
        <v>63</v>
      </c>
      <c r="T112" s="269">
        <v>9</v>
      </c>
      <c r="U112" s="268">
        <v>224</v>
      </c>
      <c r="V112" s="269">
        <v>32</v>
      </c>
      <c r="W112" s="268">
        <v>105</v>
      </c>
      <c r="X112" s="269">
        <v>15</v>
      </c>
      <c r="Y112" s="435">
        <f>SUM(S112+U112+W112)</f>
        <v>392</v>
      </c>
      <c r="Z112" s="436">
        <f>T112+V112+X112</f>
        <v>56</v>
      </c>
      <c r="AA112" s="422">
        <f>IF(Y112&lt;&gt;0,Z112/Q112,"")</f>
        <v>56</v>
      </c>
      <c r="AB112" s="423">
        <f>IF(Y112&lt;&gt;0,Y112/Z112,"")</f>
        <v>7</v>
      </c>
      <c r="AC112" s="424">
        <v>392</v>
      </c>
      <c r="AD112" s="425">
        <f>IF(AC112&lt;&gt;0,-(AC112-Y112)/AC112,"")</f>
        <v>0</v>
      </c>
      <c r="AE112" s="690">
        <f>AG112-Y112</f>
        <v>308</v>
      </c>
      <c r="AF112" s="691">
        <f>AH112-Z112</f>
        <v>44</v>
      </c>
      <c r="AG112" s="701">
        <v>700</v>
      </c>
      <c r="AH112" s="702">
        <v>100</v>
      </c>
      <c r="AI112" s="692">
        <f>Z112*1/AH112</f>
        <v>0.56</v>
      </c>
      <c r="AJ112" s="692">
        <f>AF112*1/AH112</f>
        <v>0.44</v>
      </c>
      <c r="AK112" s="691">
        <f>AH112/Q112</f>
        <v>100</v>
      </c>
      <c r="AL112" s="693">
        <f>AG112/AH112</f>
        <v>7</v>
      </c>
      <c r="AM112" s="694">
        <v>1569</v>
      </c>
      <c r="AN112" s="692">
        <f>IF(AM112&lt;&gt;0,-(AM112-AG112)/AM112,"")</f>
        <v>-0.5538559592096877</v>
      </c>
      <c r="AO112" s="268">
        <v>428435</v>
      </c>
      <c r="AP112" s="269">
        <v>35104</v>
      </c>
      <c r="AQ112" s="452">
        <f>AO112/AP112</f>
        <v>12.204734503190519</v>
      </c>
      <c r="AR112" s="716">
        <v>40963</v>
      </c>
      <c r="AS112" s="413" t="s">
        <v>528</v>
      </c>
    </row>
    <row r="113" spans="1:46" s="10" customFormat="1" ht="15.75" hidden="1">
      <c r="A113" s="331"/>
      <c r="B113" s="311"/>
      <c r="C113" s="315" t="s">
        <v>261</v>
      </c>
      <c r="D113" s="324" t="s">
        <v>223</v>
      </c>
      <c r="E113" s="312"/>
      <c r="F113" s="332"/>
      <c r="G113" s="312"/>
      <c r="H113" s="313"/>
      <c r="I113" s="314"/>
      <c r="J113" s="207" t="s">
        <v>444</v>
      </c>
      <c r="K113" s="466" t="s">
        <v>461</v>
      </c>
      <c r="L113" s="466" t="s">
        <v>89</v>
      </c>
      <c r="M113" s="466" t="s">
        <v>452</v>
      </c>
      <c r="N113" s="464">
        <v>40781</v>
      </c>
      <c r="O113" s="465" t="s">
        <v>68</v>
      </c>
      <c r="P113" s="258">
        <v>96</v>
      </c>
      <c r="Q113" s="259">
        <v>1</v>
      </c>
      <c r="R113" s="259">
        <v>17</v>
      </c>
      <c r="S113" s="554">
        <v>0</v>
      </c>
      <c r="T113" s="555">
        <v>0</v>
      </c>
      <c r="U113" s="554">
        <v>0</v>
      </c>
      <c r="V113" s="555">
        <v>0</v>
      </c>
      <c r="W113" s="554">
        <v>0</v>
      </c>
      <c r="X113" s="555">
        <v>0</v>
      </c>
      <c r="Y113" s="435">
        <f>SUM(S113+U113+W113)</f>
        <v>0</v>
      </c>
      <c r="Z113" s="436">
        <f>T113+V113+X113</f>
        <v>0</v>
      </c>
      <c r="AA113" s="422">
        <f>IF(Y113&lt;&gt;0,Z113/Q113,"")</f>
      </c>
      <c r="AB113" s="423">
        <f>IF(Y113&lt;&gt;0,Y113/Z113,"")</f>
      </c>
      <c r="AC113" s="426">
        <v>0</v>
      </c>
      <c r="AD113" s="425">
        <f>IF(AC113&lt;&gt;0,-(AC113-Y113)/AC113,"")</f>
      </c>
      <c r="AE113" s="690">
        <f>AG113-Y113</f>
        <v>392</v>
      </c>
      <c r="AF113" s="691">
        <f>AH113-Z113</f>
        <v>26</v>
      </c>
      <c r="AG113" s="701">
        <v>392</v>
      </c>
      <c r="AH113" s="702">
        <v>26</v>
      </c>
      <c r="AI113" s="692">
        <f>Z113*1/AH113</f>
        <v>0</v>
      </c>
      <c r="AJ113" s="692">
        <f>AF113*1/AH113</f>
        <v>1</v>
      </c>
      <c r="AK113" s="691">
        <f>AH113/Q113</f>
        <v>26</v>
      </c>
      <c r="AL113" s="693">
        <f>AG113/AH113</f>
        <v>15.076923076923077</v>
      </c>
      <c r="AM113" s="694"/>
      <c r="AN113" s="692">
        <f>IF(AM113&lt;&gt;0,-(AM113-AG113)/AM113,"")</f>
      </c>
      <c r="AO113" s="268">
        <f>29056+844874+618474.25+386880.75+207889+130968.5+129398.5+101615+71628.5+47296.5+22263.5+13505+4171.5+5940+3840+5098.5+8056+3564+392</f>
        <v>2634911.5</v>
      </c>
      <c r="AP113" s="269">
        <f>4385+80857+63348+40336+22079+15879+16790+12949+9380+7537+4227+2497+926+1486+944+1206+1963+892+26</f>
        <v>287707</v>
      </c>
      <c r="AQ113" s="452">
        <f>AO113/AP113</f>
        <v>9.15831557800123</v>
      </c>
      <c r="AR113" s="716">
        <v>40963</v>
      </c>
      <c r="AS113" s="413" t="s">
        <v>530</v>
      </c>
      <c r="AT113" s="60"/>
    </row>
    <row r="114" spans="1:45" s="10" customFormat="1" ht="15.75" hidden="1">
      <c r="A114" s="331"/>
      <c r="B114" s="311"/>
      <c r="C114" s="315" t="s">
        <v>261</v>
      </c>
      <c r="D114" s="312"/>
      <c r="E114" s="312"/>
      <c r="F114" s="312"/>
      <c r="G114" s="312"/>
      <c r="H114" s="313"/>
      <c r="I114" s="316" t="s">
        <v>54</v>
      </c>
      <c r="J114" s="207" t="s">
        <v>353</v>
      </c>
      <c r="K114" s="466" t="s">
        <v>364</v>
      </c>
      <c r="L114" s="461"/>
      <c r="M114" s="466" t="s">
        <v>353</v>
      </c>
      <c r="N114" s="464">
        <v>40676</v>
      </c>
      <c r="O114" s="465" t="s">
        <v>68</v>
      </c>
      <c r="P114" s="258">
        <v>11</v>
      </c>
      <c r="Q114" s="259">
        <v>1</v>
      </c>
      <c r="R114" s="259">
        <v>20</v>
      </c>
      <c r="S114" s="554">
        <v>0</v>
      </c>
      <c r="T114" s="555">
        <v>0</v>
      </c>
      <c r="U114" s="554">
        <v>0</v>
      </c>
      <c r="V114" s="555">
        <v>0</v>
      </c>
      <c r="W114" s="554">
        <v>0</v>
      </c>
      <c r="X114" s="555">
        <v>0</v>
      </c>
      <c r="Y114" s="435">
        <f>SUM(S114+U114+W114)</f>
        <v>0</v>
      </c>
      <c r="Z114" s="436">
        <f>T114+V114+X114</f>
        <v>0</v>
      </c>
      <c r="AA114" s="422">
        <f>IF(Y114&lt;&gt;0,Z114/Q114,"")</f>
      </c>
      <c r="AB114" s="423">
        <f>IF(Y114&lt;&gt;0,Y114/Z114,"")</f>
      </c>
      <c r="AC114" s="426">
        <v>0</v>
      </c>
      <c r="AD114" s="425">
        <f>IF(AC114&lt;&gt;0,-(AC114-Y114)/AC114,"")</f>
      </c>
      <c r="AE114" s="690">
        <f>AG114-Y114</f>
        <v>357</v>
      </c>
      <c r="AF114" s="691">
        <f>AH114-Z114</f>
        <v>158</v>
      </c>
      <c r="AG114" s="701">
        <v>357</v>
      </c>
      <c r="AH114" s="702">
        <v>158</v>
      </c>
      <c r="AI114" s="692">
        <f>Z114*1/AH114</f>
        <v>0</v>
      </c>
      <c r="AJ114" s="692">
        <f>AF114*1/AH114</f>
        <v>1</v>
      </c>
      <c r="AK114" s="691">
        <f>AH114/Q114</f>
        <v>158</v>
      </c>
      <c r="AL114" s="693">
        <f>AG114/AH114</f>
        <v>2.259493670886076</v>
      </c>
      <c r="AM114" s="694">
        <v>3801.5</v>
      </c>
      <c r="AN114" s="692">
        <f>IF(AM114&lt;&gt;0,-(AM114-AG114)/AM114,"")</f>
        <v>-0.9060897014336446</v>
      </c>
      <c r="AO114" s="268">
        <f>19776.5+5289.5+3941.5+4149+6030.5+491+2263+886+669+235+576+182+578+116+1188+1782+1782+1782+1782+3801.5+2138.5+357</f>
        <v>59796</v>
      </c>
      <c r="AP114" s="269">
        <f>2214+710+772+646+1024+103+434+139+105+46+100+16+62+13+297+446+446+446+446+950+535+158</f>
        <v>10108</v>
      </c>
      <c r="AQ114" s="452">
        <f>AO114/AP114</f>
        <v>5.915710328452711</v>
      </c>
      <c r="AR114" s="716">
        <v>40963</v>
      </c>
      <c r="AS114" s="413" t="s">
        <v>531</v>
      </c>
    </row>
    <row r="115" spans="1:102" s="308" customFormat="1" ht="15.75" hidden="1">
      <c r="A115" s="331"/>
      <c r="B115" s="321"/>
      <c r="C115" s="315" t="s">
        <v>261</v>
      </c>
      <c r="D115" s="322"/>
      <c r="E115" s="322"/>
      <c r="F115" s="318"/>
      <c r="G115" s="323" t="s">
        <v>292</v>
      </c>
      <c r="H115" s="314"/>
      <c r="I115" s="311"/>
      <c r="J115" s="207" t="s">
        <v>86</v>
      </c>
      <c r="K115" s="462" t="s">
        <v>90</v>
      </c>
      <c r="L115" s="463" t="s">
        <v>85</v>
      </c>
      <c r="M115" s="463" t="s">
        <v>84</v>
      </c>
      <c r="N115" s="464">
        <v>40865</v>
      </c>
      <c r="O115" s="465" t="s">
        <v>68</v>
      </c>
      <c r="P115" s="266">
        <v>269</v>
      </c>
      <c r="Q115" s="259">
        <v>3</v>
      </c>
      <c r="R115" s="259">
        <v>12</v>
      </c>
      <c r="S115" s="554">
        <v>0</v>
      </c>
      <c r="T115" s="555">
        <v>0</v>
      </c>
      <c r="U115" s="554">
        <v>0</v>
      </c>
      <c r="V115" s="555">
        <v>0</v>
      </c>
      <c r="W115" s="554">
        <v>0</v>
      </c>
      <c r="X115" s="555">
        <v>0</v>
      </c>
      <c r="Y115" s="435">
        <f>SUM(S115+U115+W115)</f>
        <v>0</v>
      </c>
      <c r="Z115" s="436">
        <f>T115+V115+X115</f>
        <v>0</v>
      </c>
      <c r="AA115" s="422">
        <f>IF(Y115&lt;&gt;0,Z115/Q115,"")</f>
      </c>
      <c r="AB115" s="423">
        <f>IF(Y115&lt;&gt;0,Y115/Z115,"")</f>
      </c>
      <c r="AC115" s="421">
        <v>0</v>
      </c>
      <c r="AD115" s="425">
        <f>IF(AC115&lt;&gt;0,-(AC115-Y115)/AC115,"")</f>
      </c>
      <c r="AE115" s="690">
        <f>AG115-Y115</f>
        <v>306</v>
      </c>
      <c r="AF115" s="691">
        <f>AH115-Z115</f>
        <v>34</v>
      </c>
      <c r="AG115" s="701">
        <v>306</v>
      </c>
      <c r="AH115" s="702">
        <v>34</v>
      </c>
      <c r="AI115" s="692">
        <f>Z115*1/AH115</f>
        <v>0</v>
      </c>
      <c r="AJ115" s="692">
        <f>AF115*1/AH115</f>
        <v>1</v>
      </c>
      <c r="AK115" s="691">
        <f>AH115/Q115</f>
        <v>11.333333333333334</v>
      </c>
      <c r="AL115" s="693">
        <f>AG115/AH115</f>
        <v>9</v>
      </c>
      <c r="AM115" s="694">
        <v>513</v>
      </c>
      <c r="AN115" s="692">
        <f>IF(AM115&lt;&gt;0,-(AM115-AG115)/AM115,"")</f>
        <v>-0.40350877192982454</v>
      </c>
      <c r="AO115" s="268">
        <f>5909490.25+3097966.75+1490952+971866.5+533653.5+131687+50452.5+9558+4400+2382+513+2984+2736+306</f>
        <v>12208947.5</v>
      </c>
      <c r="AP115" s="269">
        <f>649738+347416+170125+112162+66621+19435+10184+1583+654+354+78+504+583+34</f>
        <v>1379471</v>
      </c>
      <c r="AQ115" s="452">
        <f>AO115/AP115</f>
        <v>8.850456080628009</v>
      </c>
      <c r="AR115" s="716">
        <v>40963</v>
      </c>
      <c r="AS115" s="413" t="s">
        <v>532</v>
      </c>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row>
    <row r="116" spans="1:102" s="308" customFormat="1" ht="15.75" hidden="1">
      <c r="A116" s="331"/>
      <c r="B116" s="311"/>
      <c r="C116" s="315" t="s">
        <v>261</v>
      </c>
      <c r="D116" s="312"/>
      <c r="E116" s="312"/>
      <c r="F116" s="312"/>
      <c r="G116" s="312"/>
      <c r="H116" s="313"/>
      <c r="I116" s="316" t="s">
        <v>54</v>
      </c>
      <c r="J116" s="207" t="s">
        <v>143</v>
      </c>
      <c r="K116" s="462" t="s">
        <v>127</v>
      </c>
      <c r="L116" s="461"/>
      <c r="M116" s="466" t="s">
        <v>143</v>
      </c>
      <c r="N116" s="464">
        <v>40893</v>
      </c>
      <c r="O116" s="465" t="s">
        <v>68</v>
      </c>
      <c r="P116" s="258">
        <v>23</v>
      </c>
      <c r="Q116" s="259">
        <v>1</v>
      </c>
      <c r="R116" s="259">
        <v>10</v>
      </c>
      <c r="S116" s="554">
        <v>0</v>
      </c>
      <c r="T116" s="555">
        <v>0</v>
      </c>
      <c r="U116" s="554">
        <v>0</v>
      </c>
      <c r="V116" s="555">
        <v>0</v>
      </c>
      <c r="W116" s="554">
        <v>0</v>
      </c>
      <c r="X116" s="555">
        <v>0</v>
      </c>
      <c r="Y116" s="435">
        <f>SUM(S116+U116+W116)</f>
        <v>0</v>
      </c>
      <c r="Z116" s="436">
        <f>T116+V116+X116</f>
        <v>0</v>
      </c>
      <c r="AA116" s="422">
        <f>IF(Y116&lt;&gt;0,Z116/Q116,"")</f>
      </c>
      <c r="AB116" s="423">
        <f>IF(Y116&lt;&gt;0,Y116/Z116,"")</f>
      </c>
      <c r="AC116" s="426">
        <v>0</v>
      </c>
      <c r="AD116" s="425">
        <f>IF(AC116&lt;&gt;0,-(AC116-Y116)/AC116,"")</f>
      </c>
      <c r="AE116" s="690">
        <f>AG116-Y116</f>
        <v>3801.5</v>
      </c>
      <c r="AF116" s="691">
        <f>AH116-Z116</f>
        <v>760</v>
      </c>
      <c r="AG116" s="705">
        <v>3801.5</v>
      </c>
      <c r="AH116" s="706">
        <v>760</v>
      </c>
      <c r="AI116" s="692">
        <f>Z116*1/AH116</f>
        <v>0</v>
      </c>
      <c r="AJ116" s="692">
        <f>AF116*1/AH116</f>
        <v>1</v>
      </c>
      <c r="AK116" s="691">
        <f>AH116/Q116</f>
        <v>760</v>
      </c>
      <c r="AL116" s="693">
        <f>AG116/AH116</f>
        <v>5.001973684210526</v>
      </c>
      <c r="AM116" s="694">
        <v>3291</v>
      </c>
      <c r="AN116" s="692">
        <f>IF(AM116&lt;&gt;0,-(AM116-AG116)/AM116,"")</f>
        <v>0.15512002430872077</v>
      </c>
      <c r="AO116" s="270">
        <f>53228.5+28585+20298.5+8299+5922+6463+2186.5+3291+2777+3801.5</f>
        <v>134852</v>
      </c>
      <c r="AP116" s="272">
        <f>6440+3537+2691+1237+891+1419+633+570+423+760</f>
        <v>18601</v>
      </c>
      <c r="AQ116" s="452">
        <f>AO116/AP116</f>
        <v>7.249717757109833</v>
      </c>
      <c r="AR116" s="716">
        <v>40956</v>
      </c>
      <c r="AS116" s="413" t="s">
        <v>500</v>
      </c>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row>
    <row r="117" spans="1:102" s="308" customFormat="1" ht="15.75" hidden="1">
      <c r="A117" s="331"/>
      <c r="B117" s="311"/>
      <c r="C117" s="315" t="s">
        <v>261</v>
      </c>
      <c r="D117" s="318"/>
      <c r="E117" s="319">
        <v>3</v>
      </c>
      <c r="F117" s="318"/>
      <c r="G117" s="312"/>
      <c r="H117" s="314"/>
      <c r="I117" s="313"/>
      <c r="J117" s="207" t="s">
        <v>274</v>
      </c>
      <c r="K117" s="462" t="s">
        <v>140</v>
      </c>
      <c r="L117" s="461" t="s">
        <v>85</v>
      </c>
      <c r="M117" s="466" t="s">
        <v>286</v>
      </c>
      <c r="N117" s="464">
        <v>40830</v>
      </c>
      <c r="O117" s="465" t="s">
        <v>68</v>
      </c>
      <c r="P117" s="258">
        <v>98</v>
      </c>
      <c r="Q117" s="259">
        <v>4</v>
      </c>
      <c r="R117" s="259">
        <v>13</v>
      </c>
      <c r="S117" s="554">
        <v>0</v>
      </c>
      <c r="T117" s="555">
        <v>0</v>
      </c>
      <c r="U117" s="554">
        <v>0</v>
      </c>
      <c r="V117" s="555">
        <v>0</v>
      </c>
      <c r="W117" s="554">
        <v>0</v>
      </c>
      <c r="X117" s="555">
        <v>0</v>
      </c>
      <c r="Y117" s="435">
        <f>SUM(S117+U117+W117)</f>
        <v>0</v>
      </c>
      <c r="Z117" s="436">
        <f>T117+V117+X117</f>
        <v>0</v>
      </c>
      <c r="AA117" s="422">
        <f>IF(Y117&lt;&gt;0,Z117/Q117,"")</f>
      </c>
      <c r="AB117" s="423">
        <f>IF(Y117&lt;&gt;0,Y117/Z117,"")</f>
      </c>
      <c r="AC117" s="426">
        <v>0</v>
      </c>
      <c r="AD117" s="425">
        <f>IF(AC117&lt;&gt;0,-(AC117-Y117)/AC117,"")</f>
      </c>
      <c r="AE117" s="690">
        <f>AG117-Y117</f>
        <v>3207.5</v>
      </c>
      <c r="AF117" s="691">
        <f>AH117-Z117</f>
        <v>641</v>
      </c>
      <c r="AG117" s="705">
        <v>3207.5</v>
      </c>
      <c r="AH117" s="706">
        <v>641</v>
      </c>
      <c r="AI117" s="692">
        <f>Z117*1/AH117</f>
        <v>0</v>
      </c>
      <c r="AJ117" s="692">
        <f>AF117*1/AH117</f>
        <v>1</v>
      </c>
      <c r="AK117" s="691">
        <f>AH117/Q117</f>
        <v>160.25</v>
      </c>
      <c r="AL117" s="693">
        <f>AG117/AH117</f>
        <v>5.003900156006241</v>
      </c>
      <c r="AM117" s="694">
        <v>488</v>
      </c>
      <c r="AN117" s="692">
        <f>IF(AM117&lt;&gt;0,-(AM117-AG117)/AM117,"")</f>
        <v>5.572745901639344</v>
      </c>
      <c r="AO117" s="270">
        <f>573965.5+340647.5+298149+37925.5+16221+796+1713.5+3994+1930+1403+3582+6668.5+488+3207.5</f>
        <v>1290691</v>
      </c>
      <c r="AP117" s="272">
        <f>50953+31140+27249+4634+2655+127+438+632+617+597+1015+1646+70+641</f>
        <v>122414</v>
      </c>
      <c r="AQ117" s="452">
        <f>AO117/AP117</f>
        <v>10.543655137484274</v>
      </c>
      <c r="AR117" s="716">
        <v>40956</v>
      </c>
      <c r="AS117" s="413" t="s">
        <v>502</v>
      </c>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row>
    <row r="118" spans="1:102" s="308" customFormat="1" ht="15.75" hidden="1">
      <c r="A118" s="331"/>
      <c r="B118" s="311"/>
      <c r="C118" s="315" t="s">
        <v>261</v>
      </c>
      <c r="D118" s="312"/>
      <c r="E118" s="312"/>
      <c r="F118" s="312"/>
      <c r="G118" s="312"/>
      <c r="H118" s="313"/>
      <c r="I118" s="316" t="s">
        <v>54</v>
      </c>
      <c r="J118" s="209" t="s">
        <v>648</v>
      </c>
      <c r="K118" s="465" t="s">
        <v>653</v>
      </c>
      <c r="L118" s="465"/>
      <c r="M118" s="465" t="s">
        <v>648</v>
      </c>
      <c r="N118" s="464">
        <v>40606</v>
      </c>
      <c r="O118" s="465" t="s">
        <v>52</v>
      </c>
      <c r="P118" s="278">
        <v>152</v>
      </c>
      <c r="Q118" s="259">
        <v>1</v>
      </c>
      <c r="R118" s="259">
        <v>19</v>
      </c>
      <c r="S118" s="261">
        <v>0</v>
      </c>
      <c r="T118" s="262">
        <v>0</v>
      </c>
      <c r="U118" s="261">
        <v>0</v>
      </c>
      <c r="V118" s="262">
        <v>0</v>
      </c>
      <c r="W118" s="261">
        <v>0</v>
      </c>
      <c r="X118" s="262">
        <v>0</v>
      </c>
      <c r="Y118" s="435">
        <f>SUM(S118+U118+W118)</f>
        <v>0</v>
      </c>
      <c r="Z118" s="436">
        <f>T118+V118+X118</f>
        <v>0</v>
      </c>
      <c r="AA118" s="422"/>
      <c r="AB118" s="423"/>
      <c r="AC118" s="426">
        <v>0</v>
      </c>
      <c r="AD118" s="425">
        <f>IF(AC118&lt;&gt;0,-(AC118-Y118)/AC118,"")</f>
      </c>
      <c r="AE118" s="690">
        <f>AG118-Y118</f>
        <v>2970</v>
      </c>
      <c r="AF118" s="691">
        <f>AH118-Z118</f>
        <v>594</v>
      </c>
      <c r="AG118" s="699">
        <v>2970</v>
      </c>
      <c r="AH118" s="700">
        <v>594</v>
      </c>
      <c r="AI118" s="692">
        <f>Z118*1/AH118</f>
        <v>0</v>
      </c>
      <c r="AJ118" s="692">
        <f>AF118*1/AH118</f>
        <v>1</v>
      </c>
      <c r="AK118" s="691">
        <f>AH118/Q118</f>
        <v>594</v>
      </c>
      <c r="AL118" s="693">
        <f>AG118/AH118</f>
        <v>5</v>
      </c>
      <c r="AM118" s="695"/>
      <c r="AN118" s="692"/>
      <c r="AO118" s="261">
        <f>1064857.25+602581.25+269086.5+86552+70688+40243.5+15124.5+5534.5+5248.5+1364+305+140+147+994+250+240+70+55+2970</f>
        <v>2166451</v>
      </c>
      <c r="AP118" s="262">
        <f>118954+67997+33243+12973+11521+6623+2561+922+800+239+45+20+21+199+36+34+14+11+594</f>
        <v>256807</v>
      </c>
      <c r="AQ118" s="452">
        <f>AO118/AP118</f>
        <v>8.436105713629301</v>
      </c>
      <c r="AR118" s="716">
        <v>40956</v>
      </c>
      <c r="AS118" s="413" t="s">
        <v>503</v>
      </c>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row>
    <row r="119" spans="1:102" s="308" customFormat="1" ht="15.75" hidden="1">
      <c r="A119" s="331"/>
      <c r="B119" s="311"/>
      <c r="C119" s="315" t="s">
        <v>261</v>
      </c>
      <c r="D119" s="312"/>
      <c r="E119" s="312"/>
      <c r="F119" s="312"/>
      <c r="G119" s="312"/>
      <c r="H119" s="313"/>
      <c r="I119" s="320"/>
      <c r="J119" s="209" t="s">
        <v>649</v>
      </c>
      <c r="K119" s="465" t="s">
        <v>651</v>
      </c>
      <c r="L119" s="465" t="s">
        <v>99</v>
      </c>
      <c r="M119" s="465" t="s">
        <v>670</v>
      </c>
      <c r="N119" s="464">
        <v>39423</v>
      </c>
      <c r="O119" s="465" t="s">
        <v>52</v>
      </c>
      <c r="P119" s="278">
        <v>164</v>
      </c>
      <c r="Q119" s="259">
        <v>1</v>
      </c>
      <c r="R119" s="259">
        <v>25</v>
      </c>
      <c r="S119" s="261">
        <v>0</v>
      </c>
      <c r="T119" s="262">
        <v>0</v>
      </c>
      <c r="U119" s="261">
        <v>0</v>
      </c>
      <c r="V119" s="262">
        <v>0</v>
      </c>
      <c r="W119" s="261">
        <v>0</v>
      </c>
      <c r="X119" s="262">
        <v>0</v>
      </c>
      <c r="Y119" s="435">
        <f>SUM(S119+U119+W119)</f>
        <v>0</v>
      </c>
      <c r="Z119" s="436">
        <f>T119+V119+X119</f>
        <v>0</v>
      </c>
      <c r="AA119" s="422"/>
      <c r="AB119" s="423"/>
      <c r="AC119" s="426">
        <v>0</v>
      </c>
      <c r="AD119" s="425">
        <f>IF(AC119&lt;&gt;0,-(AC119-Y119)/AC119,"")</f>
      </c>
      <c r="AE119" s="690">
        <f>AG119-Y119</f>
        <v>1901</v>
      </c>
      <c r="AF119" s="691">
        <f>AH119-Z119</f>
        <v>380</v>
      </c>
      <c r="AG119" s="699">
        <v>1901</v>
      </c>
      <c r="AH119" s="700">
        <v>380</v>
      </c>
      <c r="AI119" s="692">
        <f>Z119*1/AH119</f>
        <v>0</v>
      </c>
      <c r="AJ119" s="692">
        <f>AF119*1/AH119</f>
        <v>1</v>
      </c>
      <c r="AK119" s="691">
        <f>AH119/Q119</f>
        <v>380</v>
      </c>
      <c r="AL119" s="693">
        <f>AG119/AH119</f>
        <v>5.002631578947368</v>
      </c>
      <c r="AM119" s="695"/>
      <c r="AN119" s="692"/>
      <c r="AO119" s="261">
        <f>3571428+831+1901</f>
        <v>3574160</v>
      </c>
      <c r="AP119" s="262">
        <f>442208+166+380</f>
        <v>442754</v>
      </c>
      <c r="AQ119" s="452">
        <f>AO119/AP119</f>
        <v>8.07256399716321</v>
      </c>
      <c r="AR119" s="716">
        <v>40956</v>
      </c>
      <c r="AS119" s="413" t="s">
        <v>505</v>
      </c>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row>
    <row r="120" spans="1:102" s="308" customFormat="1" ht="15.75" hidden="1">
      <c r="A120" s="331"/>
      <c r="B120" s="311"/>
      <c r="C120" s="312"/>
      <c r="D120" s="312"/>
      <c r="E120" s="312"/>
      <c r="F120" s="312"/>
      <c r="G120" s="312"/>
      <c r="H120" s="313"/>
      <c r="I120" s="313"/>
      <c r="J120" s="211" t="s">
        <v>158</v>
      </c>
      <c r="K120" s="465" t="s">
        <v>162</v>
      </c>
      <c r="L120" s="465" t="s">
        <v>79</v>
      </c>
      <c r="M120" s="465" t="s">
        <v>161</v>
      </c>
      <c r="N120" s="467">
        <v>40907</v>
      </c>
      <c r="O120" s="465" t="s">
        <v>13</v>
      </c>
      <c r="P120" s="258">
        <v>1</v>
      </c>
      <c r="Q120" s="259">
        <v>1</v>
      </c>
      <c r="R120" s="259">
        <v>4</v>
      </c>
      <c r="S120" s="261">
        <v>204</v>
      </c>
      <c r="T120" s="262">
        <v>19</v>
      </c>
      <c r="U120" s="261">
        <v>390</v>
      </c>
      <c r="V120" s="262">
        <v>37</v>
      </c>
      <c r="W120" s="261">
        <v>562</v>
      </c>
      <c r="X120" s="262">
        <v>53</v>
      </c>
      <c r="Y120" s="435">
        <f>SUM(S120+U120+W120)</f>
        <v>1156</v>
      </c>
      <c r="Z120" s="436">
        <f>T120+V120+X120</f>
        <v>109</v>
      </c>
      <c r="AA120" s="422">
        <f>IF(Y120&lt;&gt;0,Z120/Q120,"")</f>
        <v>109</v>
      </c>
      <c r="AB120" s="423">
        <f>IF(Y120&lt;&gt;0,Y120/Z120,"")</f>
        <v>10.605504587155963</v>
      </c>
      <c r="AC120" s="426">
        <v>1156</v>
      </c>
      <c r="AD120" s="425">
        <f>IF(AC120&lt;&gt;0,-(AC120-Y120)/AC120,"")</f>
        <v>0</v>
      </c>
      <c r="AE120" s="690">
        <f>AG120-Y120</f>
        <v>703</v>
      </c>
      <c r="AF120" s="691">
        <f>AH120-Z120</f>
        <v>73</v>
      </c>
      <c r="AG120" s="699">
        <v>1859</v>
      </c>
      <c r="AH120" s="700">
        <v>182</v>
      </c>
      <c r="AI120" s="692">
        <f>Z120*1/AH120</f>
        <v>0.5989010989010989</v>
      </c>
      <c r="AJ120" s="692">
        <f>AF120*1/AH120</f>
        <v>0.4010989010989011</v>
      </c>
      <c r="AK120" s="691">
        <f>AH120/Q120</f>
        <v>182</v>
      </c>
      <c r="AL120" s="693">
        <f>AG120/AH120</f>
        <v>10.214285714285714</v>
      </c>
      <c r="AM120" s="695">
        <v>2378</v>
      </c>
      <c r="AN120" s="692">
        <f>IF(AM120&lt;&gt;0,-(AM120-AG120)/AM120,"")</f>
        <v>-0.21825063078216989</v>
      </c>
      <c r="AO120" s="261">
        <v>6925</v>
      </c>
      <c r="AP120" s="262">
        <v>705</v>
      </c>
      <c r="AQ120" s="452">
        <f>AO120/AP120</f>
        <v>9.822695035460994</v>
      </c>
      <c r="AR120" s="716">
        <v>40956</v>
      </c>
      <c r="AS120" s="413" t="s">
        <v>506</v>
      </c>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row>
    <row r="121" spans="1:102" s="308" customFormat="1" ht="15.75" hidden="1">
      <c r="A121" s="331"/>
      <c r="B121" s="311"/>
      <c r="C121" s="315" t="s">
        <v>261</v>
      </c>
      <c r="D121" s="324" t="s">
        <v>223</v>
      </c>
      <c r="E121" s="312"/>
      <c r="F121" s="332"/>
      <c r="G121" s="323" t="s">
        <v>292</v>
      </c>
      <c r="H121" s="313"/>
      <c r="I121" s="314"/>
      <c r="J121" s="207" t="s">
        <v>535</v>
      </c>
      <c r="K121" s="466" t="s">
        <v>460</v>
      </c>
      <c r="L121" s="466" t="s">
        <v>89</v>
      </c>
      <c r="M121" s="466" t="s">
        <v>468</v>
      </c>
      <c r="N121" s="464">
        <v>40522</v>
      </c>
      <c r="O121" s="465" t="s">
        <v>68</v>
      </c>
      <c r="P121" s="258">
        <v>127</v>
      </c>
      <c r="Q121" s="259">
        <v>1</v>
      </c>
      <c r="R121" s="259">
        <v>24</v>
      </c>
      <c r="S121" s="554">
        <v>0</v>
      </c>
      <c r="T121" s="555">
        <v>0</v>
      </c>
      <c r="U121" s="554">
        <v>0</v>
      </c>
      <c r="V121" s="555">
        <v>0</v>
      </c>
      <c r="W121" s="554">
        <v>0</v>
      </c>
      <c r="X121" s="555">
        <v>0</v>
      </c>
      <c r="Y121" s="435">
        <f>SUM(S121+U121+W121)</f>
        <v>0</v>
      </c>
      <c r="Z121" s="436">
        <f>T121+V121+X121</f>
        <v>0</v>
      </c>
      <c r="AA121" s="422">
        <f>IF(Y121&lt;&gt;0,Z121/Q121,"")</f>
      </c>
      <c r="AB121" s="423">
        <f>IF(Y121&lt;&gt;0,Y121/Z121,"")</f>
      </c>
      <c r="AC121" s="426">
        <v>0</v>
      </c>
      <c r="AD121" s="425">
        <f>IF(AC121&lt;&gt;0,-(AC121-Y121)/AC121,"")</f>
      </c>
      <c r="AE121" s="690">
        <f>AG121-Y121</f>
        <v>1782</v>
      </c>
      <c r="AF121" s="691">
        <f>AH121-Z121</f>
        <v>356</v>
      </c>
      <c r="AG121" s="705">
        <v>1782</v>
      </c>
      <c r="AH121" s="706">
        <v>356</v>
      </c>
      <c r="AI121" s="692">
        <f>Z121*1/AH121</f>
        <v>0</v>
      </c>
      <c r="AJ121" s="692">
        <f>AF121*1/AH121</f>
        <v>1</v>
      </c>
      <c r="AK121" s="691">
        <f>AH121/Q121</f>
        <v>356</v>
      </c>
      <c r="AL121" s="693">
        <f>AG121/AH121</f>
        <v>5.00561797752809</v>
      </c>
      <c r="AM121" s="694"/>
      <c r="AN121" s="692">
        <f>IF(AM121&lt;&gt;0,-(AM121-AG121)/AM121,"")</f>
      </c>
      <c r="AO121" s="270">
        <f>1048675+809166.5+457718.5+70165.5+7102+12164+8619.5+11777.5+6559.5+3338.5+10420.5+3303+3205+2076+1722.5+314+264+550+5455+5583.5+1818.5+950.5+1188+1782</f>
        <v>2473919</v>
      </c>
      <c r="AP121" s="272">
        <f>92481+73795+43350+8841+1153+2869+1615+2831+1620+630+2477+726+513+481+318+38+33+104+1359+1394+447+238+297+356</f>
        <v>237966</v>
      </c>
      <c r="AQ121" s="452">
        <f>AO121/AP121</f>
        <v>10.396102804602338</v>
      </c>
      <c r="AR121" s="716">
        <v>40956</v>
      </c>
      <c r="AS121" s="413" t="s">
        <v>507</v>
      </c>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row>
    <row r="122" spans="1:102" s="308" customFormat="1" ht="15.75" hidden="1">
      <c r="A122" s="331"/>
      <c r="B122" s="311"/>
      <c r="C122" s="315" t="s">
        <v>261</v>
      </c>
      <c r="D122" s="324" t="s">
        <v>223</v>
      </c>
      <c r="E122" s="318"/>
      <c r="F122" s="327">
        <v>2</v>
      </c>
      <c r="G122" s="312"/>
      <c r="H122" s="314"/>
      <c r="I122" s="313"/>
      <c r="J122" s="207" t="s">
        <v>657</v>
      </c>
      <c r="K122" s="462" t="s">
        <v>126</v>
      </c>
      <c r="L122" s="461" t="s">
        <v>89</v>
      </c>
      <c r="M122" s="466" t="s">
        <v>662</v>
      </c>
      <c r="N122" s="464">
        <v>40760</v>
      </c>
      <c r="O122" s="465" t="s">
        <v>68</v>
      </c>
      <c r="P122" s="258">
        <v>101</v>
      </c>
      <c r="Q122" s="259">
        <v>1</v>
      </c>
      <c r="R122" s="259">
        <v>18</v>
      </c>
      <c r="S122" s="554">
        <v>0</v>
      </c>
      <c r="T122" s="555">
        <v>0</v>
      </c>
      <c r="U122" s="554">
        <v>0</v>
      </c>
      <c r="V122" s="555">
        <v>0</v>
      </c>
      <c r="W122" s="554">
        <v>0</v>
      </c>
      <c r="X122" s="555">
        <v>0</v>
      </c>
      <c r="Y122" s="435">
        <f>SUM(S122+U122+W122)</f>
        <v>0</v>
      </c>
      <c r="Z122" s="436">
        <f>T122+V122+X122</f>
        <v>0</v>
      </c>
      <c r="AA122" s="422">
        <f>IF(Y122&lt;&gt;0,Z122/Q122,"")</f>
      </c>
      <c r="AB122" s="423">
        <f>IF(Y122&lt;&gt;0,Y122/Z122,"")</f>
      </c>
      <c r="AC122" s="426">
        <v>0</v>
      </c>
      <c r="AD122" s="425">
        <f>IF(AC122&lt;&gt;0,-(AC122-Y122)/AC122,"")</f>
      </c>
      <c r="AE122" s="690">
        <f>AG122-Y122</f>
        <v>1782</v>
      </c>
      <c r="AF122" s="691">
        <f>AH122-Z122</f>
        <v>356</v>
      </c>
      <c r="AG122" s="705">
        <v>1782</v>
      </c>
      <c r="AH122" s="706">
        <v>356</v>
      </c>
      <c r="AI122" s="692">
        <f>Z122*1/AH122</f>
        <v>0</v>
      </c>
      <c r="AJ122" s="692">
        <f>AF122*1/AH122</f>
        <v>1</v>
      </c>
      <c r="AK122" s="691">
        <f>AH122/Q122</f>
        <v>356</v>
      </c>
      <c r="AL122" s="693">
        <f>AG122/AH122</f>
        <v>5.00561797752809</v>
      </c>
      <c r="AM122" s="694"/>
      <c r="AN122" s="692"/>
      <c r="AO122" s="270">
        <f>1123387+667871.5+450599+390225.5+158633+89754+30860+15969.5+11575.5+6763.5+3494.5+5145+1782+1782+950.5+4039+1425.5+1782</f>
        <v>2966039</v>
      </c>
      <c r="AP122" s="272">
        <f>108166+64485+43907+41233+19918+12468+4923+2605+2337+1591+622+1207+446+446+238+1009+356+356</f>
        <v>306313</v>
      </c>
      <c r="AQ122" s="452">
        <f>AO122/AP122</f>
        <v>9.683033367829639</v>
      </c>
      <c r="AR122" s="716">
        <v>40956</v>
      </c>
      <c r="AS122" s="413" t="s">
        <v>508</v>
      </c>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row>
    <row r="123" spans="1:102" s="308" customFormat="1" ht="15.75" hidden="1">
      <c r="A123" s="331"/>
      <c r="B123" s="311"/>
      <c r="C123" s="315" t="s">
        <v>261</v>
      </c>
      <c r="D123" s="324" t="s">
        <v>223</v>
      </c>
      <c r="E123" s="318"/>
      <c r="F123" s="327">
        <v>2</v>
      </c>
      <c r="G123" s="312"/>
      <c r="H123" s="314"/>
      <c r="I123" s="313"/>
      <c r="J123" s="207" t="s">
        <v>658</v>
      </c>
      <c r="K123" s="462" t="s">
        <v>126</v>
      </c>
      <c r="L123" s="461" t="s">
        <v>89</v>
      </c>
      <c r="M123" s="466" t="s">
        <v>663</v>
      </c>
      <c r="N123" s="464">
        <v>40228</v>
      </c>
      <c r="O123" s="465" t="s">
        <v>68</v>
      </c>
      <c r="P123" s="258">
        <v>88</v>
      </c>
      <c r="Q123" s="259">
        <v>1</v>
      </c>
      <c r="R123" s="259">
        <v>26</v>
      </c>
      <c r="S123" s="554">
        <v>0</v>
      </c>
      <c r="T123" s="555">
        <v>0</v>
      </c>
      <c r="U123" s="554">
        <v>0</v>
      </c>
      <c r="V123" s="555">
        <v>0</v>
      </c>
      <c r="W123" s="554">
        <v>0</v>
      </c>
      <c r="X123" s="555">
        <v>0</v>
      </c>
      <c r="Y123" s="435">
        <f>SUM(S123+U123+W123)</f>
        <v>0</v>
      </c>
      <c r="Z123" s="436">
        <f>T123+V123+X123</f>
        <v>0</v>
      </c>
      <c r="AA123" s="422">
        <f>IF(Y123&lt;&gt;0,Z123/Q123,"")</f>
      </c>
      <c r="AB123" s="423">
        <f>IF(Y123&lt;&gt;0,Y123/Z123,"")</f>
      </c>
      <c r="AC123" s="426">
        <v>0</v>
      </c>
      <c r="AD123" s="425">
        <f>IF(AC123&lt;&gt;0,-(AC123-Y123)/AC123,"")</f>
      </c>
      <c r="AE123" s="690">
        <f>AG123-Y123</f>
        <v>1782</v>
      </c>
      <c r="AF123" s="691">
        <f>AH123-Z123</f>
        <v>356</v>
      </c>
      <c r="AG123" s="705">
        <v>1782</v>
      </c>
      <c r="AH123" s="706">
        <v>356</v>
      </c>
      <c r="AI123" s="692">
        <f>Z123*1/AH123</f>
        <v>0</v>
      </c>
      <c r="AJ123" s="692">
        <f>AF123*1/AH123</f>
        <v>1</v>
      </c>
      <c r="AK123" s="691">
        <f>AH123/Q123</f>
        <v>356</v>
      </c>
      <c r="AL123" s="693">
        <f>AG123/AH123</f>
        <v>5.00561797752809</v>
      </c>
      <c r="AM123" s="694"/>
      <c r="AN123" s="692"/>
      <c r="AO123" s="270">
        <f>848677.55+469+99+661+35+1782+1782+1782</f>
        <v>855287.55</v>
      </c>
      <c r="AP123" s="272">
        <f>99747+71+15+97+3+445+445+356</f>
        <v>101179</v>
      </c>
      <c r="AQ123" s="452">
        <f>AO123/AP123</f>
        <v>8.453212128999102</v>
      </c>
      <c r="AR123" s="716">
        <v>40956</v>
      </c>
      <c r="AS123" s="413" t="s">
        <v>509</v>
      </c>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row>
    <row r="124" spans="1:102" s="308" customFormat="1" ht="15.75" hidden="1">
      <c r="A124" s="331"/>
      <c r="B124" s="311"/>
      <c r="C124" s="315" t="s">
        <v>261</v>
      </c>
      <c r="D124" s="312"/>
      <c r="E124" s="312"/>
      <c r="F124" s="332"/>
      <c r="G124" s="323" t="s">
        <v>292</v>
      </c>
      <c r="H124" s="317" t="s">
        <v>55</v>
      </c>
      <c r="I124" s="314"/>
      <c r="J124" s="207" t="s">
        <v>442</v>
      </c>
      <c r="K124" s="466" t="s">
        <v>459</v>
      </c>
      <c r="L124" s="466" t="s">
        <v>89</v>
      </c>
      <c r="M124" s="466" t="s">
        <v>464</v>
      </c>
      <c r="N124" s="464">
        <v>39738</v>
      </c>
      <c r="O124" s="465" t="s">
        <v>68</v>
      </c>
      <c r="P124" s="258">
        <v>67</v>
      </c>
      <c r="Q124" s="259">
        <v>2</v>
      </c>
      <c r="R124" s="259">
        <v>51</v>
      </c>
      <c r="S124" s="554">
        <v>0</v>
      </c>
      <c r="T124" s="555">
        <v>0</v>
      </c>
      <c r="U124" s="554">
        <v>0</v>
      </c>
      <c r="V124" s="555">
        <v>0</v>
      </c>
      <c r="W124" s="554">
        <v>0</v>
      </c>
      <c r="X124" s="555">
        <v>0</v>
      </c>
      <c r="Y124" s="435">
        <f>SUM(S124+U124+W124)</f>
        <v>0</v>
      </c>
      <c r="Z124" s="436">
        <f>T124+V124+X124</f>
        <v>0</v>
      </c>
      <c r="AA124" s="422">
        <f>IF(Y124&lt;&gt;0,Z124/Q124,"")</f>
      </c>
      <c r="AB124" s="423">
        <f>IF(Y124&lt;&gt;0,Y124/Z124,"")</f>
      </c>
      <c r="AC124" s="426">
        <v>0</v>
      </c>
      <c r="AD124" s="425">
        <f>IF(AC124&lt;&gt;0,-(AC124-Y124)/AC124,"")</f>
      </c>
      <c r="AE124" s="690">
        <f>AG124-Y124</f>
        <v>1780</v>
      </c>
      <c r="AF124" s="691">
        <f>AH124-Z124</f>
        <v>356</v>
      </c>
      <c r="AG124" s="705">
        <v>1780</v>
      </c>
      <c r="AH124" s="706">
        <v>356</v>
      </c>
      <c r="AI124" s="692">
        <f>Z124*1/AH124</f>
        <v>0</v>
      </c>
      <c r="AJ124" s="692">
        <f>AF124*1/AH124</f>
        <v>1</v>
      </c>
      <c r="AK124" s="691">
        <f>AH124/Q124</f>
        <v>178</v>
      </c>
      <c r="AL124" s="693">
        <f>AG124/AH124</f>
        <v>5</v>
      </c>
      <c r="AM124" s="694"/>
      <c r="AN124" s="692">
        <f>IF(AM124&lt;&gt;0,-(AM124-AG124)/AM124,"")</f>
      </c>
      <c r="AO124" s="270">
        <f>575413.5+2968+2376+2737+2376+2376+4752+2376+952+1780+226+286+162+6416+4040+1780+1780</f>
        <v>612796.5</v>
      </c>
      <c r="AP124" s="272">
        <f>83313+742+594+635+594+594+1188+594+238+445+36+42+39+1604+1010+356+356</f>
        <v>92380</v>
      </c>
      <c r="AQ124" s="452">
        <f>AO124/AP124</f>
        <v>6.633432561160424</v>
      </c>
      <c r="AR124" s="716">
        <v>40956</v>
      </c>
      <c r="AS124" s="413" t="s">
        <v>511</v>
      </c>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row>
    <row r="125" spans="1:102" s="308" customFormat="1" ht="15.75" hidden="1">
      <c r="A125" s="331"/>
      <c r="B125" s="311"/>
      <c r="C125" s="315" t="s">
        <v>261</v>
      </c>
      <c r="D125" s="318"/>
      <c r="E125" s="318"/>
      <c r="F125" s="318"/>
      <c r="G125" s="312"/>
      <c r="H125" s="314"/>
      <c r="I125" s="313"/>
      <c r="J125" s="207" t="s">
        <v>659</v>
      </c>
      <c r="K125" s="462" t="s">
        <v>666</v>
      </c>
      <c r="L125" s="461" t="s">
        <v>89</v>
      </c>
      <c r="M125" s="466" t="s">
        <v>660</v>
      </c>
      <c r="N125" s="464">
        <v>39969</v>
      </c>
      <c r="O125" s="465" t="s">
        <v>68</v>
      </c>
      <c r="P125" s="258">
        <v>20</v>
      </c>
      <c r="Q125" s="259">
        <v>1</v>
      </c>
      <c r="R125" s="259">
        <v>21</v>
      </c>
      <c r="S125" s="554">
        <v>0</v>
      </c>
      <c r="T125" s="555">
        <v>0</v>
      </c>
      <c r="U125" s="554">
        <v>0</v>
      </c>
      <c r="V125" s="555">
        <v>0</v>
      </c>
      <c r="W125" s="554">
        <v>0</v>
      </c>
      <c r="X125" s="555">
        <v>0</v>
      </c>
      <c r="Y125" s="435">
        <f>SUM(S125+U125+W125)</f>
        <v>0</v>
      </c>
      <c r="Z125" s="436">
        <f>T125+V125+X125</f>
        <v>0</v>
      </c>
      <c r="AA125" s="422">
        <f>IF(Y125&lt;&gt;0,Z125/Q125,"")</f>
      </c>
      <c r="AB125" s="423">
        <f>IF(Y125&lt;&gt;0,Y125/Z125,"")</f>
      </c>
      <c r="AC125" s="426">
        <v>0</v>
      </c>
      <c r="AD125" s="425">
        <f>IF(AC125&lt;&gt;0,-(AC125-Y125)/AC125,"")</f>
      </c>
      <c r="AE125" s="690">
        <f>AG125-Y125</f>
        <v>1780</v>
      </c>
      <c r="AF125" s="691">
        <f>AH125-Z125</f>
        <v>356</v>
      </c>
      <c r="AG125" s="705">
        <v>1780</v>
      </c>
      <c r="AH125" s="706">
        <v>356</v>
      </c>
      <c r="AI125" s="692">
        <f>Z125*1/AH125</f>
        <v>0</v>
      </c>
      <c r="AJ125" s="692">
        <f>AF125*1/AH125</f>
        <v>1</v>
      </c>
      <c r="AK125" s="691">
        <f>AH125/Q125</f>
        <v>356</v>
      </c>
      <c r="AL125" s="693">
        <f>AG125/AH125</f>
        <v>5</v>
      </c>
      <c r="AM125" s="694"/>
      <c r="AN125" s="692"/>
      <c r="AO125" s="270">
        <f>63821.75+29583.75+16102.25+8771.25+5888+8492.5+1761+3162+5226+2267+1186.5+1122.5+1305+832+660+301+151+1780+1780+1308+1780</f>
        <v>157281.5</v>
      </c>
      <c r="AP125" s="272">
        <f>6069+3045+2422+1546+1020+1313+402+594+954+378+185+151+256+78+122+64+34+445+445+327+356</f>
        <v>20206</v>
      </c>
      <c r="AQ125" s="452">
        <f>AO125/AP125</f>
        <v>7.783900821538157</v>
      </c>
      <c r="AR125" s="716">
        <v>40956</v>
      </c>
      <c r="AS125" s="413" t="s">
        <v>512</v>
      </c>
      <c r="AT125" s="6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row>
    <row r="126" spans="1:102" s="308" customFormat="1" ht="15.75" hidden="1">
      <c r="A126" s="331"/>
      <c r="B126" s="311"/>
      <c r="C126" s="315" t="s">
        <v>261</v>
      </c>
      <c r="D126" s="312"/>
      <c r="E126" s="312"/>
      <c r="F126" s="312"/>
      <c r="G126" s="312"/>
      <c r="H126" s="313"/>
      <c r="I126" s="316" t="s">
        <v>54</v>
      </c>
      <c r="J126" s="209" t="s">
        <v>650</v>
      </c>
      <c r="K126" s="465" t="s">
        <v>652</v>
      </c>
      <c r="L126" s="465"/>
      <c r="M126" s="465" t="s">
        <v>650</v>
      </c>
      <c r="N126" s="464">
        <v>40165</v>
      </c>
      <c r="O126" s="465" t="s">
        <v>52</v>
      </c>
      <c r="P126" s="278">
        <v>38</v>
      </c>
      <c r="Q126" s="259">
        <v>1</v>
      </c>
      <c r="R126" s="259">
        <v>37</v>
      </c>
      <c r="S126" s="261">
        <v>0</v>
      </c>
      <c r="T126" s="262">
        <v>0</v>
      </c>
      <c r="U126" s="261">
        <v>0</v>
      </c>
      <c r="V126" s="262">
        <v>0</v>
      </c>
      <c r="W126" s="261">
        <v>0</v>
      </c>
      <c r="X126" s="262"/>
      <c r="Y126" s="435">
        <f>SUM(S126+U126+W126)</f>
        <v>0</v>
      </c>
      <c r="Z126" s="436">
        <f>T126+V126+X126</f>
        <v>0</v>
      </c>
      <c r="AA126" s="422"/>
      <c r="AB126" s="423"/>
      <c r="AC126" s="426">
        <v>0</v>
      </c>
      <c r="AD126" s="425">
        <f>IF(AC126&lt;&gt;0,-(AC126-Y126)/AC126,"")</f>
      </c>
      <c r="AE126" s="690">
        <f>AG126-Y126</f>
        <v>1188</v>
      </c>
      <c r="AF126" s="691">
        <f>AH126-Z126</f>
        <v>238</v>
      </c>
      <c r="AG126" s="699">
        <v>1188</v>
      </c>
      <c r="AH126" s="700">
        <v>238</v>
      </c>
      <c r="AI126" s="692">
        <f>Z126*1/AH126</f>
        <v>0</v>
      </c>
      <c r="AJ126" s="692">
        <f>AF126*1/AH126</f>
        <v>1</v>
      </c>
      <c r="AK126" s="691">
        <f>AH126/Q126</f>
        <v>238</v>
      </c>
      <c r="AL126" s="693">
        <f>AG126/AH126</f>
        <v>4.991596638655462</v>
      </c>
      <c r="AM126" s="695"/>
      <c r="AN126" s="692"/>
      <c r="AO126" s="261">
        <f>1139387+1188</f>
        <v>1140575</v>
      </c>
      <c r="AP126" s="262">
        <f>139628+238</f>
        <v>139866</v>
      </c>
      <c r="AQ126" s="452">
        <f>AO126/AP126</f>
        <v>8.15476956515522</v>
      </c>
      <c r="AR126" s="716">
        <v>40956</v>
      </c>
      <c r="AS126" s="413" t="s">
        <v>517</v>
      </c>
      <c r="AT126" s="6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row>
    <row r="127" spans="1:102" s="308" customFormat="1" ht="15.75" hidden="1">
      <c r="A127" s="331"/>
      <c r="B127" s="311"/>
      <c r="C127" s="315" t="s">
        <v>261</v>
      </c>
      <c r="D127" s="312"/>
      <c r="E127" s="318"/>
      <c r="F127" s="312"/>
      <c r="G127" s="312"/>
      <c r="H127" s="313"/>
      <c r="I127" s="313"/>
      <c r="J127" s="207" t="s">
        <v>624</v>
      </c>
      <c r="K127" s="466" t="s">
        <v>637</v>
      </c>
      <c r="L127" s="461"/>
      <c r="M127" s="466" t="s">
        <v>630</v>
      </c>
      <c r="N127" s="464">
        <v>40662</v>
      </c>
      <c r="O127" s="465" t="s">
        <v>68</v>
      </c>
      <c r="P127" s="258">
        <v>19</v>
      </c>
      <c r="Q127" s="259">
        <v>1</v>
      </c>
      <c r="R127" s="259">
        <v>25</v>
      </c>
      <c r="S127" s="554">
        <v>0</v>
      </c>
      <c r="T127" s="555">
        <v>0</v>
      </c>
      <c r="U127" s="554">
        <v>0</v>
      </c>
      <c r="V127" s="555">
        <v>0</v>
      </c>
      <c r="W127" s="554">
        <v>0</v>
      </c>
      <c r="X127" s="555">
        <v>0</v>
      </c>
      <c r="Y127" s="435">
        <f>SUM(S127+U127+W127)</f>
        <v>0</v>
      </c>
      <c r="Z127" s="436">
        <f>T127+V127+X127</f>
        <v>0</v>
      </c>
      <c r="AA127" s="422"/>
      <c r="AB127" s="423"/>
      <c r="AC127" s="426">
        <v>0</v>
      </c>
      <c r="AD127" s="425">
        <f>IF(AC127&lt;&gt;0,-(AC127-Y127)/AC127,"")</f>
      </c>
      <c r="AE127" s="690">
        <f>AG127-Y127</f>
        <v>560</v>
      </c>
      <c r="AF127" s="691">
        <f>AH127-Z127</f>
        <v>248</v>
      </c>
      <c r="AG127" s="705">
        <v>560</v>
      </c>
      <c r="AH127" s="706">
        <v>248</v>
      </c>
      <c r="AI127" s="692">
        <f>Z127*1/AH127</f>
        <v>0</v>
      </c>
      <c r="AJ127" s="692">
        <f>AF127*1/AH127</f>
        <v>1</v>
      </c>
      <c r="AK127" s="691">
        <f>AH127/Q127</f>
        <v>248</v>
      </c>
      <c r="AL127" s="693">
        <f>AG127/AH127</f>
        <v>2.2580645161290325</v>
      </c>
      <c r="AM127" s="694"/>
      <c r="AN127" s="692"/>
      <c r="AO127" s="270">
        <f>101742.25+50164.5+51750+9401+13450.5+18562.5+28682+16047.5+15912+8384+5213+12043+3980+9461+6303.5+6271+2673+6139.5+1849.5+1109+1307+722+1188+3801.5+560</f>
        <v>376717.25</v>
      </c>
      <c r="AP127" s="272">
        <f>8064+3844+5093+985+1765+2797+3793+2133+2232+1161+795+1735+578+1201+748+718+399+835+292+171+327+184+297+760+248</f>
        <v>41155</v>
      </c>
      <c r="AQ127" s="452">
        <f>AO127/AP127</f>
        <v>9.15362045923946</v>
      </c>
      <c r="AR127" s="716">
        <v>40956</v>
      </c>
      <c r="AS127" s="413" t="s">
        <v>519</v>
      </c>
      <c r="AT127" s="6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308" customFormat="1" ht="15.75" hidden="1">
      <c r="A128" s="331"/>
      <c r="B128" s="312"/>
      <c r="C128" s="315" t="s">
        <v>261</v>
      </c>
      <c r="D128" s="324" t="s">
        <v>223</v>
      </c>
      <c r="E128" s="319">
        <v>3</v>
      </c>
      <c r="F128" s="327">
        <v>2</v>
      </c>
      <c r="G128" s="323" t="s">
        <v>292</v>
      </c>
      <c r="H128" s="313"/>
      <c r="I128" s="313"/>
      <c r="J128" s="205" t="s">
        <v>655</v>
      </c>
      <c r="K128" s="462" t="s">
        <v>92</v>
      </c>
      <c r="L128" s="469" t="s">
        <v>94</v>
      </c>
      <c r="M128" s="469" t="s">
        <v>656</v>
      </c>
      <c r="N128" s="464">
        <v>40682</v>
      </c>
      <c r="O128" s="465" t="s">
        <v>12</v>
      </c>
      <c r="P128" s="258">
        <v>115</v>
      </c>
      <c r="Q128" s="259">
        <v>1</v>
      </c>
      <c r="R128" s="259">
        <v>41</v>
      </c>
      <c r="S128" s="556">
        <v>0</v>
      </c>
      <c r="T128" s="557">
        <v>0</v>
      </c>
      <c r="U128" s="556">
        <v>0</v>
      </c>
      <c r="V128" s="557">
        <v>0</v>
      </c>
      <c r="W128" s="556">
        <v>0</v>
      </c>
      <c r="X128" s="557">
        <v>0</v>
      </c>
      <c r="Y128" s="435">
        <f>SUM(S128+U128+W128)</f>
        <v>0</v>
      </c>
      <c r="Z128" s="436">
        <f>T128+V128+X128</f>
        <v>0</v>
      </c>
      <c r="AA128" s="422"/>
      <c r="AB128" s="423"/>
      <c r="AC128" s="426"/>
      <c r="AD128" s="425">
        <f>IF(AC128&lt;&gt;0,-(AC128-Y128)/AC128,"")</f>
      </c>
      <c r="AE128" s="690">
        <f>AG128-Y128</f>
        <v>320</v>
      </c>
      <c r="AF128" s="691">
        <f>AH128-Z128</f>
        <v>20</v>
      </c>
      <c r="AG128" s="699">
        <v>320</v>
      </c>
      <c r="AH128" s="700">
        <v>20</v>
      </c>
      <c r="AI128" s="692">
        <f>Z128*1/AH128</f>
        <v>0</v>
      </c>
      <c r="AJ128" s="692">
        <f>AF128*1/AH128</f>
        <v>1</v>
      </c>
      <c r="AK128" s="691">
        <f>AH128/Q128</f>
        <v>20</v>
      </c>
      <c r="AL128" s="693">
        <f>AG128/AH128</f>
        <v>16</v>
      </c>
      <c r="AM128" s="695"/>
      <c r="AN128" s="692"/>
      <c r="AO128" s="261">
        <v>13128382</v>
      </c>
      <c r="AP128" s="262">
        <v>1170803</v>
      </c>
      <c r="AQ128" s="452">
        <f>AO128/AP128</f>
        <v>11.213143457951508</v>
      </c>
      <c r="AR128" s="716">
        <v>40956</v>
      </c>
      <c r="AS128" s="413" t="s">
        <v>407</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308" customFormat="1" ht="15.75" hidden="1">
      <c r="A129" s="331"/>
      <c r="B129" s="311"/>
      <c r="C129" s="315" t="s">
        <v>261</v>
      </c>
      <c r="D129" s="312"/>
      <c r="E129" s="312"/>
      <c r="F129" s="312"/>
      <c r="G129" s="312"/>
      <c r="H129" s="313"/>
      <c r="I129" s="313"/>
      <c r="J129" s="207" t="s">
        <v>69</v>
      </c>
      <c r="K129" s="462" t="s">
        <v>88</v>
      </c>
      <c r="L129" s="466" t="s">
        <v>89</v>
      </c>
      <c r="M129" s="461" t="s">
        <v>70</v>
      </c>
      <c r="N129" s="467">
        <v>40844</v>
      </c>
      <c r="O129" s="465" t="s">
        <v>68</v>
      </c>
      <c r="P129" s="258">
        <v>65</v>
      </c>
      <c r="Q129" s="259">
        <v>3</v>
      </c>
      <c r="R129" s="259">
        <v>12</v>
      </c>
      <c r="S129" s="554">
        <v>0</v>
      </c>
      <c r="T129" s="555">
        <v>0</v>
      </c>
      <c r="U129" s="554">
        <v>0</v>
      </c>
      <c r="V129" s="555">
        <v>0</v>
      </c>
      <c r="W129" s="554">
        <v>0</v>
      </c>
      <c r="X129" s="555">
        <v>0</v>
      </c>
      <c r="Y129" s="435">
        <f>SUM(S129+U129+W129)</f>
        <v>0</v>
      </c>
      <c r="Z129" s="436">
        <f>T129+V129+X129</f>
        <v>0</v>
      </c>
      <c r="AA129" s="422">
        <f>IF(Y129&lt;&gt;0,Z129/Q129,"")</f>
      </c>
      <c r="AB129" s="423">
        <f>IF(Y129&lt;&gt;0,Y129/Z129,"")</f>
      </c>
      <c r="AC129" s="426">
        <v>0</v>
      </c>
      <c r="AD129" s="425">
        <f>IF(AC129&lt;&gt;0,-(AC129-Y129)/AC129,"")</f>
      </c>
      <c r="AE129" s="690">
        <f>AG129-Y129</f>
        <v>3920.5</v>
      </c>
      <c r="AF129" s="691">
        <f>AH129-Z129</f>
        <v>784</v>
      </c>
      <c r="AG129" s="705">
        <v>3920.5</v>
      </c>
      <c r="AH129" s="706">
        <v>784</v>
      </c>
      <c r="AI129" s="692">
        <f>Z129*1/AH129</f>
        <v>0</v>
      </c>
      <c r="AJ129" s="692">
        <f>AF129*1/AH129</f>
        <v>1</v>
      </c>
      <c r="AK129" s="691">
        <f>AH129/Q129</f>
        <v>261.3333333333333</v>
      </c>
      <c r="AL129" s="693">
        <f>AG129/AH129</f>
        <v>5.000637755102041</v>
      </c>
      <c r="AM129" s="694">
        <v>2522</v>
      </c>
      <c r="AN129" s="692">
        <f>IF(AM129&lt;&gt;0,-(AM129-AG129)/AM129,"")</f>
        <v>0.5545202220459953</v>
      </c>
      <c r="AO129" s="270">
        <f>436701.5+604505+232735.5+57290.5+18114+16414.5+17253.5+4587+2405+7426+2522+4990+3920.5</f>
        <v>1408865</v>
      </c>
      <c r="AP129" s="272">
        <f>39979+54264+21249+5324+1678+2463+2408+819+357+1233+383+999+784</f>
        <v>131940</v>
      </c>
      <c r="AQ129" s="452">
        <f>AO129/AP129</f>
        <v>10.678073366681826</v>
      </c>
      <c r="AR129" s="716">
        <v>40949</v>
      </c>
      <c r="AS129" s="413" t="s">
        <v>506</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308" customFormat="1" ht="15.75" hidden="1">
      <c r="A130" s="331"/>
      <c r="B130" s="312"/>
      <c r="C130" s="312"/>
      <c r="D130" s="312"/>
      <c r="E130" s="312"/>
      <c r="F130" s="312"/>
      <c r="G130" s="312"/>
      <c r="H130" s="313"/>
      <c r="I130" s="313"/>
      <c r="J130" s="209" t="s">
        <v>214</v>
      </c>
      <c r="K130" s="463" t="s">
        <v>216</v>
      </c>
      <c r="L130" s="465" t="s">
        <v>95</v>
      </c>
      <c r="M130" s="463" t="s">
        <v>215</v>
      </c>
      <c r="N130" s="464">
        <v>40907</v>
      </c>
      <c r="O130" s="465" t="s">
        <v>10</v>
      </c>
      <c r="P130" s="278">
        <v>64</v>
      </c>
      <c r="Q130" s="271">
        <v>3</v>
      </c>
      <c r="R130" s="271">
        <v>7</v>
      </c>
      <c r="S130" s="268">
        <v>260</v>
      </c>
      <c r="T130" s="269">
        <v>33</v>
      </c>
      <c r="U130" s="268">
        <v>674</v>
      </c>
      <c r="V130" s="269">
        <v>86</v>
      </c>
      <c r="W130" s="268">
        <v>619</v>
      </c>
      <c r="X130" s="269">
        <v>77</v>
      </c>
      <c r="Y130" s="435">
        <f>SUM(S130+U130+W130)</f>
        <v>1553</v>
      </c>
      <c r="Z130" s="436">
        <f>T130+V130+X130</f>
        <v>196</v>
      </c>
      <c r="AA130" s="422">
        <f>IF(Y130&lt;&gt;0,Z130/Q130,"")</f>
        <v>65.33333333333333</v>
      </c>
      <c r="AB130" s="423">
        <f>IF(Y130&lt;&gt;0,Y130/Z130,"")</f>
        <v>7.923469387755102</v>
      </c>
      <c r="AC130" s="426">
        <v>1553</v>
      </c>
      <c r="AD130" s="425">
        <f>IF(AC130&lt;&gt;0,-(AC130-Y130)/AC130,"")</f>
        <v>0</v>
      </c>
      <c r="AE130" s="690">
        <f>AG130-Y130</f>
        <v>2025</v>
      </c>
      <c r="AF130" s="691">
        <f>AH130-Z130</f>
        <v>269</v>
      </c>
      <c r="AG130" s="701">
        <v>3578</v>
      </c>
      <c r="AH130" s="702">
        <v>465</v>
      </c>
      <c r="AI130" s="692">
        <f>Z130*1/AH130</f>
        <v>0.421505376344086</v>
      </c>
      <c r="AJ130" s="692">
        <f>AF130*1/AH130</f>
        <v>0.578494623655914</v>
      </c>
      <c r="AK130" s="691">
        <f>AH130/Q130</f>
        <v>155</v>
      </c>
      <c r="AL130" s="693">
        <f>AG130/AH130</f>
        <v>7.694623655913978</v>
      </c>
      <c r="AM130" s="694">
        <v>762</v>
      </c>
      <c r="AN130" s="692">
        <f>IF(AM130&lt;&gt;0,-(AM130-AG130)/AM130,"")</f>
        <v>3.695538057742782</v>
      </c>
      <c r="AO130" s="268">
        <v>681274</v>
      </c>
      <c r="AP130" s="269">
        <v>60533</v>
      </c>
      <c r="AQ130" s="452">
        <f>AO130/AP130</f>
        <v>11.254588406323823</v>
      </c>
      <c r="AR130" s="716">
        <v>40949</v>
      </c>
      <c r="AS130" s="413" t="s">
        <v>510</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308" customFormat="1" ht="15.75" hidden="1">
      <c r="A131" s="331"/>
      <c r="B131" s="311"/>
      <c r="C131" s="315" t="s">
        <v>261</v>
      </c>
      <c r="D131" s="324" t="s">
        <v>223</v>
      </c>
      <c r="E131" s="319">
        <v>3</v>
      </c>
      <c r="F131" s="312"/>
      <c r="G131" s="323" t="s">
        <v>292</v>
      </c>
      <c r="H131" s="313"/>
      <c r="I131" s="313"/>
      <c r="J131" s="207" t="s">
        <v>595</v>
      </c>
      <c r="K131" s="466" t="s">
        <v>126</v>
      </c>
      <c r="L131" s="466" t="s">
        <v>89</v>
      </c>
      <c r="M131" s="466" t="s">
        <v>596</v>
      </c>
      <c r="N131" s="464">
        <v>39955</v>
      </c>
      <c r="O131" s="465" t="s">
        <v>68</v>
      </c>
      <c r="P131" s="258">
        <v>88</v>
      </c>
      <c r="Q131" s="259">
        <v>1</v>
      </c>
      <c r="R131" s="259">
        <v>29</v>
      </c>
      <c r="S131" s="554">
        <v>0</v>
      </c>
      <c r="T131" s="555">
        <v>0</v>
      </c>
      <c r="U131" s="554">
        <v>0</v>
      </c>
      <c r="V131" s="555">
        <v>0</v>
      </c>
      <c r="W131" s="554">
        <v>0</v>
      </c>
      <c r="X131" s="555">
        <v>0</v>
      </c>
      <c r="Y131" s="435">
        <f>SUM(S131+U131+W131)</f>
        <v>0</v>
      </c>
      <c r="Z131" s="436">
        <f>T131+V131+X131</f>
        <v>0</v>
      </c>
      <c r="AA131" s="422"/>
      <c r="AB131" s="423"/>
      <c r="AC131" s="426">
        <v>0</v>
      </c>
      <c r="AD131" s="425">
        <f>IF(AC131&lt;&gt;0,-(AC131-Y131)/AC131,"")</f>
      </c>
      <c r="AE131" s="690">
        <f>AG131-Y131</f>
        <v>3565</v>
      </c>
      <c r="AF131" s="691">
        <f>AH131-Z131</f>
        <v>713</v>
      </c>
      <c r="AG131" s="705">
        <v>3565</v>
      </c>
      <c r="AH131" s="706">
        <v>713</v>
      </c>
      <c r="AI131" s="692">
        <f>Z131*1/AH131</f>
        <v>0</v>
      </c>
      <c r="AJ131" s="692">
        <f>AF131*1/AH131</f>
        <v>1</v>
      </c>
      <c r="AK131" s="691">
        <f>AH131/Q131</f>
        <v>713</v>
      </c>
      <c r="AL131" s="693">
        <f>AG131/AH131</f>
        <v>5</v>
      </c>
      <c r="AM131" s="694"/>
      <c r="AN131" s="692"/>
      <c r="AO131" s="270">
        <f>253985.25+197941+176827+129137.25+73306.5+36496.5+20735+12653+3137+3974+3108+6704.75+3312+1885+643+108556.75+31027+8660.5+1196.5+2137+5262+2140+4040+1780+1188+1780+43620+1424+1780+3565</f>
        <v>1142002</v>
      </c>
      <c r="AP131" s="272">
        <f>26929+21325+23241+17550+10624+6388+4049+2644+577+882+663+1354+764+460+116+14641+4967+986+117+181+1185+535+1010+445+297+445+10905+356+356+713</f>
        <v>154705</v>
      </c>
      <c r="AQ131" s="452">
        <f>AO131/AP131</f>
        <v>7.381804078730487</v>
      </c>
      <c r="AR131" s="716">
        <v>40949</v>
      </c>
      <c r="AS131" s="413" t="s">
        <v>511</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308" customFormat="1" ht="15.75" hidden="1">
      <c r="A132" s="331"/>
      <c r="B132" s="311"/>
      <c r="C132" s="315" t="s">
        <v>261</v>
      </c>
      <c r="D132" s="312"/>
      <c r="E132" s="312"/>
      <c r="F132" s="312"/>
      <c r="G132" s="312"/>
      <c r="H132" s="313"/>
      <c r="I132" s="316" t="s">
        <v>54</v>
      </c>
      <c r="J132" s="209" t="s">
        <v>77</v>
      </c>
      <c r="K132" s="465" t="s">
        <v>188</v>
      </c>
      <c r="L132" s="465"/>
      <c r="M132" s="465" t="s">
        <v>173</v>
      </c>
      <c r="N132" s="464">
        <v>40865</v>
      </c>
      <c r="O132" s="465" t="s">
        <v>52</v>
      </c>
      <c r="P132" s="278">
        <v>64</v>
      </c>
      <c r="Q132" s="271">
        <v>2</v>
      </c>
      <c r="R132" s="271">
        <v>10</v>
      </c>
      <c r="S132" s="268">
        <v>60</v>
      </c>
      <c r="T132" s="269">
        <v>8</v>
      </c>
      <c r="U132" s="268">
        <v>118</v>
      </c>
      <c r="V132" s="269">
        <v>16</v>
      </c>
      <c r="W132" s="268">
        <v>117</v>
      </c>
      <c r="X132" s="269">
        <v>16</v>
      </c>
      <c r="Y132" s="435">
        <f>SUM(S132+U132+W132)</f>
        <v>295</v>
      </c>
      <c r="Z132" s="436">
        <f>T132+V132+X132</f>
        <v>40</v>
      </c>
      <c r="AA132" s="422">
        <f>IF(Y132&lt;&gt;0,Z132/Q132,"")</f>
        <v>20</v>
      </c>
      <c r="AB132" s="423">
        <f>IF(Y132&lt;&gt;0,Y132/Z132,"")</f>
        <v>7.375</v>
      </c>
      <c r="AC132" s="426">
        <v>295</v>
      </c>
      <c r="AD132" s="425">
        <f>IF(AC132&lt;&gt;0,-(AC132-Y132)/AC132,"")</f>
        <v>0</v>
      </c>
      <c r="AE132" s="690">
        <f>AG132-Y132</f>
        <v>3269</v>
      </c>
      <c r="AF132" s="691">
        <f>AH132-Z132</f>
        <v>672</v>
      </c>
      <c r="AG132" s="699">
        <v>3564</v>
      </c>
      <c r="AH132" s="700">
        <v>712</v>
      </c>
      <c r="AI132" s="692">
        <f>Z132*1/AH132</f>
        <v>0.056179775280898875</v>
      </c>
      <c r="AJ132" s="692">
        <f>AF132*1/AH132</f>
        <v>0.9438202247191011</v>
      </c>
      <c r="AK132" s="691">
        <f>AH132/Q132</f>
        <v>356</v>
      </c>
      <c r="AL132" s="693">
        <f>AG132/AH132</f>
        <v>5.00561797752809</v>
      </c>
      <c r="AM132" s="695">
        <v>195</v>
      </c>
      <c r="AN132" s="692">
        <f>IF(AM132&lt;&gt;0,-(AM132-AG132)/AM132,"")</f>
        <v>17.276923076923076</v>
      </c>
      <c r="AO132" s="261">
        <f>256046+137037.5+20115+5099+3542+3484.5+1302+1985+195+659+3564</f>
        <v>433029</v>
      </c>
      <c r="AP132" s="262">
        <f>25390+13650+2140+705+587+707+246+352+31+92+712</f>
        <v>44612</v>
      </c>
      <c r="AQ132" s="452">
        <f>AO132/AP132</f>
        <v>9.706558773424192</v>
      </c>
      <c r="AR132" s="716">
        <v>40949</v>
      </c>
      <c r="AS132" s="413" t="s">
        <v>512</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308" customFormat="1" ht="15.75" hidden="1">
      <c r="A133" s="331"/>
      <c r="B133" s="312"/>
      <c r="C133" s="312"/>
      <c r="D133" s="312"/>
      <c r="E133" s="312"/>
      <c r="F133" s="312"/>
      <c r="G133" s="312"/>
      <c r="H133" s="313"/>
      <c r="I133" s="313"/>
      <c r="J133" s="205" t="s">
        <v>196</v>
      </c>
      <c r="K133" s="462" t="s">
        <v>212</v>
      </c>
      <c r="L133" s="469" t="s">
        <v>124</v>
      </c>
      <c r="M133" s="469" t="s">
        <v>203</v>
      </c>
      <c r="N133" s="464">
        <v>40907</v>
      </c>
      <c r="O133" s="465" t="s">
        <v>12</v>
      </c>
      <c r="P133" s="258">
        <v>60</v>
      </c>
      <c r="Q133" s="259">
        <v>3</v>
      </c>
      <c r="R133" s="259">
        <v>7</v>
      </c>
      <c r="S133" s="556">
        <v>419</v>
      </c>
      <c r="T133" s="557">
        <v>92</v>
      </c>
      <c r="U133" s="556">
        <v>767</v>
      </c>
      <c r="V133" s="557">
        <v>124</v>
      </c>
      <c r="W133" s="556">
        <v>548</v>
      </c>
      <c r="X133" s="557">
        <v>79</v>
      </c>
      <c r="Y133" s="435">
        <f>SUM(S133+U133+W133)</f>
        <v>1734</v>
      </c>
      <c r="Z133" s="436">
        <f>T133+V133+X133</f>
        <v>295</v>
      </c>
      <c r="AA133" s="422">
        <f>IF(Y133&lt;&gt;0,Z133/Q133,"")</f>
        <v>98.33333333333333</v>
      </c>
      <c r="AB133" s="423">
        <f>IF(Y133&lt;&gt;0,Y133/Z133,"")</f>
        <v>5.877966101694915</v>
      </c>
      <c r="AC133" s="426">
        <v>1734</v>
      </c>
      <c r="AD133" s="425">
        <f>IF(AC133&lt;&gt;0,-(AC133-Y133)/AC133,"")</f>
        <v>0</v>
      </c>
      <c r="AE133" s="690">
        <f>AG133-Y133</f>
        <v>1387</v>
      </c>
      <c r="AF133" s="691">
        <f>AH133-Z133</f>
        <v>287</v>
      </c>
      <c r="AG133" s="699">
        <v>3121</v>
      </c>
      <c r="AH133" s="700">
        <v>582</v>
      </c>
      <c r="AI133" s="692">
        <f>Z133*1/AH133</f>
        <v>0.506872852233677</v>
      </c>
      <c r="AJ133" s="692">
        <f>AF133*1/AH133</f>
        <v>0.49312714776632305</v>
      </c>
      <c r="AK133" s="691">
        <f>AH133/Q133</f>
        <v>194</v>
      </c>
      <c r="AL133" s="693">
        <f>AG133/AH133</f>
        <v>5.36254295532646</v>
      </c>
      <c r="AM133" s="695">
        <v>1983</v>
      </c>
      <c r="AN133" s="692">
        <f>IF(AM133&lt;&gt;0,-(AM133-AG133)/AM133,"")</f>
        <v>0.5738779626828038</v>
      </c>
      <c r="AO133" s="261">
        <v>670831</v>
      </c>
      <c r="AP133" s="262">
        <v>67329</v>
      </c>
      <c r="AQ133" s="452">
        <f>AO133/AP133</f>
        <v>9.963477847584251</v>
      </c>
      <c r="AR133" s="716">
        <v>40949</v>
      </c>
      <c r="AS133" s="413" t="s">
        <v>372</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308" customFormat="1" ht="15.75" hidden="1">
      <c r="A134" s="331"/>
      <c r="B134" s="312"/>
      <c r="C134" s="315" t="s">
        <v>261</v>
      </c>
      <c r="D134" s="312"/>
      <c r="E134" s="312"/>
      <c r="F134" s="312"/>
      <c r="G134" s="312"/>
      <c r="H134" s="313"/>
      <c r="I134" s="313"/>
      <c r="J134" s="205" t="s">
        <v>200</v>
      </c>
      <c r="K134" s="462" t="s">
        <v>205</v>
      </c>
      <c r="L134" s="469" t="s">
        <v>206</v>
      </c>
      <c r="M134" s="469" t="s">
        <v>204</v>
      </c>
      <c r="N134" s="464">
        <v>40872</v>
      </c>
      <c r="O134" s="465" t="s">
        <v>12</v>
      </c>
      <c r="P134" s="258">
        <v>55</v>
      </c>
      <c r="Q134" s="259">
        <v>2</v>
      </c>
      <c r="R134" s="259">
        <v>12</v>
      </c>
      <c r="S134" s="556">
        <v>184</v>
      </c>
      <c r="T134" s="557">
        <v>20</v>
      </c>
      <c r="U134" s="556">
        <v>744</v>
      </c>
      <c r="V134" s="557">
        <v>77</v>
      </c>
      <c r="W134" s="556">
        <v>921</v>
      </c>
      <c r="X134" s="557">
        <v>95</v>
      </c>
      <c r="Y134" s="435">
        <f>SUM(S134+U134+W134)</f>
        <v>1849</v>
      </c>
      <c r="Z134" s="436">
        <f>T134+V134+X134</f>
        <v>192</v>
      </c>
      <c r="AA134" s="422">
        <f>IF(Y134&lt;&gt;0,Z134/Q134,"")</f>
        <v>96</v>
      </c>
      <c r="AB134" s="423">
        <f>IF(Y134&lt;&gt;0,Y134/Z134,"")</f>
        <v>9.630208333333334</v>
      </c>
      <c r="AC134" s="426">
        <v>1849</v>
      </c>
      <c r="AD134" s="425">
        <f>IF(AC134&lt;&gt;0,-(AC134-Y134)/AC134,"")</f>
        <v>0</v>
      </c>
      <c r="AE134" s="690">
        <f>AG134-Y134</f>
        <v>1206</v>
      </c>
      <c r="AF134" s="691">
        <f>AH134-Z134</f>
        <v>158</v>
      </c>
      <c r="AG134" s="699">
        <v>3055</v>
      </c>
      <c r="AH134" s="700">
        <v>350</v>
      </c>
      <c r="AI134" s="692">
        <f>Z134*1/AH134</f>
        <v>0.5485714285714286</v>
      </c>
      <c r="AJ134" s="692">
        <f>AF134*1/AH134</f>
        <v>0.4514285714285714</v>
      </c>
      <c r="AK134" s="691">
        <f>AH134/Q134</f>
        <v>175</v>
      </c>
      <c r="AL134" s="693">
        <f>AG134/AH134</f>
        <v>8.728571428571428</v>
      </c>
      <c r="AM134" s="695">
        <v>2380</v>
      </c>
      <c r="AN134" s="692">
        <f>IF(AM134&lt;&gt;0,-(AM134-AG134)/AM134,"")</f>
        <v>0.28361344537815125</v>
      </c>
      <c r="AO134" s="261">
        <v>761032</v>
      </c>
      <c r="AP134" s="262">
        <v>63588</v>
      </c>
      <c r="AQ134" s="452">
        <f>AO134/AP134</f>
        <v>11.968170094986476</v>
      </c>
      <c r="AR134" s="716">
        <v>40949</v>
      </c>
      <c r="AS134" s="413" t="s">
        <v>514</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308" customFormat="1" ht="15.75" hidden="1">
      <c r="A135" s="331"/>
      <c r="B135" s="312"/>
      <c r="C135" s="315" t="s">
        <v>261</v>
      </c>
      <c r="D135" s="312"/>
      <c r="E135" s="312"/>
      <c r="F135" s="312"/>
      <c r="G135" s="312"/>
      <c r="H135" s="313"/>
      <c r="I135" s="313"/>
      <c r="J135" s="205" t="s">
        <v>108</v>
      </c>
      <c r="K135" s="462" t="s">
        <v>125</v>
      </c>
      <c r="L135" s="469" t="s">
        <v>124</v>
      </c>
      <c r="M135" s="469" t="s">
        <v>109</v>
      </c>
      <c r="N135" s="464">
        <v>40879</v>
      </c>
      <c r="O135" s="465" t="s">
        <v>12</v>
      </c>
      <c r="P135" s="258">
        <v>38</v>
      </c>
      <c r="Q135" s="259">
        <v>1</v>
      </c>
      <c r="R135" s="259">
        <v>11</v>
      </c>
      <c r="S135" s="556">
        <v>67</v>
      </c>
      <c r="T135" s="557">
        <v>8</v>
      </c>
      <c r="U135" s="556">
        <v>717</v>
      </c>
      <c r="V135" s="557">
        <v>96</v>
      </c>
      <c r="W135" s="556">
        <v>642</v>
      </c>
      <c r="X135" s="557">
        <v>84</v>
      </c>
      <c r="Y135" s="435">
        <f>SUM(S135+U135+W135)</f>
        <v>1426</v>
      </c>
      <c r="Z135" s="436">
        <f>T135+V135+X135</f>
        <v>188</v>
      </c>
      <c r="AA135" s="422">
        <f>IF(Y135&lt;&gt;0,Z135/Q135,"")</f>
        <v>188</v>
      </c>
      <c r="AB135" s="423">
        <f>IF(Y135&lt;&gt;0,Y135/Z135,"")</f>
        <v>7.585106382978723</v>
      </c>
      <c r="AC135" s="426">
        <v>1426</v>
      </c>
      <c r="AD135" s="425">
        <f>IF(AC135&lt;&gt;0,-(AC135-Y135)/AC135,"")</f>
        <v>0</v>
      </c>
      <c r="AE135" s="690">
        <f>AG135-Y135</f>
        <v>1083</v>
      </c>
      <c r="AF135" s="691">
        <f>AH135-Z135</f>
        <v>144</v>
      </c>
      <c r="AG135" s="699">
        <v>2509</v>
      </c>
      <c r="AH135" s="700">
        <v>332</v>
      </c>
      <c r="AI135" s="692">
        <f>Z135*1/AH135</f>
        <v>0.5662650602409639</v>
      </c>
      <c r="AJ135" s="692">
        <f>AF135*1/AH135</f>
        <v>0.43373493975903615</v>
      </c>
      <c r="AK135" s="691">
        <f>AH135/Q135</f>
        <v>332</v>
      </c>
      <c r="AL135" s="693">
        <f>AG135/AH135</f>
        <v>7.557228915662651</v>
      </c>
      <c r="AM135" s="695">
        <v>2304</v>
      </c>
      <c r="AN135" s="692">
        <f>IF(AM135&lt;&gt;0,-(AM135-AG135)/AM135,"")</f>
        <v>0.08897569444444445</v>
      </c>
      <c r="AO135" s="261">
        <v>495830</v>
      </c>
      <c r="AP135" s="262">
        <v>47001</v>
      </c>
      <c r="AQ135" s="452">
        <f>AO135/AP135</f>
        <v>10.549350013829493</v>
      </c>
      <c r="AR135" s="716">
        <v>40949</v>
      </c>
      <c r="AS135" s="413" t="s">
        <v>407</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308" customFormat="1" ht="15.75" hidden="1">
      <c r="A136" s="331"/>
      <c r="B136" s="321"/>
      <c r="C136" s="315" t="s">
        <v>261</v>
      </c>
      <c r="D136" s="324" t="s">
        <v>223</v>
      </c>
      <c r="E136" s="319">
        <v>3</v>
      </c>
      <c r="F136" s="312"/>
      <c r="G136" s="312"/>
      <c r="H136" s="317" t="s">
        <v>55</v>
      </c>
      <c r="I136" s="320"/>
      <c r="J136" s="203" t="s">
        <v>174</v>
      </c>
      <c r="K136" s="463" t="s">
        <v>185</v>
      </c>
      <c r="L136" s="463" t="s">
        <v>186</v>
      </c>
      <c r="M136" s="463" t="s">
        <v>177</v>
      </c>
      <c r="N136" s="464">
        <v>39710</v>
      </c>
      <c r="O136" s="465" t="s">
        <v>53</v>
      </c>
      <c r="P136" s="274">
        <v>66</v>
      </c>
      <c r="Q136" s="275">
        <v>1</v>
      </c>
      <c r="R136" s="275">
        <v>31</v>
      </c>
      <c r="S136" s="556">
        <v>752</v>
      </c>
      <c r="T136" s="557">
        <v>150</v>
      </c>
      <c r="U136" s="556">
        <v>750</v>
      </c>
      <c r="V136" s="557">
        <v>150</v>
      </c>
      <c r="W136" s="556">
        <v>900</v>
      </c>
      <c r="X136" s="557">
        <v>180</v>
      </c>
      <c r="Y136" s="435">
        <f>SUM(S136+U136+W136)</f>
        <v>2402</v>
      </c>
      <c r="Z136" s="436">
        <f>T136+V136+X136</f>
        <v>480</v>
      </c>
      <c r="AA136" s="422">
        <f>IF(Y136&lt;&gt;0,Z136/Q136,"")</f>
        <v>480</v>
      </c>
      <c r="AB136" s="423">
        <f>IF(Y136&lt;&gt;0,Y136/Z136,"")</f>
        <v>5.004166666666666</v>
      </c>
      <c r="AC136" s="426">
        <v>2402</v>
      </c>
      <c r="AD136" s="425">
        <f>IF(AC136&lt;&gt;0,-(AC136-Y136)/AC136,"")</f>
        <v>0</v>
      </c>
      <c r="AE136" s="690">
        <f>AG136-Y136</f>
        <v>0</v>
      </c>
      <c r="AF136" s="691">
        <f>AH136-Z136</f>
        <v>0</v>
      </c>
      <c r="AG136" s="699">
        <v>2402</v>
      </c>
      <c r="AH136" s="700">
        <v>480</v>
      </c>
      <c r="AI136" s="692">
        <f>Z136*1/AH136</f>
        <v>1</v>
      </c>
      <c r="AJ136" s="692">
        <f>AF136*1/AH136</f>
        <v>0</v>
      </c>
      <c r="AK136" s="691">
        <f>AH136/Q136</f>
        <v>480</v>
      </c>
      <c r="AL136" s="693">
        <f>AG136/AH136</f>
        <v>5.004166666666666</v>
      </c>
      <c r="AM136" s="695">
        <v>1201</v>
      </c>
      <c r="AN136" s="692">
        <f>IF(AM136&lt;&gt;0,-(AM136-AG136)/AM136,"")</f>
        <v>1</v>
      </c>
      <c r="AO136" s="261">
        <f>152576+127511+68854.5+21974+10111.5+7103+7290+0.5+1014+3149+989+3524+0.5+3768+138+2528+257+351.5+573.5+184+3655+10+15+10+210+156+3603+3603+1922+1201+1201+2402</f>
        <v>429885</v>
      </c>
      <c r="AP136" s="262">
        <f>50018+825+47+65+137+67+1215+2+3+2+35+26+721+720+384+240+240+480</f>
        <v>55227</v>
      </c>
      <c r="AQ136" s="452">
        <f>AO136/AP136</f>
        <v>7.783964365256125</v>
      </c>
      <c r="AR136" s="716">
        <v>40949</v>
      </c>
      <c r="AS136" s="413" t="s">
        <v>521</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308" customFormat="1" ht="15.75" hidden="1">
      <c r="A137" s="331"/>
      <c r="B137" s="311"/>
      <c r="C137" s="315" t="s">
        <v>261</v>
      </c>
      <c r="D137" s="312"/>
      <c r="E137" s="312"/>
      <c r="F137" s="312"/>
      <c r="G137" s="312"/>
      <c r="H137" s="313"/>
      <c r="I137" s="316" t="s">
        <v>54</v>
      </c>
      <c r="J137" s="210" t="s">
        <v>304</v>
      </c>
      <c r="K137" s="462" t="s">
        <v>112</v>
      </c>
      <c r="L137" s="462"/>
      <c r="M137" s="461" t="s">
        <v>111</v>
      </c>
      <c r="N137" s="464">
        <v>40886</v>
      </c>
      <c r="O137" s="465" t="s">
        <v>52</v>
      </c>
      <c r="P137" s="281">
        <v>8</v>
      </c>
      <c r="Q137" s="259">
        <v>1</v>
      </c>
      <c r="R137" s="259">
        <v>6</v>
      </c>
      <c r="S137" s="261">
        <v>34</v>
      </c>
      <c r="T137" s="262">
        <v>17</v>
      </c>
      <c r="U137" s="261">
        <v>180</v>
      </c>
      <c r="V137" s="262">
        <v>80</v>
      </c>
      <c r="W137" s="261">
        <v>102</v>
      </c>
      <c r="X137" s="262">
        <v>42</v>
      </c>
      <c r="Y137" s="435">
        <f>SUM(S137+U137+W137)</f>
        <v>316</v>
      </c>
      <c r="Z137" s="436">
        <f>T137+V137+X137</f>
        <v>139</v>
      </c>
      <c r="AA137" s="422">
        <f>IF(Y137&lt;&gt;0,Z137/Q137,"")</f>
        <v>139</v>
      </c>
      <c r="AB137" s="423">
        <f>IF(Y137&lt;&gt;0,Y137/Z137,"")</f>
        <v>2.273381294964029</v>
      </c>
      <c r="AC137" s="426">
        <v>316</v>
      </c>
      <c r="AD137" s="425">
        <f>IF(AC137&lt;&gt;0,-(AC137-Y137)/AC137,"")</f>
        <v>0</v>
      </c>
      <c r="AE137" s="690">
        <f>AG137-Y137</f>
        <v>1466</v>
      </c>
      <c r="AF137" s="691">
        <f>AH137-Z137</f>
        <v>217</v>
      </c>
      <c r="AG137" s="699">
        <v>1782</v>
      </c>
      <c r="AH137" s="700">
        <v>356</v>
      </c>
      <c r="AI137" s="692">
        <f>Z137*1/AH137</f>
        <v>0.3904494382022472</v>
      </c>
      <c r="AJ137" s="692">
        <f>AF137*1/AH137</f>
        <v>0.6095505617977528</v>
      </c>
      <c r="AK137" s="691">
        <f>AH137/Q137</f>
        <v>356</v>
      </c>
      <c r="AL137" s="693">
        <f>AG137/AH137</f>
        <v>5.00561797752809</v>
      </c>
      <c r="AM137" s="696">
        <v>1920</v>
      </c>
      <c r="AN137" s="692">
        <f>IF(AM137&lt;&gt;0,-(AM137-AG137)/AM137,"")</f>
        <v>-0.071875</v>
      </c>
      <c r="AO137" s="261">
        <f>11392+5145+695+1862+1920+1782</f>
        <v>22796</v>
      </c>
      <c r="AP137" s="262">
        <f>1392+701+109+241+379+356</f>
        <v>3178</v>
      </c>
      <c r="AQ137" s="452">
        <f>AO137/AP137</f>
        <v>7.173064820641913</v>
      </c>
      <c r="AR137" s="716">
        <v>40949</v>
      </c>
      <c r="AS137" s="413" t="s">
        <v>527</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308" customFormat="1" ht="15.75" hidden="1">
      <c r="A138" s="331"/>
      <c r="B138" s="312"/>
      <c r="C138" s="315" t="s">
        <v>261</v>
      </c>
      <c r="D138" s="322"/>
      <c r="E138" s="322"/>
      <c r="F138" s="312"/>
      <c r="G138" s="717"/>
      <c r="H138" s="313"/>
      <c r="I138" s="313"/>
      <c r="J138" s="203" t="s">
        <v>291</v>
      </c>
      <c r="K138" s="463" t="s">
        <v>296</v>
      </c>
      <c r="L138" s="465" t="s">
        <v>260</v>
      </c>
      <c r="M138" s="463" t="s">
        <v>295</v>
      </c>
      <c r="N138" s="464">
        <v>40830</v>
      </c>
      <c r="O138" s="465" t="s">
        <v>10</v>
      </c>
      <c r="P138" s="278">
        <v>62</v>
      </c>
      <c r="Q138" s="271">
        <v>1</v>
      </c>
      <c r="R138" s="271">
        <v>14</v>
      </c>
      <c r="S138" s="268">
        <v>140</v>
      </c>
      <c r="T138" s="269">
        <v>20</v>
      </c>
      <c r="U138" s="268">
        <v>126</v>
      </c>
      <c r="V138" s="269">
        <v>18</v>
      </c>
      <c r="W138" s="268">
        <v>147</v>
      </c>
      <c r="X138" s="269">
        <v>21</v>
      </c>
      <c r="Y138" s="435">
        <f>SUM(S138+U138+W138)</f>
        <v>413</v>
      </c>
      <c r="Z138" s="436">
        <f>T138+V138+X138</f>
        <v>59</v>
      </c>
      <c r="AA138" s="422">
        <f>IF(Y138&lt;&gt;0,Z138/Q138,"")</f>
        <v>59</v>
      </c>
      <c r="AB138" s="423">
        <f>IF(Y138&lt;&gt;0,Y138/Z138,"")</f>
        <v>7</v>
      </c>
      <c r="AC138" s="426">
        <v>413</v>
      </c>
      <c r="AD138" s="425">
        <f>IF(AC138&lt;&gt;0,-(AC138-Y138)/AC138,"")</f>
        <v>0</v>
      </c>
      <c r="AE138" s="690">
        <f>AG138-Y138</f>
        <v>752</v>
      </c>
      <c r="AF138" s="691">
        <f>AH138-Z138</f>
        <v>108</v>
      </c>
      <c r="AG138" s="701">
        <v>1165</v>
      </c>
      <c r="AH138" s="702">
        <v>167</v>
      </c>
      <c r="AI138" s="692">
        <f>Z138*1/AH138</f>
        <v>0.3532934131736527</v>
      </c>
      <c r="AJ138" s="692">
        <f>AF138*1/AH138</f>
        <v>0.6467065868263473</v>
      </c>
      <c r="AK138" s="691">
        <f>AH138/Q138</f>
        <v>167</v>
      </c>
      <c r="AL138" s="693">
        <f>AG138/AH138</f>
        <v>6.976047904191617</v>
      </c>
      <c r="AM138" s="694">
        <v>612</v>
      </c>
      <c r="AN138" s="692">
        <f>IF(AM138&lt;&gt;0,-(AM138-AG138)/AM138,"")</f>
        <v>0.9035947712418301</v>
      </c>
      <c r="AO138" s="268">
        <v>1597479</v>
      </c>
      <c r="AP138" s="269">
        <v>150144</v>
      </c>
      <c r="AQ138" s="452">
        <f>AO138/AP138</f>
        <v>10.639645939897699</v>
      </c>
      <c r="AR138" s="716">
        <v>40949</v>
      </c>
      <c r="AS138" s="413" t="s">
        <v>533</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308" customFormat="1" ht="15.75" hidden="1">
      <c r="A139" s="331"/>
      <c r="B139" s="311"/>
      <c r="C139" s="315" t="s">
        <v>261</v>
      </c>
      <c r="D139" s="312"/>
      <c r="E139" s="312"/>
      <c r="F139" s="312"/>
      <c r="G139" s="312"/>
      <c r="H139" s="313"/>
      <c r="I139" s="316" t="s">
        <v>54</v>
      </c>
      <c r="J139" s="209" t="s">
        <v>148</v>
      </c>
      <c r="K139" s="465" t="s">
        <v>112</v>
      </c>
      <c r="L139" s="465"/>
      <c r="M139" s="465" t="s">
        <v>148</v>
      </c>
      <c r="N139" s="464">
        <v>40900</v>
      </c>
      <c r="O139" s="465" t="s">
        <v>52</v>
      </c>
      <c r="P139" s="278">
        <v>14</v>
      </c>
      <c r="Q139" s="259">
        <v>1</v>
      </c>
      <c r="R139" s="259">
        <v>7</v>
      </c>
      <c r="S139" s="261">
        <v>28</v>
      </c>
      <c r="T139" s="262">
        <v>4</v>
      </c>
      <c r="U139" s="261">
        <v>301</v>
      </c>
      <c r="V139" s="262">
        <v>43</v>
      </c>
      <c r="W139" s="261">
        <v>238</v>
      </c>
      <c r="X139" s="262">
        <v>34</v>
      </c>
      <c r="Y139" s="435">
        <f>SUM(S139+U139+W139)</f>
        <v>567</v>
      </c>
      <c r="Z139" s="436">
        <f>T139+V139+X139</f>
        <v>81</v>
      </c>
      <c r="AA139" s="422">
        <f>IF(Y139&lt;&gt;0,Z139/Q139,"")</f>
        <v>81</v>
      </c>
      <c r="AB139" s="423">
        <f>IF(Y139&lt;&gt;0,Y139/Z139,"")</f>
        <v>7</v>
      </c>
      <c r="AC139" s="426">
        <v>567</v>
      </c>
      <c r="AD139" s="425">
        <f>IF(AC139&lt;&gt;0,-(AC139-Y139)/AC139,"")</f>
        <v>0</v>
      </c>
      <c r="AE139" s="690">
        <f>AG139-Y139</f>
        <v>538</v>
      </c>
      <c r="AF139" s="691">
        <f>AH139-Z139</f>
        <v>78</v>
      </c>
      <c r="AG139" s="699">
        <v>1105</v>
      </c>
      <c r="AH139" s="700">
        <v>159</v>
      </c>
      <c r="AI139" s="692">
        <f>Z139*1/AH139</f>
        <v>0.5094339622641509</v>
      </c>
      <c r="AJ139" s="692">
        <f>AF139*1/AH139</f>
        <v>0.49056603773584906</v>
      </c>
      <c r="AK139" s="691">
        <f>AH139/Q139</f>
        <v>159</v>
      </c>
      <c r="AL139" s="693">
        <f>AG139/AH139</f>
        <v>6.949685534591195</v>
      </c>
      <c r="AM139" s="695">
        <v>2629</v>
      </c>
      <c r="AN139" s="692">
        <f>IF(AM139&lt;&gt;0,-(AM139-AG139)/AM139,"")</f>
        <v>-0.5796880943324458</v>
      </c>
      <c r="AO139" s="261">
        <f>43848.5+19458.5+4777+1091+5447+2629+1105</f>
        <v>78356</v>
      </c>
      <c r="AP139" s="262">
        <f>3764+1850+439+142+752+413+159</f>
        <v>7519</v>
      </c>
      <c r="AQ139" s="452">
        <f>AO139/AP139</f>
        <v>10.421066631200958</v>
      </c>
      <c r="AR139" s="716">
        <v>40949</v>
      </c>
      <c r="AS139" s="413" t="s">
        <v>534</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308" customFormat="1" ht="15.75" hidden="1">
      <c r="A140" s="331"/>
      <c r="B140" s="311"/>
      <c r="C140" s="315" t="s">
        <v>261</v>
      </c>
      <c r="D140" s="312"/>
      <c r="E140" s="312"/>
      <c r="F140" s="312"/>
      <c r="G140" s="312"/>
      <c r="H140" s="313"/>
      <c r="I140" s="313"/>
      <c r="J140" s="207" t="s">
        <v>271</v>
      </c>
      <c r="K140" s="462" t="s">
        <v>290</v>
      </c>
      <c r="L140" s="461" t="s">
        <v>79</v>
      </c>
      <c r="M140" s="466" t="s">
        <v>287</v>
      </c>
      <c r="N140" s="464">
        <v>40823</v>
      </c>
      <c r="O140" s="465" t="s">
        <v>68</v>
      </c>
      <c r="P140" s="258">
        <v>10</v>
      </c>
      <c r="Q140" s="259">
        <v>2</v>
      </c>
      <c r="R140" s="259">
        <v>13</v>
      </c>
      <c r="S140" s="554">
        <v>406</v>
      </c>
      <c r="T140" s="555">
        <v>62</v>
      </c>
      <c r="U140" s="554">
        <v>343</v>
      </c>
      <c r="V140" s="555">
        <v>47</v>
      </c>
      <c r="W140" s="554">
        <v>350</v>
      </c>
      <c r="X140" s="555">
        <v>49</v>
      </c>
      <c r="Y140" s="435">
        <f>SUM(S140+U140+W140)</f>
        <v>1099</v>
      </c>
      <c r="Z140" s="436">
        <f>T140+V140+X140</f>
        <v>158</v>
      </c>
      <c r="AA140" s="422">
        <f>IF(Y140&lt;&gt;0,Z140/Q140,"")</f>
        <v>79</v>
      </c>
      <c r="AB140" s="423">
        <f>IF(Y140&lt;&gt;0,Y140/Z140,"")</f>
        <v>6.955696202531645</v>
      </c>
      <c r="AC140" s="426">
        <v>1099</v>
      </c>
      <c r="AD140" s="425">
        <f>IF(AC140&lt;&gt;0,-(AC140-Y140)/AC140,"")</f>
        <v>0</v>
      </c>
      <c r="AE140" s="690">
        <f>AG140-Y140</f>
        <v>-11.5</v>
      </c>
      <c r="AF140" s="691">
        <f>AH140-Z140</f>
        <v>-5</v>
      </c>
      <c r="AG140" s="705">
        <v>1087.5</v>
      </c>
      <c r="AH140" s="706">
        <v>153</v>
      </c>
      <c r="AI140" s="692">
        <f>Z140*1/AH140</f>
        <v>1.0326797385620916</v>
      </c>
      <c r="AJ140" s="692">
        <f>AF140*1/AH140</f>
        <v>-0.032679738562091505</v>
      </c>
      <c r="AK140" s="691">
        <f>AH140/Q140</f>
        <v>76.5</v>
      </c>
      <c r="AL140" s="693">
        <f>AG140/AH140</f>
        <v>7.107843137254902</v>
      </c>
      <c r="AM140" s="694">
        <v>3784</v>
      </c>
      <c r="AN140" s="692">
        <f>IF(AM140&lt;&gt;0,-(AM140-AG140)/AM140,"")</f>
        <v>-0.7126057082452432</v>
      </c>
      <c r="AO140" s="270">
        <f>31458.5+18316.5+9973.5+2181+7429+3551+2891+512+313+372+806+3784+1705+1087.5</f>
        <v>84380</v>
      </c>
      <c r="AP140" s="272">
        <f>2922+2132+1224+343+1097+635+770+85+39+50+137+612+248+153</f>
        <v>10447</v>
      </c>
      <c r="AQ140" s="452">
        <f>AO140/AP140</f>
        <v>8.076959892792189</v>
      </c>
      <c r="AR140" s="716">
        <v>40949</v>
      </c>
      <c r="AS140" s="413" t="s">
        <v>371</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308" customFormat="1" ht="15.75" hidden="1">
      <c r="A141" s="331"/>
      <c r="B141" s="311"/>
      <c r="C141" s="315" t="s">
        <v>261</v>
      </c>
      <c r="D141" s="312"/>
      <c r="E141" s="312"/>
      <c r="F141" s="312"/>
      <c r="G141" s="312"/>
      <c r="H141" s="313"/>
      <c r="I141" s="316" t="s">
        <v>54</v>
      </c>
      <c r="J141" s="207" t="s">
        <v>398</v>
      </c>
      <c r="K141" s="466" t="s">
        <v>218</v>
      </c>
      <c r="L141" s="466"/>
      <c r="M141" s="466" t="s">
        <v>398</v>
      </c>
      <c r="N141" s="464">
        <v>40627</v>
      </c>
      <c r="O141" s="465" t="s">
        <v>68</v>
      </c>
      <c r="P141" s="258">
        <v>137</v>
      </c>
      <c r="Q141" s="259">
        <v>1</v>
      </c>
      <c r="R141" s="259">
        <v>25</v>
      </c>
      <c r="S141" s="554">
        <v>0</v>
      </c>
      <c r="T141" s="555">
        <v>0</v>
      </c>
      <c r="U141" s="554">
        <v>0</v>
      </c>
      <c r="V141" s="555">
        <v>0</v>
      </c>
      <c r="W141" s="554">
        <v>0</v>
      </c>
      <c r="X141" s="555">
        <v>0</v>
      </c>
      <c r="Y141" s="435">
        <f>SUM(S141+U141+W141)</f>
        <v>0</v>
      </c>
      <c r="Z141" s="436">
        <f>T141+V141+X141</f>
        <v>0</v>
      </c>
      <c r="AA141" s="422">
        <f>IF(Y141&lt;&gt;0,Z141/Q141,"")</f>
      </c>
      <c r="AB141" s="423">
        <f>IF(Y141&lt;&gt;0,Y141/Z141,"")</f>
      </c>
      <c r="AC141" s="426">
        <v>0</v>
      </c>
      <c r="AD141" s="425">
        <f>IF(AC141&lt;&gt;0,-(AC141-Y141)/AC141,"")</f>
      </c>
      <c r="AE141" s="690">
        <f>AG141-Y141</f>
        <v>950</v>
      </c>
      <c r="AF141" s="691">
        <f>AH141-Z141</f>
        <v>190</v>
      </c>
      <c r="AG141" s="705">
        <v>950</v>
      </c>
      <c r="AH141" s="706">
        <v>190</v>
      </c>
      <c r="AI141" s="692">
        <f>Z141*1/AH141</f>
        <v>0</v>
      </c>
      <c r="AJ141" s="692">
        <f>AF141*1/AH141</f>
        <v>1</v>
      </c>
      <c r="AK141" s="691">
        <f>AH141/Q141</f>
        <v>190</v>
      </c>
      <c r="AL141" s="693">
        <f>AG141/AH141</f>
        <v>5</v>
      </c>
      <c r="AM141" s="694"/>
      <c r="AN141" s="692">
        <f>IF(AM141&lt;&gt;0,-(AM141-AG141)/AM141,"")</f>
      </c>
      <c r="AO141" s="270">
        <f>1066061.5+1061275+813239.75+606216+468367.5+266511+137274.5+89937.5+9478+4671.5+2215.5+593.5+2273.5+2234+1858+10514.5+2603+2122+2001+349+713+2613.5+475.5+3801.5+950</f>
        <v>4558349.75</v>
      </c>
      <c r="AP141" s="272">
        <f>110278+106719+82858+62672+50883+32012+17904+13463+1427+637+352+91+261+268+240+2410+402+325+272+26+178+653+109+950+190</f>
        <v>485580</v>
      </c>
      <c r="AQ141" s="452">
        <f>AO141/AP141</f>
        <v>9.387433069731044</v>
      </c>
      <c r="AR141" s="716">
        <v>40949</v>
      </c>
      <c r="AS141" s="413" t="s">
        <v>565</v>
      </c>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308" customFormat="1" ht="15.75" hidden="1">
      <c r="A142" s="331"/>
      <c r="B142" s="311"/>
      <c r="C142" s="315" t="s">
        <v>261</v>
      </c>
      <c r="D142" s="312"/>
      <c r="E142" s="318"/>
      <c r="F142" s="312"/>
      <c r="G142" s="312"/>
      <c r="H142" s="313"/>
      <c r="I142" s="316" t="s">
        <v>54</v>
      </c>
      <c r="J142" s="207" t="s">
        <v>629</v>
      </c>
      <c r="K142" s="466" t="s">
        <v>635</v>
      </c>
      <c r="L142" s="461"/>
      <c r="M142" s="466" t="s">
        <v>629</v>
      </c>
      <c r="N142" s="464">
        <v>40620</v>
      </c>
      <c r="O142" s="465" t="s">
        <v>68</v>
      </c>
      <c r="P142" s="258">
        <v>18</v>
      </c>
      <c r="Q142" s="259">
        <v>1</v>
      </c>
      <c r="R142" s="259">
        <v>13</v>
      </c>
      <c r="S142" s="554">
        <v>0</v>
      </c>
      <c r="T142" s="555">
        <v>0</v>
      </c>
      <c r="U142" s="554">
        <v>0</v>
      </c>
      <c r="V142" s="555">
        <v>0</v>
      </c>
      <c r="W142" s="554">
        <v>0</v>
      </c>
      <c r="X142" s="555">
        <v>0</v>
      </c>
      <c r="Y142" s="435">
        <f>SUM(S142+U142+W142)</f>
        <v>0</v>
      </c>
      <c r="Z142" s="436">
        <f>T142+V142+X142</f>
        <v>0</v>
      </c>
      <c r="AA142" s="422"/>
      <c r="AB142" s="423"/>
      <c r="AC142" s="426">
        <v>0</v>
      </c>
      <c r="AD142" s="425">
        <f>IF(AC142&lt;&gt;0,-(AC142-Y142)/AC142,"")</f>
      </c>
      <c r="AE142" s="690">
        <f>AG142-Y142</f>
        <v>713</v>
      </c>
      <c r="AF142" s="691">
        <f>AH142-Z142</f>
        <v>143</v>
      </c>
      <c r="AG142" s="705">
        <v>713</v>
      </c>
      <c r="AH142" s="706">
        <v>143</v>
      </c>
      <c r="AI142" s="692">
        <f>Z142*1/AH142</f>
        <v>0</v>
      </c>
      <c r="AJ142" s="692">
        <f>AF142*1/AH142</f>
        <v>1</v>
      </c>
      <c r="AK142" s="691">
        <f>AH142/Q142</f>
        <v>143</v>
      </c>
      <c r="AL142" s="693">
        <f>AG142/AH142</f>
        <v>4.986013986013986</v>
      </c>
      <c r="AM142" s="694"/>
      <c r="AN142" s="692"/>
      <c r="AO142" s="270">
        <f>39453.5+44225+30459.5+23462+13989+8982.5+6844+2370+4120+2588+1886+275+713</f>
        <v>179367.5</v>
      </c>
      <c r="AP142" s="272">
        <f>5345+6302+4080+3427+1964+1106+1298+366+730+571+456+44+143</f>
        <v>25832</v>
      </c>
      <c r="AQ142" s="452">
        <f>AO142/AP142</f>
        <v>6.943616444719727</v>
      </c>
      <c r="AR142" s="716">
        <v>40949</v>
      </c>
      <c r="AS142" s="413" t="s">
        <v>566</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308" customFormat="1" ht="15.75" hidden="1">
      <c r="A143" s="331"/>
      <c r="B143" s="311"/>
      <c r="C143" s="315" t="s">
        <v>261</v>
      </c>
      <c r="D143" s="312"/>
      <c r="E143" s="312"/>
      <c r="F143" s="312"/>
      <c r="G143" s="312"/>
      <c r="H143" s="313"/>
      <c r="I143" s="313"/>
      <c r="J143" s="203" t="s">
        <v>149</v>
      </c>
      <c r="K143" s="462" t="s">
        <v>184</v>
      </c>
      <c r="L143" s="463" t="s">
        <v>189</v>
      </c>
      <c r="M143" s="463" t="s">
        <v>150</v>
      </c>
      <c r="N143" s="467">
        <v>40830</v>
      </c>
      <c r="O143" s="465" t="s">
        <v>8</v>
      </c>
      <c r="P143" s="266">
        <v>60</v>
      </c>
      <c r="Q143" s="267">
        <v>1</v>
      </c>
      <c r="R143" s="267">
        <v>13</v>
      </c>
      <c r="S143" s="362">
        <v>107</v>
      </c>
      <c r="T143" s="360">
        <v>17</v>
      </c>
      <c r="U143" s="362">
        <v>80</v>
      </c>
      <c r="V143" s="360">
        <v>13</v>
      </c>
      <c r="W143" s="362">
        <v>164</v>
      </c>
      <c r="X143" s="360">
        <v>25</v>
      </c>
      <c r="Y143" s="435">
        <f>SUM(S143+U143+W143)</f>
        <v>351</v>
      </c>
      <c r="Z143" s="436">
        <f>T143+V143+X143</f>
        <v>55</v>
      </c>
      <c r="AA143" s="422">
        <f>IF(Y143&lt;&gt;0,Z143/Q143,"")</f>
        <v>55</v>
      </c>
      <c r="AB143" s="423">
        <f>IF(Y143&lt;&gt;0,Y143/Z143,"")</f>
        <v>6.381818181818182</v>
      </c>
      <c r="AC143" s="427">
        <v>351</v>
      </c>
      <c r="AD143" s="425">
        <f>IF(AC143&lt;&gt;0,-(AC143-Y143)/AC143,"")</f>
        <v>0</v>
      </c>
      <c r="AE143" s="690">
        <f>AG143-Y143</f>
        <v>359</v>
      </c>
      <c r="AF143" s="691">
        <f>AH143-Z143</f>
        <v>59</v>
      </c>
      <c r="AG143" s="701">
        <v>710</v>
      </c>
      <c r="AH143" s="702">
        <v>114</v>
      </c>
      <c r="AI143" s="692">
        <f>Z143*1/AH143</f>
        <v>0.4824561403508772</v>
      </c>
      <c r="AJ143" s="692">
        <f>AF143*1/AH143</f>
        <v>0.5175438596491229</v>
      </c>
      <c r="AK143" s="691">
        <f>AH143/Q143</f>
        <v>114</v>
      </c>
      <c r="AL143" s="693">
        <f>AG143/AH143</f>
        <v>6.228070175438597</v>
      </c>
      <c r="AM143" s="694">
        <v>7574</v>
      </c>
      <c r="AN143" s="692">
        <f>IF(AM143&lt;&gt;0,-(AM143-AG143)/AM143,"")</f>
        <v>-0.9062582519144442</v>
      </c>
      <c r="AO143" s="268">
        <v>395335</v>
      </c>
      <c r="AP143" s="269">
        <v>41640</v>
      </c>
      <c r="AQ143" s="452">
        <f>AO143/AP143</f>
        <v>9.49411623439001</v>
      </c>
      <c r="AR143" s="716">
        <v>40949</v>
      </c>
      <c r="AS143" s="413" t="s">
        <v>568</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308" customFormat="1" ht="15.75" hidden="1">
      <c r="A144" s="331"/>
      <c r="B144" s="311"/>
      <c r="C144" s="315" t="s">
        <v>261</v>
      </c>
      <c r="D144" s="312"/>
      <c r="E144" s="318"/>
      <c r="F144" s="312"/>
      <c r="G144" s="312"/>
      <c r="H144" s="313"/>
      <c r="I144" s="313"/>
      <c r="J144" s="207" t="s">
        <v>190</v>
      </c>
      <c r="K144" s="466" t="s">
        <v>195</v>
      </c>
      <c r="L144" s="461" t="s">
        <v>79</v>
      </c>
      <c r="M144" s="466" t="s">
        <v>192</v>
      </c>
      <c r="N144" s="464">
        <v>40816</v>
      </c>
      <c r="O144" s="465" t="s">
        <v>68</v>
      </c>
      <c r="P144" s="258">
        <v>25</v>
      </c>
      <c r="Q144" s="259">
        <v>13</v>
      </c>
      <c r="R144" s="259">
        <v>3</v>
      </c>
      <c r="S144" s="554">
        <v>450</v>
      </c>
      <c r="T144" s="555">
        <v>75</v>
      </c>
      <c r="U144" s="554">
        <v>582</v>
      </c>
      <c r="V144" s="555">
        <v>97</v>
      </c>
      <c r="W144" s="554">
        <v>618</v>
      </c>
      <c r="X144" s="555">
        <v>103</v>
      </c>
      <c r="Y144" s="435">
        <f>SUM(S144+U144+W144)</f>
        <v>1650</v>
      </c>
      <c r="Z144" s="436">
        <f>T144+V144+X144</f>
        <v>275</v>
      </c>
      <c r="AA144" s="422">
        <f>IF(Y144&lt;&gt;0,Z144/Q144,"")</f>
        <v>21.153846153846153</v>
      </c>
      <c r="AB144" s="423">
        <f>IF(Y144&lt;&gt;0,Y144/Z144,"")</f>
        <v>6</v>
      </c>
      <c r="AC144" s="426">
        <v>1650</v>
      </c>
      <c r="AD144" s="425">
        <f>IF(AC144&lt;&gt;0,-(AC144-Y144)/AC144,"")</f>
        <v>0</v>
      </c>
      <c r="AE144" s="690">
        <f>AG144-Y144</f>
        <v>-1155</v>
      </c>
      <c r="AF144" s="691">
        <f>AH144-Z144</f>
        <v>-203</v>
      </c>
      <c r="AG144" s="705">
        <v>495</v>
      </c>
      <c r="AH144" s="706">
        <v>72</v>
      </c>
      <c r="AI144" s="692">
        <f>Z144*1/AH144</f>
        <v>3.8194444444444446</v>
      </c>
      <c r="AJ144" s="692">
        <f>AF144*1/AH144</f>
        <v>-2.8194444444444446</v>
      </c>
      <c r="AK144" s="691">
        <f>AH144/Q144</f>
        <v>5.538461538461538</v>
      </c>
      <c r="AL144" s="693">
        <f>AG144/AH144</f>
        <v>6.875</v>
      </c>
      <c r="AM144" s="694">
        <v>3320</v>
      </c>
      <c r="AN144" s="692">
        <f>IF(AM144&lt;&gt;0,-(AM144-AG144)/AM144,"")</f>
        <v>-0.8509036144578314</v>
      </c>
      <c r="AO144" s="270">
        <f>80510.5+53296+49611.5+29276.5+2781+46429+5648+1635+6908.5+15320.5+732+943+3320+5134+495</f>
        <v>302040.5</v>
      </c>
      <c r="AP144" s="272">
        <f>8978+6079+6067+4144+482+6937+761+224+842+1960+107+134+565+664+72</f>
        <v>38016</v>
      </c>
      <c r="AQ144" s="452">
        <f>AO144/AP144</f>
        <v>7.94508890993266</v>
      </c>
      <c r="AR144" s="716">
        <v>40949</v>
      </c>
      <c r="AS144" s="413" t="s">
        <v>569</v>
      </c>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308" customFormat="1" ht="15.75" hidden="1">
      <c r="A145" s="331"/>
      <c r="B145" s="311"/>
      <c r="C145" s="315" t="s">
        <v>261</v>
      </c>
      <c r="D145" s="312"/>
      <c r="E145" s="312"/>
      <c r="F145" s="312"/>
      <c r="G145" s="312"/>
      <c r="H145" s="313"/>
      <c r="I145" s="316" t="s">
        <v>54</v>
      </c>
      <c r="J145" s="210" t="s">
        <v>106</v>
      </c>
      <c r="K145" s="462" t="s">
        <v>114</v>
      </c>
      <c r="L145" s="462"/>
      <c r="M145" s="462" t="s">
        <v>106</v>
      </c>
      <c r="N145" s="464">
        <v>40879</v>
      </c>
      <c r="O145" s="465" t="s">
        <v>8</v>
      </c>
      <c r="P145" s="258">
        <v>39</v>
      </c>
      <c r="Q145" s="267">
        <v>1</v>
      </c>
      <c r="R145" s="267">
        <v>11</v>
      </c>
      <c r="S145" s="362">
        <v>24</v>
      </c>
      <c r="T145" s="360">
        <v>4</v>
      </c>
      <c r="U145" s="362">
        <v>50</v>
      </c>
      <c r="V145" s="360">
        <v>8</v>
      </c>
      <c r="W145" s="362">
        <v>60</v>
      </c>
      <c r="X145" s="360">
        <v>9</v>
      </c>
      <c r="Y145" s="435">
        <f>SUM(S145+U145+W145)</f>
        <v>134</v>
      </c>
      <c r="Z145" s="436">
        <f>T145+V145+X145</f>
        <v>21</v>
      </c>
      <c r="AA145" s="422">
        <f>IF(Y145&lt;&gt;0,Z145/Q145,"")</f>
        <v>21</v>
      </c>
      <c r="AB145" s="423">
        <f>IF(Y145&lt;&gt;0,Y145/Z145,"")</f>
        <v>6.380952380952381</v>
      </c>
      <c r="AC145" s="426">
        <v>134</v>
      </c>
      <c r="AD145" s="425">
        <f>IF(AC145&lt;&gt;0,-(AC145-Y145)/AC145,"")</f>
        <v>0</v>
      </c>
      <c r="AE145" s="690">
        <f>AG145-Y145</f>
        <v>166</v>
      </c>
      <c r="AF145" s="691">
        <f>AH145-Z145</f>
        <v>32</v>
      </c>
      <c r="AG145" s="701">
        <v>300</v>
      </c>
      <c r="AH145" s="702">
        <v>53</v>
      </c>
      <c r="AI145" s="692">
        <f>Z145*1/AH145</f>
        <v>0.39622641509433965</v>
      </c>
      <c r="AJ145" s="692">
        <f>AF145*1/AH145</f>
        <v>0.6037735849056604</v>
      </c>
      <c r="AK145" s="691">
        <f>AH145/Q145</f>
        <v>53</v>
      </c>
      <c r="AL145" s="693">
        <f>AG145/AH145</f>
        <v>5.660377358490566</v>
      </c>
      <c r="AM145" s="695">
        <v>378</v>
      </c>
      <c r="AN145" s="692">
        <f>IF(AM145&lt;&gt;0,-(AM145-AG145)/AM145,"")</f>
        <v>-0.20634920634920634</v>
      </c>
      <c r="AO145" s="268">
        <v>224713</v>
      </c>
      <c r="AP145" s="269">
        <v>25493</v>
      </c>
      <c r="AQ145" s="452">
        <f>AO145/AP145</f>
        <v>8.81469422978857</v>
      </c>
      <c r="AR145" s="716">
        <v>40949</v>
      </c>
      <c r="AS145" s="413" t="s">
        <v>570</v>
      </c>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308" customFormat="1" ht="15.75" hidden="1">
      <c r="A146" s="331"/>
      <c r="B146" s="311"/>
      <c r="C146" s="315" t="s">
        <v>261</v>
      </c>
      <c r="D146" s="312"/>
      <c r="E146" s="312"/>
      <c r="F146" s="312"/>
      <c r="G146" s="312"/>
      <c r="H146" s="313"/>
      <c r="I146" s="320"/>
      <c r="J146" s="210" t="s">
        <v>135</v>
      </c>
      <c r="K146" s="462" t="s">
        <v>133</v>
      </c>
      <c r="L146" s="470" t="s">
        <v>99</v>
      </c>
      <c r="M146" s="461" t="s">
        <v>134</v>
      </c>
      <c r="N146" s="467">
        <v>40851</v>
      </c>
      <c r="O146" s="465" t="s">
        <v>52</v>
      </c>
      <c r="P146" s="281">
        <v>29</v>
      </c>
      <c r="Q146" s="259">
        <v>1</v>
      </c>
      <c r="R146" s="259">
        <v>11</v>
      </c>
      <c r="S146" s="261">
        <v>12</v>
      </c>
      <c r="T146" s="262">
        <v>2</v>
      </c>
      <c r="U146" s="261">
        <v>0</v>
      </c>
      <c r="V146" s="262">
        <v>0</v>
      </c>
      <c r="W146" s="261">
        <v>24</v>
      </c>
      <c r="X146" s="262">
        <v>4</v>
      </c>
      <c r="Y146" s="435">
        <f>SUM(S146+U146+W146)</f>
        <v>36</v>
      </c>
      <c r="Z146" s="436">
        <f>T146+V146+X146</f>
        <v>6</v>
      </c>
      <c r="AA146" s="422">
        <f>IF(Y146&lt;&gt;0,Z146/Q146,"")</f>
        <v>6</v>
      </c>
      <c r="AB146" s="423">
        <f>IF(Y146&lt;&gt;0,Y146/Z146,"")</f>
        <v>6</v>
      </c>
      <c r="AC146" s="426">
        <v>36</v>
      </c>
      <c r="AD146" s="425">
        <f>IF(AC146&lt;&gt;0,-(AC146-Y146)/AC146,"")</f>
        <v>0</v>
      </c>
      <c r="AE146" s="690">
        <f>AG146-Y146</f>
        <v>12</v>
      </c>
      <c r="AF146" s="691">
        <f>AH146-Z146</f>
        <v>2</v>
      </c>
      <c r="AG146" s="699">
        <v>48</v>
      </c>
      <c r="AH146" s="700">
        <v>8</v>
      </c>
      <c r="AI146" s="692">
        <f>Z146*1/AH146</f>
        <v>0.75</v>
      </c>
      <c r="AJ146" s="692">
        <f>AF146*1/AH146</f>
        <v>0.25</v>
      </c>
      <c r="AK146" s="691">
        <f>AH146/Q146</f>
        <v>8</v>
      </c>
      <c r="AL146" s="693">
        <f>AG146/AH146</f>
        <v>6</v>
      </c>
      <c r="AM146" s="696">
        <v>132</v>
      </c>
      <c r="AN146" s="692">
        <f>IF(AM146&lt;&gt;0,-(AM146-AG146)/AM146,"")</f>
        <v>-0.6363636363636364</v>
      </c>
      <c r="AO146" s="261">
        <f>58904+19329.5+590+8101+236+218+391.5+325+1050+132+48</f>
        <v>89325</v>
      </c>
      <c r="AP146" s="262">
        <f>5890+1991+54+1603+47+38+47+65+150+22+8</f>
        <v>9915</v>
      </c>
      <c r="AQ146" s="452">
        <f>AO146/AP146</f>
        <v>9.009077155824508</v>
      </c>
      <c r="AR146" s="716">
        <v>40949</v>
      </c>
      <c r="AS146" s="413" t="s">
        <v>571</v>
      </c>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308" customFormat="1" ht="15.75" hidden="1">
      <c r="A147" s="331"/>
      <c r="B147" s="311"/>
      <c r="C147" s="315" t="s">
        <v>261</v>
      </c>
      <c r="D147" s="312"/>
      <c r="E147" s="312"/>
      <c r="F147" s="312"/>
      <c r="G147" s="312"/>
      <c r="H147" s="313"/>
      <c r="I147" s="314"/>
      <c r="J147" s="207" t="s">
        <v>548</v>
      </c>
      <c r="K147" s="466" t="s">
        <v>549</v>
      </c>
      <c r="L147" s="461" t="s">
        <v>128</v>
      </c>
      <c r="M147" s="466" t="s">
        <v>550</v>
      </c>
      <c r="N147" s="464">
        <v>40683</v>
      </c>
      <c r="O147" s="465" t="s">
        <v>68</v>
      </c>
      <c r="P147" s="258">
        <v>6</v>
      </c>
      <c r="Q147" s="259">
        <v>1</v>
      </c>
      <c r="R147" s="259">
        <v>21</v>
      </c>
      <c r="S147" s="554">
        <v>0</v>
      </c>
      <c r="T147" s="555">
        <v>0</v>
      </c>
      <c r="U147" s="554">
        <v>0</v>
      </c>
      <c r="V147" s="555">
        <v>0</v>
      </c>
      <c r="W147" s="554">
        <v>0</v>
      </c>
      <c r="X147" s="555">
        <v>0</v>
      </c>
      <c r="Y147" s="435">
        <f>SUM(S147+U147+W147)</f>
        <v>0</v>
      </c>
      <c r="Z147" s="436">
        <f>T147+V147+X147</f>
        <v>0</v>
      </c>
      <c r="AA147" s="422">
        <f>IF(Y147&lt;&gt;0,Z147/Q147,"")</f>
      </c>
      <c r="AB147" s="423">
        <f>IF(Y147&lt;&gt;0,Y147/Z147,"")</f>
      </c>
      <c r="AC147" s="426">
        <v>0</v>
      </c>
      <c r="AD147" s="425">
        <f>IF(AC147&lt;&gt;0,-(AC147-Y147)/AC147,"")</f>
      </c>
      <c r="AE147" s="690">
        <f>AG147-Y147</f>
        <v>3801.5</v>
      </c>
      <c r="AF147" s="691">
        <f>AH147-Z147</f>
        <v>760</v>
      </c>
      <c r="AG147" s="705">
        <v>3801.5</v>
      </c>
      <c r="AH147" s="706">
        <v>760</v>
      </c>
      <c r="AI147" s="692">
        <f>Z147*1/AH147</f>
        <v>0</v>
      </c>
      <c r="AJ147" s="692">
        <f>AF147*1/AH147</f>
        <v>1</v>
      </c>
      <c r="AK147" s="691">
        <f>AH147/Q147</f>
        <v>760</v>
      </c>
      <c r="AL147" s="693">
        <f>AG147/AH147</f>
        <v>5.001973684210526</v>
      </c>
      <c r="AM147" s="694"/>
      <c r="AN147" s="692">
        <f>IF(AM147&lt;&gt;0,-(AM147-AG147)/AM147,"")</f>
      </c>
      <c r="AO147" s="270">
        <f>16905.5+10044+3710+2342+9911.5+7248+6024+1678+1960+374+2139+2655.5+2562+447+1328+1270+869+1782+475+25+3801.5</f>
        <v>77551</v>
      </c>
      <c r="AP147" s="272">
        <f>1241+811+837+224+905+1125+738+283+277+57+267+346+338+61+166+189+146+446+119+5+760</f>
        <v>9341</v>
      </c>
      <c r="AQ147" s="452">
        <f>AO147/AP147</f>
        <v>8.302216036826891</v>
      </c>
      <c r="AR147" s="716">
        <v>40942</v>
      </c>
      <c r="AS147" s="413" t="s">
        <v>349</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102" s="308" customFormat="1" ht="15.75" hidden="1">
      <c r="A148" s="331"/>
      <c r="B148" s="321"/>
      <c r="C148" s="315" t="s">
        <v>261</v>
      </c>
      <c r="D148" s="324" t="s">
        <v>223</v>
      </c>
      <c r="E148" s="322"/>
      <c r="F148" s="312"/>
      <c r="G148" s="322"/>
      <c r="H148" s="313"/>
      <c r="I148" s="313"/>
      <c r="J148" s="203" t="s">
        <v>336</v>
      </c>
      <c r="K148" s="463" t="s">
        <v>350</v>
      </c>
      <c r="L148" s="462" t="s">
        <v>138</v>
      </c>
      <c r="M148" s="463" t="s">
        <v>340</v>
      </c>
      <c r="N148" s="464">
        <v>39472</v>
      </c>
      <c r="O148" s="465" t="s">
        <v>53</v>
      </c>
      <c r="P148" s="274">
        <v>59</v>
      </c>
      <c r="Q148" s="275">
        <v>1</v>
      </c>
      <c r="R148" s="275">
        <v>43</v>
      </c>
      <c r="S148" s="556">
        <v>402</v>
      </c>
      <c r="T148" s="557">
        <v>80</v>
      </c>
      <c r="U148" s="556">
        <v>1000</v>
      </c>
      <c r="V148" s="557">
        <v>200</v>
      </c>
      <c r="W148" s="556">
        <v>1000</v>
      </c>
      <c r="X148" s="557">
        <v>200</v>
      </c>
      <c r="Y148" s="435">
        <f>SUM(S148+U148+W148)</f>
        <v>2402</v>
      </c>
      <c r="Z148" s="436">
        <f>T148+V148+X148</f>
        <v>480</v>
      </c>
      <c r="AA148" s="422">
        <f>IF(Y148&lt;&gt;0,Z148/Q148,"")</f>
        <v>480</v>
      </c>
      <c r="AB148" s="423">
        <f>IF(Y148&lt;&gt;0,Y148/Z148,"")</f>
        <v>5.004166666666666</v>
      </c>
      <c r="AC148" s="426">
        <v>2402</v>
      </c>
      <c r="AD148" s="425">
        <f>IF(AC148&lt;&gt;0,-(AC148-Y148)/AC148,"")</f>
        <v>0</v>
      </c>
      <c r="AE148" s="690">
        <f>AG148-Y148</f>
        <v>0</v>
      </c>
      <c r="AF148" s="691">
        <f>AH148-Z148</f>
        <v>0</v>
      </c>
      <c r="AG148" s="699">
        <v>2402</v>
      </c>
      <c r="AH148" s="700">
        <v>480</v>
      </c>
      <c r="AI148" s="692">
        <f>Z148*1/AH148</f>
        <v>1</v>
      </c>
      <c r="AJ148" s="692">
        <f>AF148*1/AH148</f>
        <v>0</v>
      </c>
      <c r="AK148" s="691">
        <f>AH148/Q148</f>
        <v>480</v>
      </c>
      <c r="AL148" s="693">
        <f>AG148/AH148</f>
        <v>5.004166666666666</v>
      </c>
      <c r="AM148" s="695">
        <v>1802</v>
      </c>
      <c r="AN148" s="692">
        <f>IF(AM148&lt;&gt;0,-(AM148-AG148)/AM148,"")</f>
        <v>0.33296337402885684</v>
      </c>
      <c r="AO148" s="261">
        <f>395290.5+262822+75939+23709.5+4083+1327+9321+1445+1267+2173+4575+201+1748+3343+728+28+948+1329+163+182+173+15521.5+171+40+110+75+183.5+127+124.5+1976+312+180+12+2398+1799+1799+1799+3598+1201+1802+2402</f>
        <v>826425.5</v>
      </c>
      <c r="AP148" s="262">
        <f>47426+32442+9866+4010+887+225+2185+263+226+460+1077+33+367+887+230+4+139+355+32+35+32+3859+49+8+22+15+68+46+45+659+52+30+2+399+300+300+300+600+240+360+480</f>
        <v>109015</v>
      </c>
      <c r="AQ148" s="452">
        <f>AO148/AP148</f>
        <v>7.580842085951475</v>
      </c>
      <c r="AR148" s="716">
        <v>40942</v>
      </c>
      <c r="AS148" s="413" t="s">
        <v>349</v>
      </c>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row>
    <row r="149" spans="1:102" s="308" customFormat="1" ht="15.75" hidden="1">
      <c r="A149" s="331"/>
      <c r="B149" s="311"/>
      <c r="C149" s="315" t="s">
        <v>261</v>
      </c>
      <c r="D149" s="324" t="s">
        <v>223</v>
      </c>
      <c r="E149" s="319">
        <v>3</v>
      </c>
      <c r="F149" s="332"/>
      <c r="G149" s="323" t="s">
        <v>292</v>
      </c>
      <c r="H149" s="317" t="s">
        <v>55</v>
      </c>
      <c r="I149" s="314"/>
      <c r="J149" s="207" t="s">
        <v>447</v>
      </c>
      <c r="K149" s="466" t="s">
        <v>461</v>
      </c>
      <c r="L149" s="466" t="s">
        <v>89</v>
      </c>
      <c r="M149" s="466" t="s">
        <v>455</v>
      </c>
      <c r="N149" s="464">
        <v>39995</v>
      </c>
      <c r="O149" s="465" t="s">
        <v>68</v>
      </c>
      <c r="P149" s="258">
        <v>209</v>
      </c>
      <c r="Q149" s="259">
        <v>2</v>
      </c>
      <c r="R149" s="259">
        <v>73</v>
      </c>
      <c r="S149" s="554">
        <v>0</v>
      </c>
      <c r="T149" s="555">
        <v>0</v>
      </c>
      <c r="U149" s="554">
        <v>0</v>
      </c>
      <c r="V149" s="555">
        <v>0</v>
      </c>
      <c r="W149" s="554">
        <v>0</v>
      </c>
      <c r="X149" s="555">
        <v>0</v>
      </c>
      <c r="Y149" s="435">
        <f>SUM(S149+U149+W149)</f>
        <v>0</v>
      </c>
      <c r="Z149" s="436">
        <f>T149+V149+X149</f>
        <v>0</v>
      </c>
      <c r="AA149" s="422">
        <f>IF(Y149&lt;&gt;0,Z149/Q149,"")</f>
      </c>
      <c r="AB149" s="423">
        <f>IF(Y149&lt;&gt;0,Y149/Z149,"")</f>
      </c>
      <c r="AC149" s="426">
        <v>0</v>
      </c>
      <c r="AD149" s="425">
        <f>IF(AC149&lt;&gt;0,-(AC149-Y149)/AC149,"")</f>
      </c>
      <c r="AE149" s="690">
        <f>AG149-Y149</f>
        <v>2375</v>
      </c>
      <c r="AF149" s="691">
        <f>AH149-Z149</f>
        <v>475</v>
      </c>
      <c r="AG149" s="705">
        <v>2375</v>
      </c>
      <c r="AH149" s="706">
        <v>475</v>
      </c>
      <c r="AI149" s="692">
        <f>Z149*1/AH149</f>
        <v>0</v>
      </c>
      <c r="AJ149" s="692">
        <f>AF149*1/AH149</f>
        <v>1</v>
      </c>
      <c r="AK149" s="691">
        <f>AH149/Q149</f>
        <v>237.5</v>
      </c>
      <c r="AL149" s="693">
        <f>AG149/AH149</f>
        <v>5</v>
      </c>
      <c r="AM149" s="694"/>
      <c r="AN149" s="692">
        <f>IF(AM149&lt;&gt;0,-(AM149-AG149)/AM149,"")</f>
      </c>
      <c r="AO149" s="270">
        <f>11405777.5+385+1188+6614+2968+1417+277+2612+1424+952+1780+952+364.5+1188+1188+2852+3019.5+305+1188+286+1188+2375</f>
        <v>11440300.5</v>
      </c>
      <c r="AP149" s="272">
        <f>1424397+63+297+1638+742+364+66+653+356+238+445+238+27+297+297+713+734+61+297+71+297+475</f>
        <v>1432766</v>
      </c>
      <c r="AQ149" s="452">
        <f>AO149/AP149</f>
        <v>7.984765481592947</v>
      </c>
      <c r="AR149" s="716">
        <v>40942</v>
      </c>
      <c r="AS149" s="413" t="s">
        <v>349</v>
      </c>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row>
    <row r="150" spans="1:102" s="308" customFormat="1" ht="15.75" hidden="1">
      <c r="A150" s="331"/>
      <c r="B150" s="311"/>
      <c r="C150" s="315" t="s">
        <v>261</v>
      </c>
      <c r="D150" s="312"/>
      <c r="E150" s="312"/>
      <c r="F150" s="312"/>
      <c r="G150" s="312"/>
      <c r="H150" s="313"/>
      <c r="I150" s="313"/>
      <c r="J150" s="207" t="s">
        <v>594</v>
      </c>
      <c r="K150" s="466" t="s">
        <v>600</v>
      </c>
      <c r="L150" s="466" t="s">
        <v>248</v>
      </c>
      <c r="M150" s="466" t="s">
        <v>599</v>
      </c>
      <c r="N150" s="464">
        <v>40473</v>
      </c>
      <c r="O150" s="465" t="s">
        <v>68</v>
      </c>
      <c r="P150" s="258">
        <v>30</v>
      </c>
      <c r="Q150" s="259">
        <v>1</v>
      </c>
      <c r="R150" s="259">
        <v>19</v>
      </c>
      <c r="S150" s="554">
        <v>0</v>
      </c>
      <c r="T150" s="555">
        <v>0</v>
      </c>
      <c r="U150" s="554">
        <v>0</v>
      </c>
      <c r="V150" s="555">
        <v>0</v>
      </c>
      <c r="W150" s="554">
        <v>0</v>
      </c>
      <c r="X150" s="555">
        <v>0</v>
      </c>
      <c r="Y150" s="435">
        <f>SUM(S150+U150+W150)</f>
        <v>0</v>
      </c>
      <c r="Z150" s="436">
        <f>T150+V150+X150</f>
        <v>0</v>
      </c>
      <c r="AA150" s="422"/>
      <c r="AB150" s="423"/>
      <c r="AC150" s="426">
        <v>0</v>
      </c>
      <c r="AD150" s="425">
        <f>IF(AC150&lt;&gt;0,-(AC150-Y150)/AC150,"")</f>
      </c>
      <c r="AE150" s="690">
        <f>AG150-Y150</f>
        <v>2138.5</v>
      </c>
      <c r="AF150" s="691">
        <f>AH150-Z150</f>
        <v>428</v>
      </c>
      <c r="AG150" s="705">
        <v>2138.5</v>
      </c>
      <c r="AH150" s="706">
        <v>428</v>
      </c>
      <c r="AI150" s="692">
        <f>Z150*1/AH150</f>
        <v>0</v>
      </c>
      <c r="AJ150" s="692">
        <f>AF150*1/AH150</f>
        <v>1</v>
      </c>
      <c r="AK150" s="691">
        <f>AH150/Q150</f>
        <v>428</v>
      </c>
      <c r="AL150" s="693">
        <f>AG150/AH150</f>
        <v>4.996495327102804</v>
      </c>
      <c r="AM150" s="694"/>
      <c r="AN150" s="692"/>
      <c r="AO150" s="270">
        <f>140269+106844+7979+4849+4700.5+7059+2232+1390+2769+13917+8357+891.5+4704+1307+1076+311+973+4948+2138.5</f>
        <v>316714.5</v>
      </c>
      <c r="AP150" s="272">
        <f>11518+8629+641+577+660+1341+325+348+324+2259+1374+332+506+327+114+46+109+785+428</f>
        <v>30643</v>
      </c>
      <c r="AQ150" s="452">
        <f>AO150/AP150</f>
        <v>10.335623143948046</v>
      </c>
      <c r="AR150" s="716">
        <v>40942</v>
      </c>
      <c r="AS150" s="413" t="s">
        <v>349</v>
      </c>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row>
    <row r="151" spans="1:102" s="308" customFormat="1" ht="15.75" hidden="1">
      <c r="A151" s="331"/>
      <c r="B151" s="311"/>
      <c r="C151" s="315" t="s">
        <v>261</v>
      </c>
      <c r="D151" s="312"/>
      <c r="E151" s="312"/>
      <c r="F151" s="312"/>
      <c r="G151" s="312"/>
      <c r="H151" s="317" t="s">
        <v>55</v>
      </c>
      <c r="I151" s="314"/>
      <c r="J151" s="207" t="s">
        <v>355</v>
      </c>
      <c r="K151" s="466" t="s">
        <v>365</v>
      </c>
      <c r="L151" s="466" t="s">
        <v>85</v>
      </c>
      <c r="M151" s="466" t="s">
        <v>362</v>
      </c>
      <c r="N151" s="464">
        <v>40347</v>
      </c>
      <c r="O151" s="465" t="s">
        <v>68</v>
      </c>
      <c r="P151" s="258">
        <v>66</v>
      </c>
      <c r="Q151" s="259">
        <v>1</v>
      </c>
      <c r="R151" s="259">
        <v>37</v>
      </c>
      <c r="S151" s="554">
        <v>0</v>
      </c>
      <c r="T151" s="555">
        <v>0</v>
      </c>
      <c r="U151" s="554">
        <v>0</v>
      </c>
      <c r="V151" s="555">
        <v>0</v>
      </c>
      <c r="W151" s="554">
        <v>0</v>
      </c>
      <c r="X151" s="555">
        <v>0</v>
      </c>
      <c r="Y151" s="435">
        <f>SUM(S151+U151+W151)</f>
        <v>0</v>
      </c>
      <c r="Z151" s="436">
        <f>T151+V151+X151</f>
        <v>0</v>
      </c>
      <c r="AA151" s="422">
        <f>IF(Y151&lt;&gt;0,Z151/Q151,"")</f>
      </c>
      <c r="AB151" s="423">
        <f>IF(Y151&lt;&gt;0,Y151/Z151,"")</f>
      </c>
      <c r="AC151" s="426">
        <v>0</v>
      </c>
      <c r="AD151" s="425">
        <f>IF(AC151&lt;&gt;0,-(AC151-Y151)/AC151,"")</f>
      </c>
      <c r="AE151" s="690">
        <f>AG151-Y151</f>
        <v>1782</v>
      </c>
      <c r="AF151" s="691">
        <f>AH151-Z151</f>
        <v>356</v>
      </c>
      <c r="AG151" s="705">
        <v>1782</v>
      </c>
      <c r="AH151" s="706">
        <v>356</v>
      </c>
      <c r="AI151" s="692">
        <f>Z151*1/AH151</f>
        <v>0</v>
      </c>
      <c r="AJ151" s="692">
        <f>AF151*1/AH151</f>
        <v>1</v>
      </c>
      <c r="AK151" s="691">
        <f>AH151/Q151</f>
        <v>356</v>
      </c>
      <c r="AL151" s="693">
        <f>AG151/AH151</f>
        <v>5.00561797752809</v>
      </c>
      <c r="AM151" s="694"/>
      <c r="AN151" s="692">
        <f>IF(AM151&lt;&gt;0,-(AM151-AG151)/AM151,"")</f>
      </c>
      <c r="AO151" s="270">
        <f>478213+7083+3309.5+6055+4900+8378+4378.5+2349+3103+2074+7679.5+6108+2991.5+2180+2234+642+2775.5+1757+1151+3382+60+1782+2851+1188+713+286+2138.5+2138.5+2138.5+1782</f>
        <v>565821</v>
      </c>
      <c r="AP151" s="272">
        <f>55327+1259+553+1133+756+1285+650+408+682+334+1688+1394+539+483+475+201+677+260+202+852+20+445+712+297+178+67+535+535+535+356</f>
        <v>72838</v>
      </c>
      <c r="AQ151" s="452">
        <f>AO151/AP151</f>
        <v>7.768211647766276</v>
      </c>
      <c r="AR151" s="716">
        <v>40942</v>
      </c>
      <c r="AS151" s="413" t="s">
        <v>349</v>
      </c>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row>
    <row r="152" spans="1:102" s="308" customFormat="1" ht="15.75" hidden="1">
      <c r="A152" s="331"/>
      <c r="B152" s="312"/>
      <c r="C152" s="315" t="s">
        <v>261</v>
      </c>
      <c r="D152" s="324" t="s">
        <v>223</v>
      </c>
      <c r="E152" s="312"/>
      <c r="F152" s="312"/>
      <c r="G152" s="312"/>
      <c r="H152" s="317" t="s">
        <v>55</v>
      </c>
      <c r="I152" s="311"/>
      <c r="J152" s="205" t="s">
        <v>199</v>
      </c>
      <c r="K152" s="462" t="s">
        <v>207</v>
      </c>
      <c r="L152" s="469" t="s">
        <v>94</v>
      </c>
      <c r="M152" s="469" t="s">
        <v>199</v>
      </c>
      <c r="N152" s="467">
        <v>40648</v>
      </c>
      <c r="O152" s="465" t="s">
        <v>12</v>
      </c>
      <c r="P152" s="258">
        <v>76</v>
      </c>
      <c r="Q152" s="259">
        <v>1</v>
      </c>
      <c r="R152" s="259">
        <v>43</v>
      </c>
      <c r="S152" s="480">
        <v>0</v>
      </c>
      <c r="T152" s="481">
        <v>0</v>
      </c>
      <c r="U152" s="480">
        <v>0</v>
      </c>
      <c r="V152" s="481">
        <v>0</v>
      </c>
      <c r="W152" s="480">
        <v>0</v>
      </c>
      <c r="X152" s="481">
        <v>0</v>
      </c>
      <c r="Y152" s="435">
        <f>SUM(S152+U152+W152)</f>
        <v>0</v>
      </c>
      <c r="Z152" s="436">
        <f>T152+V152+X152</f>
        <v>0</v>
      </c>
      <c r="AA152" s="422">
        <f>IF(Y152&lt;&gt;0,Z152/Q152,"")</f>
      </c>
      <c r="AB152" s="423">
        <f>IF(Y152&lt;&gt;0,Y152/Z152,"")</f>
      </c>
      <c r="AC152" s="426">
        <v>0</v>
      </c>
      <c r="AD152" s="425">
        <f>IF(AC152&lt;&gt;0,-(AC152-Y152)/AC152,"")</f>
      </c>
      <c r="AE152" s="690">
        <f>AG152-Y152</f>
        <v>1197</v>
      </c>
      <c r="AF152" s="691">
        <f>AH152-Z152</f>
        <v>189</v>
      </c>
      <c r="AG152" s="699">
        <v>1197</v>
      </c>
      <c r="AH152" s="700">
        <v>189</v>
      </c>
      <c r="AI152" s="692">
        <f>Z152*1/AH152</f>
        <v>0</v>
      </c>
      <c r="AJ152" s="692">
        <f>AF152*1/AH152</f>
        <v>1</v>
      </c>
      <c r="AK152" s="691">
        <f>AH152/Q152</f>
        <v>189</v>
      </c>
      <c r="AL152" s="693">
        <f>AG152/AH152</f>
        <v>6.333333333333333</v>
      </c>
      <c r="AM152" s="695"/>
      <c r="AN152" s="692">
        <f>IF(AM152&lt;&gt;0,-(AM152-AG152)/AM152,"")</f>
      </c>
      <c r="AO152" s="261">
        <v>572561</v>
      </c>
      <c r="AP152" s="262">
        <v>61637</v>
      </c>
      <c r="AQ152" s="452">
        <f>AO152/AP152</f>
        <v>9.28924185148531</v>
      </c>
      <c r="AR152" s="716">
        <v>40942</v>
      </c>
      <c r="AS152" s="413" t="s">
        <v>349</v>
      </c>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row>
    <row r="153" spans="1:102" s="308" customFormat="1" ht="15.75" hidden="1">
      <c r="A153" s="331"/>
      <c r="B153" s="321"/>
      <c r="C153" s="315" t="s">
        <v>261</v>
      </c>
      <c r="D153" s="322"/>
      <c r="E153" s="322"/>
      <c r="F153" s="318"/>
      <c r="G153" s="318"/>
      <c r="H153" s="314"/>
      <c r="I153" s="316" t="s">
        <v>54</v>
      </c>
      <c r="J153" s="207" t="s">
        <v>574</v>
      </c>
      <c r="K153" s="462" t="s">
        <v>575</v>
      </c>
      <c r="L153" s="463"/>
      <c r="M153" s="463" t="s">
        <v>574</v>
      </c>
      <c r="N153" s="464">
        <v>40585</v>
      </c>
      <c r="O153" s="465" t="s">
        <v>68</v>
      </c>
      <c r="P153" s="266">
        <v>58</v>
      </c>
      <c r="Q153" s="259">
        <v>1</v>
      </c>
      <c r="R153" s="259">
        <v>37</v>
      </c>
      <c r="S153" s="554">
        <v>0</v>
      </c>
      <c r="T153" s="555">
        <v>0</v>
      </c>
      <c r="U153" s="554">
        <v>0</v>
      </c>
      <c r="V153" s="555">
        <v>0</v>
      </c>
      <c r="W153" s="554">
        <v>0</v>
      </c>
      <c r="X153" s="555">
        <v>0</v>
      </c>
      <c r="Y153" s="435">
        <f>SUM(S153+U153+W153)</f>
        <v>0</v>
      </c>
      <c r="Z153" s="436">
        <f>T153+V153+X153</f>
        <v>0</v>
      </c>
      <c r="AA153" s="422">
        <f>IF(Y153&lt;&gt;0,Z153/Q153,"")</f>
      </c>
      <c r="AB153" s="423">
        <f>IF(Y153&lt;&gt;0,Y153/Z153,"")</f>
      </c>
      <c r="AC153" s="421">
        <v>0</v>
      </c>
      <c r="AD153" s="425">
        <f>IF(AC153&lt;&gt;0,-(AC153-Y153)/AC153,"")</f>
      </c>
      <c r="AE153" s="690">
        <f>AG153-Y153</f>
        <v>950.5</v>
      </c>
      <c r="AF153" s="691">
        <f>AH153-Z153</f>
        <v>190</v>
      </c>
      <c r="AG153" s="705">
        <v>950.5</v>
      </c>
      <c r="AH153" s="706">
        <v>190</v>
      </c>
      <c r="AI153" s="692">
        <f>Z153*1/AH153</f>
        <v>0</v>
      </c>
      <c r="AJ153" s="692">
        <f>AF153*1/AH153</f>
        <v>1</v>
      </c>
      <c r="AK153" s="691">
        <f>AH153/Q153</f>
        <v>190</v>
      </c>
      <c r="AL153" s="693">
        <f>AG153/AH153</f>
        <v>5.002631578947368</v>
      </c>
      <c r="AM153" s="694"/>
      <c r="AN153" s="692">
        <f>IF(AM153&lt;&gt;0,-(AM153-AG153)/AM153,"")</f>
      </c>
      <c r="AO153" s="270">
        <f>236018+209847.25+105622+138051.5+64189.5+34454+20202.5+27754+16946+8179.5+9672.5+8494+21812+25095+12109+8066+3824+4092+15394+226700+172575.5+127465+93972+96529+77366.5+63475.5+48505.5+31769.5+29482+10986+6164+59+1093.5+1386+279+950.5+950.5</f>
        <v>1959531.75</v>
      </c>
      <c r="AP153" s="272">
        <f>25731+24506+13184+19079+9581+4996+3067+4392+3122+1175+1530+1410+3175+3587+1436+923+420+447+1629+25969+20073+15455+11876+13635+10490+9269+7265+5116+4049+1598+1517+8+257+323+37+190+190</f>
        <v>250707</v>
      </c>
      <c r="AQ153" s="452">
        <f>AO153/AP153</f>
        <v>7.816023286146777</v>
      </c>
      <c r="AR153" s="716">
        <v>40942</v>
      </c>
      <c r="AS153" s="413" t="s">
        <v>349</v>
      </c>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row>
    <row r="154" spans="1:102" s="308" customFormat="1" ht="15.75" hidden="1">
      <c r="A154" s="331"/>
      <c r="B154" s="311"/>
      <c r="C154" s="315" t="s">
        <v>261</v>
      </c>
      <c r="D154" s="312"/>
      <c r="E154" s="312"/>
      <c r="F154" s="312"/>
      <c r="G154" s="312"/>
      <c r="H154" s="313"/>
      <c r="I154" s="316" t="s">
        <v>54</v>
      </c>
      <c r="J154" s="211" t="s">
        <v>591</v>
      </c>
      <c r="K154" s="465" t="s">
        <v>592</v>
      </c>
      <c r="L154" s="465"/>
      <c r="M154" s="465" t="s">
        <v>591</v>
      </c>
      <c r="N154" s="467">
        <v>40900</v>
      </c>
      <c r="O154" s="465" t="s">
        <v>537</v>
      </c>
      <c r="P154" s="258">
        <v>1</v>
      </c>
      <c r="Q154" s="259">
        <v>1</v>
      </c>
      <c r="R154" s="259">
        <v>3</v>
      </c>
      <c r="S154" s="261">
        <v>33</v>
      </c>
      <c r="T154" s="262">
        <v>11</v>
      </c>
      <c r="U154" s="261">
        <v>300</v>
      </c>
      <c r="V154" s="262">
        <v>100</v>
      </c>
      <c r="W154" s="261">
        <v>300</v>
      </c>
      <c r="X154" s="262">
        <v>100</v>
      </c>
      <c r="Y154" s="435">
        <f>SUM(S154+U154+W154)</f>
        <v>633</v>
      </c>
      <c r="Z154" s="436">
        <f>T154+V154+X154</f>
        <v>211</v>
      </c>
      <c r="AA154" s="422">
        <f>IF(Y154&lt;&gt;0,Z154/Q154,"")</f>
        <v>211</v>
      </c>
      <c r="AB154" s="423">
        <f>IF(Y154&lt;&gt;0,Y154/Z154,"")</f>
        <v>3</v>
      </c>
      <c r="AC154" s="426">
        <v>633</v>
      </c>
      <c r="AD154" s="425">
        <f>IF(AC154&lt;&gt;0,-(AC154-Y154)/AC154,"")</f>
        <v>0</v>
      </c>
      <c r="AE154" s="690">
        <f>AG154-Y154</f>
        <v>0</v>
      </c>
      <c r="AF154" s="691">
        <f>AH154-Z154</f>
        <v>0</v>
      </c>
      <c r="AG154" s="699">
        <v>633</v>
      </c>
      <c r="AH154" s="700">
        <v>211</v>
      </c>
      <c r="AI154" s="692">
        <f>Z154*1/AH154</f>
        <v>1</v>
      </c>
      <c r="AJ154" s="692">
        <f>AF154*1/AH154</f>
        <v>0</v>
      </c>
      <c r="AK154" s="691">
        <f>AH154/Q154</f>
        <v>211</v>
      </c>
      <c r="AL154" s="693">
        <f>AG154/AH154</f>
        <v>3</v>
      </c>
      <c r="AM154" s="695"/>
      <c r="AN154" s="692"/>
      <c r="AO154" s="261">
        <v>4823</v>
      </c>
      <c r="AP154" s="262">
        <v>630</v>
      </c>
      <c r="AQ154" s="452">
        <f>AO154/AP154</f>
        <v>7.655555555555556</v>
      </c>
      <c r="AR154" s="716">
        <v>40942</v>
      </c>
      <c r="AS154" s="413" t="s">
        <v>349</v>
      </c>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row>
    <row r="155" spans="1:102" s="308" customFormat="1" ht="15.75" hidden="1">
      <c r="A155" s="331"/>
      <c r="B155" s="428"/>
      <c r="C155" s="315" t="s">
        <v>261</v>
      </c>
      <c r="D155" s="332"/>
      <c r="E155" s="332"/>
      <c r="F155" s="312"/>
      <c r="G155" s="332"/>
      <c r="H155" s="333"/>
      <c r="I155" s="313"/>
      <c r="J155" s="210" t="s">
        <v>137</v>
      </c>
      <c r="K155" s="462" t="s">
        <v>140</v>
      </c>
      <c r="L155" s="462" t="s">
        <v>138</v>
      </c>
      <c r="M155" s="462" t="s">
        <v>139</v>
      </c>
      <c r="N155" s="464">
        <v>40893</v>
      </c>
      <c r="O155" s="465" t="s">
        <v>53</v>
      </c>
      <c r="P155" s="258">
        <v>28</v>
      </c>
      <c r="Q155" s="275">
        <v>1</v>
      </c>
      <c r="R155" s="275">
        <v>7</v>
      </c>
      <c r="S155" s="556">
        <v>0</v>
      </c>
      <c r="T155" s="557">
        <v>0</v>
      </c>
      <c r="U155" s="556">
        <v>0</v>
      </c>
      <c r="V155" s="557">
        <v>0</v>
      </c>
      <c r="W155" s="556">
        <v>0</v>
      </c>
      <c r="X155" s="557">
        <v>0</v>
      </c>
      <c r="Y155" s="435">
        <f>SUM(S155+U155+W155)</f>
        <v>0</v>
      </c>
      <c r="Z155" s="436">
        <f>T155+V155+X155</f>
        <v>0</v>
      </c>
      <c r="AA155" s="422">
        <f>IF(Y155&lt;&gt;0,Z155/Q155,"")</f>
      </c>
      <c r="AB155" s="423">
        <f>IF(Y155&lt;&gt;0,Y155/Z155,"")</f>
      </c>
      <c r="AC155" s="426">
        <v>0</v>
      </c>
      <c r="AD155" s="425">
        <f>IF(AC155&lt;&gt;0,-(AC155-Y155)/AC155,"")</f>
      </c>
      <c r="AE155" s="690">
        <f>AG155-Y155</f>
        <v>314</v>
      </c>
      <c r="AF155" s="691">
        <f>AH155-Z155</f>
        <v>39</v>
      </c>
      <c r="AG155" s="699">
        <v>314</v>
      </c>
      <c r="AH155" s="700">
        <v>39</v>
      </c>
      <c r="AI155" s="692">
        <f>Z155*1/AH155</f>
        <v>0</v>
      </c>
      <c r="AJ155" s="692">
        <f>AF155*1/AH155</f>
        <v>1</v>
      </c>
      <c r="AK155" s="691">
        <f>AH155/Q155</f>
        <v>39</v>
      </c>
      <c r="AL155" s="693">
        <f>AG155/AH155</f>
        <v>8.051282051282051</v>
      </c>
      <c r="AM155" s="695">
        <v>4853.5</v>
      </c>
      <c r="AN155" s="692">
        <f>IF(AM155&lt;&gt;0,-(AM155-AG155)/AM155,"")</f>
        <v>-0.9353044194910889</v>
      </c>
      <c r="AO155" s="261">
        <f>152692.5+78009+19211+5878+4853.5+4764+314</f>
        <v>265722</v>
      </c>
      <c r="AP155" s="262">
        <f>12107+6230+2152+592+575+535+39</f>
        <v>22230</v>
      </c>
      <c r="AQ155" s="452">
        <f>AO155/AP155</f>
        <v>11.953306342780026</v>
      </c>
      <c r="AR155" s="716">
        <v>40942</v>
      </c>
      <c r="AS155" s="413" t="s">
        <v>349</v>
      </c>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row>
    <row r="156" spans="1:102" s="308" customFormat="1" ht="15.75" hidden="1">
      <c r="A156" s="331"/>
      <c r="B156" s="312"/>
      <c r="C156" s="315" t="s">
        <v>261</v>
      </c>
      <c r="D156" s="318"/>
      <c r="E156" s="312"/>
      <c r="F156" s="312"/>
      <c r="G156" s="323" t="s">
        <v>292</v>
      </c>
      <c r="H156" s="312"/>
      <c r="I156" s="313"/>
      <c r="J156" s="205" t="s">
        <v>385</v>
      </c>
      <c r="K156" s="462" t="s">
        <v>83</v>
      </c>
      <c r="L156" s="469" t="s">
        <v>94</v>
      </c>
      <c r="M156" s="469" t="s">
        <v>390</v>
      </c>
      <c r="N156" s="464">
        <v>40844</v>
      </c>
      <c r="O156" s="465" t="s">
        <v>12</v>
      </c>
      <c r="P156" s="258">
        <v>41</v>
      </c>
      <c r="Q156" s="259">
        <v>1</v>
      </c>
      <c r="R156" s="259">
        <v>14</v>
      </c>
      <c r="S156" s="556">
        <v>0</v>
      </c>
      <c r="T156" s="557">
        <v>0</v>
      </c>
      <c r="U156" s="556">
        <v>54</v>
      </c>
      <c r="V156" s="557">
        <v>7</v>
      </c>
      <c r="W156" s="556">
        <v>50</v>
      </c>
      <c r="X156" s="557">
        <v>6</v>
      </c>
      <c r="Y156" s="435">
        <f>SUM(S156+U156+W156)</f>
        <v>104</v>
      </c>
      <c r="Z156" s="436">
        <f>T156+V156+X156</f>
        <v>13</v>
      </c>
      <c r="AA156" s="422">
        <f>IF(Y156&lt;&gt;0,Z156/Q156,"")</f>
        <v>13</v>
      </c>
      <c r="AB156" s="423">
        <f>IF(Y156&lt;&gt;0,Y156/Z156,"")</f>
        <v>8</v>
      </c>
      <c r="AC156" s="426">
        <v>104</v>
      </c>
      <c r="AD156" s="425">
        <f>IF(AC156&lt;&gt;0,-(AC156-Y156)/AC156,"")</f>
        <v>0</v>
      </c>
      <c r="AE156" s="690">
        <f>AG156-Y156</f>
        <v>32</v>
      </c>
      <c r="AF156" s="691">
        <f>AH156-Z156</f>
        <v>4</v>
      </c>
      <c r="AG156" s="699">
        <v>136</v>
      </c>
      <c r="AH156" s="700">
        <v>17</v>
      </c>
      <c r="AI156" s="692">
        <f>Z156*1/AH156</f>
        <v>0.7647058823529411</v>
      </c>
      <c r="AJ156" s="692">
        <f>AF156*1/AH156</f>
        <v>0.23529411764705882</v>
      </c>
      <c r="AK156" s="691">
        <f>AH156/Q156</f>
        <v>17</v>
      </c>
      <c r="AL156" s="693">
        <f>AG156/AH156</f>
        <v>8</v>
      </c>
      <c r="AM156" s="695">
        <v>1678</v>
      </c>
      <c r="AN156" s="692">
        <f>IF(AM156&lt;&gt;0,-(AM156-AG156)/AM156,"")</f>
        <v>-0.9189511323003575</v>
      </c>
      <c r="AO156" s="261">
        <v>515067</v>
      </c>
      <c r="AP156" s="262">
        <v>42355</v>
      </c>
      <c r="AQ156" s="452">
        <f>AO156/AP156</f>
        <v>12.160713020894818</v>
      </c>
      <c r="AR156" s="716">
        <v>40942</v>
      </c>
      <c r="AS156" s="413" t="s">
        <v>349</v>
      </c>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row>
    <row r="157" spans="1:102" s="308" customFormat="1" ht="15.75" hidden="1">
      <c r="A157" s="331"/>
      <c r="B157" s="311"/>
      <c r="C157" s="315" t="s">
        <v>261</v>
      </c>
      <c r="D157" s="324" t="s">
        <v>223</v>
      </c>
      <c r="E157" s="319">
        <v>3</v>
      </c>
      <c r="F157" s="312"/>
      <c r="G157" s="312"/>
      <c r="H157" s="317" t="s">
        <v>55</v>
      </c>
      <c r="I157" s="313"/>
      <c r="J157" s="203" t="s">
        <v>557</v>
      </c>
      <c r="K157" s="462" t="s">
        <v>558</v>
      </c>
      <c r="L157" s="463" t="s">
        <v>559</v>
      </c>
      <c r="M157" s="463" t="s">
        <v>560</v>
      </c>
      <c r="N157" s="464">
        <v>40669</v>
      </c>
      <c r="O157" s="465" t="s">
        <v>8</v>
      </c>
      <c r="P157" s="429">
        <v>51</v>
      </c>
      <c r="Q157" s="267">
        <v>1</v>
      </c>
      <c r="R157" s="267">
        <v>25</v>
      </c>
      <c r="S157" s="362">
        <v>18</v>
      </c>
      <c r="T157" s="360">
        <v>2</v>
      </c>
      <c r="U157" s="362">
        <v>18</v>
      </c>
      <c r="V157" s="360">
        <v>2</v>
      </c>
      <c r="W157" s="362">
        <v>0</v>
      </c>
      <c r="X157" s="360">
        <v>0</v>
      </c>
      <c r="Y157" s="435">
        <f>SUM(S157+U157+W157)</f>
        <v>36</v>
      </c>
      <c r="Z157" s="436">
        <f>T157+V157+X157</f>
        <v>4</v>
      </c>
      <c r="AA157" s="422">
        <f>IF(Y157&lt;&gt;0,Z157/Q157,"")</f>
        <v>4</v>
      </c>
      <c r="AB157" s="423">
        <f>IF(Y157&lt;&gt;0,Y157/Z157,"")</f>
        <v>9</v>
      </c>
      <c r="AC157" s="427">
        <v>36</v>
      </c>
      <c r="AD157" s="425">
        <f>IF(AC157&lt;&gt;0,-(AC157-Y157)/AC157,"")</f>
        <v>0</v>
      </c>
      <c r="AE157" s="690">
        <f>AG157-Y157</f>
        <v>10</v>
      </c>
      <c r="AF157" s="691">
        <f>AH157-Z157</f>
        <v>2</v>
      </c>
      <c r="AG157" s="701">
        <v>46</v>
      </c>
      <c r="AH157" s="702">
        <v>6</v>
      </c>
      <c r="AI157" s="692">
        <f>Z157*1/AH157</f>
        <v>0.6666666666666666</v>
      </c>
      <c r="AJ157" s="692">
        <f>AF157*1/AH157</f>
        <v>0.3333333333333333</v>
      </c>
      <c r="AK157" s="691">
        <f>AH157/Q157</f>
        <v>6</v>
      </c>
      <c r="AL157" s="693">
        <f>AG157/AH157</f>
        <v>7.666666666666667</v>
      </c>
      <c r="AM157" s="694">
        <v>129</v>
      </c>
      <c r="AN157" s="692">
        <f>IF(AM157&lt;&gt;0,-(AM157-AG157)/AM157,"")</f>
        <v>-0.6434108527131783</v>
      </c>
      <c r="AO157" s="268">
        <v>479104</v>
      </c>
      <c r="AP157" s="269">
        <v>49180</v>
      </c>
      <c r="AQ157" s="452">
        <f>AO157/AP157</f>
        <v>9.741846278975194</v>
      </c>
      <c r="AR157" s="716">
        <v>40942</v>
      </c>
      <c r="AS157" s="413" t="s">
        <v>349</v>
      </c>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row>
    <row r="158" spans="1:102" s="308" customFormat="1" ht="15.75" hidden="1">
      <c r="A158" s="331"/>
      <c r="B158" s="311"/>
      <c r="C158" s="315" t="s">
        <v>261</v>
      </c>
      <c r="D158" s="324" t="s">
        <v>223</v>
      </c>
      <c r="E158" s="312"/>
      <c r="F158" s="312"/>
      <c r="G158" s="312"/>
      <c r="H158" s="317" t="s">
        <v>55</v>
      </c>
      <c r="I158" s="313"/>
      <c r="J158" s="207" t="s">
        <v>272</v>
      </c>
      <c r="K158" s="462" t="s">
        <v>289</v>
      </c>
      <c r="L158" s="461" t="s">
        <v>85</v>
      </c>
      <c r="M158" s="466" t="s">
        <v>288</v>
      </c>
      <c r="N158" s="464">
        <v>40655</v>
      </c>
      <c r="O158" s="465" t="s">
        <v>68</v>
      </c>
      <c r="P158" s="258">
        <v>156</v>
      </c>
      <c r="Q158" s="259">
        <v>1</v>
      </c>
      <c r="R158" s="259">
        <v>25</v>
      </c>
      <c r="S158" s="554">
        <v>0</v>
      </c>
      <c r="T158" s="555">
        <v>0</v>
      </c>
      <c r="U158" s="554">
        <v>0</v>
      </c>
      <c r="V158" s="555">
        <v>0</v>
      </c>
      <c r="W158" s="554">
        <v>0</v>
      </c>
      <c r="X158" s="555">
        <v>0</v>
      </c>
      <c r="Y158" s="435">
        <f>SUM(S158+U158+W158)</f>
        <v>0</v>
      </c>
      <c r="Z158" s="436">
        <f>T158+V158+X158</f>
        <v>0</v>
      </c>
      <c r="AA158" s="422">
        <f>IF(Y158&lt;&gt;0,Z158/Q158,"")</f>
      </c>
      <c r="AB158" s="423">
        <f>IF(Y158&lt;&gt;0,Y158/Z158,"")</f>
      </c>
      <c r="AC158" s="426"/>
      <c r="AD158" s="425">
        <f>IF(AC158&lt;&gt;0,-(AC158-Y158)/AC158,"")</f>
      </c>
      <c r="AE158" s="690">
        <f>AG158-Y158</f>
        <v>3121</v>
      </c>
      <c r="AF158" s="691">
        <f>AH158-Z158</f>
        <v>951</v>
      </c>
      <c r="AG158" s="705">
        <v>3121</v>
      </c>
      <c r="AH158" s="706">
        <v>951</v>
      </c>
      <c r="AI158" s="692">
        <f>Z158*1/AH158</f>
        <v>0</v>
      </c>
      <c r="AJ158" s="692">
        <f>AF158*1/AH158</f>
        <v>1</v>
      </c>
      <c r="AK158" s="691">
        <f>AH158/Q158</f>
        <v>951</v>
      </c>
      <c r="AL158" s="693">
        <f>AG158/AH158</f>
        <v>3.281808622502629</v>
      </c>
      <c r="AM158" s="694">
        <v>84</v>
      </c>
      <c r="AN158" s="692">
        <f>IF(AM158&lt;&gt;0,-(AM158-AG158)/AM158,"")</f>
        <v>36.154761904761905</v>
      </c>
      <c r="AO158" s="270">
        <f>633760.5+136320.5+35218.5+12632+4659.5+2946+8058+2678+3172+3399.5+598+564+1471+2243+357+860+1425.5+8382.5+1782+968+1958+1164+407.5+84+1917+3121</f>
        <v>870147</v>
      </c>
      <c r="AP158" s="272">
        <f>74640+17307+4811+1875+917+522+1372+426+632+730+116+93+159+384+67+172+356+2088+446+190+480+372+60+12+847+951</f>
        <v>110025</v>
      </c>
      <c r="AQ158" s="452">
        <f>AO158/AP158</f>
        <v>7.908629856850716</v>
      </c>
      <c r="AR158" s="716">
        <v>40935</v>
      </c>
      <c r="AS158" s="413" t="s">
        <v>349</v>
      </c>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row>
    <row r="159" spans="1:102" s="308" customFormat="1" ht="15.75" hidden="1">
      <c r="A159" s="331"/>
      <c r="B159" s="312"/>
      <c r="C159" s="315" t="s">
        <v>261</v>
      </c>
      <c r="D159" s="318"/>
      <c r="E159" s="312"/>
      <c r="F159" s="312"/>
      <c r="G159" s="312"/>
      <c r="H159" s="317" t="s">
        <v>55</v>
      </c>
      <c r="I159" s="313"/>
      <c r="J159" s="205" t="s">
        <v>198</v>
      </c>
      <c r="K159" s="462" t="s">
        <v>208</v>
      </c>
      <c r="L159" s="469" t="s">
        <v>94</v>
      </c>
      <c r="M159" s="469" t="s">
        <v>198</v>
      </c>
      <c r="N159" s="464">
        <v>40606</v>
      </c>
      <c r="O159" s="465" t="s">
        <v>12</v>
      </c>
      <c r="P159" s="258">
        <v>104</v>
      </c>
      <c r="Q159" s="259">
        <v>1</v>
      </c>
      <c r="R159" s="259">
        <v>47</v>
      </c>
      <c r="S159" s="556">
        <v>0</v>
      </c>
      <c r="T159" s="557">
        <v>0</v>
      </c>
      <c r="U159" s="556">
        <v>0</v>
      </c>
      <c r="V159" s="557">
        <v>0</v>
      </c>
      <c r="W159" s="556">
        <v>1197</v>
      </c>
      <c r="X159" s="557">
        <v>189</v>
      </c>
      <c r="Y159" s="435">
        <f>SUM(S159+U159+W159)</f>
        <v>1197</v>
      </c>
      <c r="Z159" s="436">
        <f>T159+V159+X159</f>
        <v>189</v>
      </c>
      <c r="AA159" s="422">
        <f>IF(Y159&lt;&gt;0,Z159/Q159,"")</f>
        <v>189</v>
      </c>
      <c r="AB159" s="423">
        <f>IF(Y159&lt;&gt;0,Y159/Z159,"")</f>
        <v>6.333333333333333</v>
      </c>
      <c r="AC159" s="426">
        <v>1197</v>
      </c>
      <c r="AD159" s="425">
        <f>IF(AC159&lt;&gt;0,-(AC159-Y159)/AC159,"")</f>
        <v>0</v>
      </c>
      <c r="AE159" s="690">
        <f>AG159-Y159</f>
        <v>0</v>
      </c>
      <c r="AF159" s="691">
        <f>AH159-Z159</f>
        <v>0</v>
      </c>
      <c r="AG159" s="699">
        <v>1197</v>
      </c>
      <c r="AH159" s="700">
        <v>189</v>
      </c>
      <c r="AI159" s="692">
        <f>Z159*1/AH159</f>
        <v>1</v>
      </c>
      <c r="AJ159" s="692">
        <f>AF159*1/AH159</f>
        <v>0</v>
      </c>
      <c r="AK159" s="691">
        <f>AH159/Q159</f>
        <v>189</v>
      </c>
      <c r="AL159" s="693">
        <f>AG159/AH159</f>
        <v>6.333333333333333</v>
      </c>
      <c r="AM159" s="695">
        <v>332</v>
      </c>
      <c r="AN159" s="692">
        <f>IF(AM159&lt;&gt;0,-(AM159-AG159)/AM159,"")</f>
        <v>2.605421686746988</v>
      </c>
      <c r="AO159" s="261">
        <v>1288731</v>
      </c>
      <c r="AP159" s="262">
        <v>133813</v>
      </c>
      <c r="AQ159" s="452">
        <f>AO159/AP159</f>
        <v>9.630835569040377</v>
      </c>
      <c r="AR159" s="716">
        <v>40935</v>
      </c>
      <c r="AS159" s="413" t="s">
        <v>349</v>
      </c>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row>
    <row r="160" spans="1:102" s="308" customFormat="1" ht="15.75" hidden="1">
      <c r="A160" s="331"/>
      <c r="B160" s="311"/>
      <c r="C160" s="315" t="s">
        <v>261</v>
      </c>
      <c r="D160" s="312"/>
      <c r="E160" s="312"/>
      <c r="F160" s="312"/>
      <c r="G160" s="312"/>
      <c r="H160" s="313"/>
      <c r="I160" s="316" t="s">
        <v>54</v>
      </c>
      <c r="J160" s="210" t="s">
        <v>71</v>
      </c>
      <c r="K160" s="462" t="s">
        <v>82</v>
      </c>
      <c r="L160" s="462"/>
      <c r="M160" s="462" t="s">
        <v>71</v>
      </c>
      <c r="N160" s="467">
        <v>40858</v>
      </c>
      <c r="O160" s="465" t="s">
        <v>53</v>
      </c>
      <c r="P160" s="258">
        <v>130</v>
      </c>
      <c r="Q160" s="275">
        <v>2</v>
      </c>
      <c r="R160" s="275">
        <v>12</v>
      </c>
      <c r="S160" s="556">
        <v>50</v>
      </c>
      <c r="T160" s="557">
        <v>4</v>
      </c>
      <c r="U160" s="556">
        <v>112.5</v>
      </c>
      <c r="V160" s="557">
        <v>9</v>
      </c>
      <c r="W160" s="556">
        <v>204.5</v>
      </c>
      <c r="X160" s="557">
        <v>19</v>
      </c>
      <c r="Y160" s="435">
        <f>SUM(S160+U160+W160)</f>
        <v>367</v>
      </c>
      <c r="Z160" s="436">
        <f>T160+V160+X160</f>
        <v>32</v>
      </c>
      <c r="AA160" s="422">
        <f>IF(Y160&lt;&gt;0,Z160/Q160,"")</f>
        <v>16</v>
      </c>
      <c r="AB160" s="423">
        <f>IF(Y160&lt;&gt;0,Y160/Z160,"")</f>
        <v>11.46875</v>
      </c>
      <c r="AC160" s="426">
        <v>367</v>
      </c>
      <c r="AD160" s="425">
        <f>IF(AC160&lt;&gt;0,-(AC160-Y160)/AC160,"")</f>
        <v>0</v>
      </c>
      <c r="AE160" s="690">
        <f>AG160-Y160</f>
        <v>405</v>
      </c>
      <c r="AF160" s="691">
        <f>AH160-Z160</f>
        <v>35</v>
      </c>
      <c r="AG160" s="699">
        <v>772</v>
      </c>
      <c r="AH160" s="700">
        <v>67</v>
      </c>
      <c r="AI160" s="692">
        <f>Z160*1/AH160</f>
        <v>0.47761194029850745</v>
      </c>
      <c r="AJ160" s="692">
        <f>AF160*1/AH160</f>
        <v>0.5223880597014925</v>
      </c>
      <c r="AK160" s="691">
        <f>AH160/Q160</f>
        <v>33.5</v>
      </c>
      <c r="AL160" s="693">
        <f>AG160/AH160</f>
        <v>11.522388059701493</v>
      </c>
      <c r="AM160" s="695">
        <v>5914</v>
      </c>
      <c r="AN160" s="692">
        <f>IF(AM160&lt;&gt;0,-(AM160-AG160)/AM160,"")</f>
        <v>-0.8694622928643896</v>
      </c>
      <c r="AO160" s="261">
        <f>665902+436506+215139.5+18371+13790+6539+18719+8754+1085+753+5914+772</f>
        <v>1392244.5</v>
      </c>
      <c r="AP160" s="262">
        <f>66262+44749+24699+2311+1764+1135+3015+1547+179+111+595+67</f>
        <v>146434</v>
      </c>
      <c r="AQ160" s="452">
        <f>AO160/AP160</f>
        <v>9.507658740456451</v>
      </c>
      <c r="AR160" s="716">
        <v>40935</v>
      </c>
      <c r="AS160" s="413" t="s">
        <v>349</v>
      </c>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row>
    <row r="161" spans="1:102" s="308" customFormat="1" ht="15.75" hidden="1">
      <c r="A161" s="331"/>
      <c r="B161" s="311"/>
      <c r="C161" s="315" t="s">
        <v>261</v>
      </c>
      <c r="D161" s="312"/>
      <c r="E161" s="312"/>
      <c r="F161" s="312"/>
      <c r="G161" s="312"/>
      <c r="H161" s="314"/>
      <c r="I161" s="316" t="s">
        <v>54</v>
      </c>
      <c r="J161" s="282" t="s">
        <v>237</v>
      </c>
      <c r="K161" s="465" t="s">
        <v>238</v>
      </c>
      <c r="L161" s="465"/>
      <c r="M161" s="465" t="s">
        <v>237</v>
      </c>
      <c r="N161" s="464">
        <v>40613</v>
      </c>
      <c r="O161" s="465" t="s">
        <v>13</v>
      </c>
      <c r="P161" s="258">
        <v>25</v>
      </c>
      <c r="Q161" s="259">
        <v>1</v>
      </c>
      <c r="R161" s="259">
        <v>19</v>
      </c>
      <c r="S161" s="261">
        <v>0</v>
      </c>
      <c r="T161" s="262">
        <v>0</v>
      </c>
      <c r="U161" s="261">
        <v>0</v>
      </c>
      <c r="V161" s="262">
        <v>0</v>
      </c>
      <c r="W161" s="261">
        <v>0</v>
      </c>
      <c r="X161" s="262">
        <v>0</v>
      </c>
      <c r="Y161" s="435">
        <f>SUM(S161+U161+W161)</f>
        <v>0</v>
      </c>
      <c r="Z161" s="436">
        <f>T161+V161+X161</f>
        <v>0</v>
      </c>
      <c r="AA161" s="422">
        <f>IF(Y161&lt;&gt;0,Z161/Q161,"")</f>
      </c>
      <c r="AB161" s="423">
        <f>IF(Y161&lt;&gt;0,Y161/Z161,"")</f>
      </c>
      <c r="AC161" s="426">
        <v>0</v>
      </c>
      <c r="AD161" s="425">
        <f>IF(AC161&lt;&gt;0,-(AC161-Y161)/AC161,"")</f>
      </c>
      <c r="AE161" s="690">
        <f>AG161-Y161</f>
        <v>605</v>
      </c>
      <c r="AF161" s="691">
        <f>AH161-Z161</f>
        <v>121</v>
      </c>
      <c r="AG161" s="699">
        <v>605</v>
      </c>
      <c r="AH161" s="700">
        <v>121</v>
      </c>
      <c r="AI161" s="692">
        <f>Z161*1/AH161</f>
        <v>0</v>
      </c>
      <c r="AJ161" s="692">
        <f>AF161*1/AH161</f>
        <v>1</v>
      </c>
      <c r="AK161" s="691">
        <f>AH161/Q161</f>
        <v>121</v>
      </c>
      <c r="AL161" s="693">
        <f>AG161/AH161</f>
        <v>5</v>
      </c>
      <c r="AM161" s="695">
        <v>594</v>
      </c>
      <c r="AN161" s="692">
        <f>IF(AM161&lt;&gt;0,-(AM161-AG161)/AM161,"")</f>
        <v>0.018518518518518517</v>
      </c>
      <c r="AO161" s="261">
        <v>212148.5</v>
      </c>
      <c r="AP161" s="262">
        <v>28587</v>
      </c>
      <c r="AQ161" s="452">
        <f>AO161/AP161</f>
        <v>7.421152971630462</v>
      </c>
      <c r="AR161" s="716">
        <v>40935</v>
      </c>
      <c r="AS161" s="413" t="s">
        <v>349</v>
      </c>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row>
    <row r="162" spans="1:102" s="308" customFormat="1" ht="15.75" hidden="1">
      <c r="A162" s="331"/>
      <c r="B162" s="312"/>
      <c r="C162" s="315" t="s">
        <v>261</v>
      </c>
      <c r="D162" s="312"/>
      <c r="E162" s="312"/>
      <c r="F162" s="312"/>
      <c r="G162" s="323" t="s">
        <v>292</v>
      </c>
      <c r="H162" s="313"/>
      <c r="I162" s="313"/>
      <c r="J162" s="205" t="s">
        <v>65</v>
      </c>
      <c r="K162" s="469" t="s">
        <v>91</v>
      </c>
      <c r="L162" s="468" t="s">
        <v>94</v>
      </c>
      <c r="M162" s="469" t="s">
        <v>65</v>
      </c>
      <c r="N162" s="467">
        <v>40837</v>
      </c>
      <c r="O162" s="465" t="s">
        <v>12</v>
      </c>
      <c r="P162" s="258">
        <v>112</v>
      </c>
      <c r="Q162" s="259">
        <v>1</v>
      </c>
      <c r="R162" s="259">
        <v>14</v>
      </c>
      <c r="S162" s="556">
        <v>523</v>
      </c>
      <c r="T162" s="557">
        <v>74</v>
      </c>
      <c r="U162" s="556">
        <v>625</v>
      </c>
      <c r="V162" s="557">
        <v>88</v>
      </c>
      <c r="W162" s="556">
        <v>728</v>
      </c>
      <c r="X162" s="557">
        <v>102</v>
      </c>
      <c r="Y162" s="435">
        <f>SUM(S162+U162+W162)</f>
        <v>1876</v>
      </c>
      <c r="Z162" s="436">
        <f>T162+V162+X162</f>
        <v>264</v>
      </c>
      <c r="AA162" s="422">
        <f>IF(Y162&lt;&gt;0,Z162/Q162,"")</f>
        <v>264</v>
      </c>
      <c r="AB162" s="423">
        <f>IF(Y162&lt;&gt;0,Y162/Z162,"")</f>
        <v>7.106060606060606</v>
      </c>
      <c r="AC162" s="426"/>
      <c r="AD162" s="425">
        <f>IF(AC162&lt;&gt;0,-(AC162-Y162)/AC162,"")</f>
      </c>
      <c r="AE162" s="690">
        <f>AG162-Y162</f>
        <v>2065</v>
      </c>
      <c r="AF162" s="691">
        <f>AH162-Z162</f>
        <v>290</v>
      </c>
      <c r="AG162" s="699">
        <v>3941</v>
      </c>
      <c r="AH162" s="700">
        <v>554</v>
      </c>
      <c r="AI162" s="692">
        <f>Z162*1/AH162</f>
        <v>0.47653429602888087</v>
      </c>
      <c r="AJ162" s="692">
        <f>AF162*1/AH162</f>
        <v>0.5234657039711191</v>
      </c>
      <c r="AK162" s="691">
        <f>AH162/Q162</f>
        <v>554</v>
      </c>
      <c r="AL162" s="693">
        <f>AG162/AH162</f>
        <v>7.113718411552346</v>
      </c>
      <c r="AM162" s="695">
        <v>1003</v>
      </c>
      <c r="AN162" s="692">
        <f>IF(AM162&lt;&gt;0,-(AM162-AG162)/AM162,"")</f>
        <v>2.929212362911266</v>
      </c>
      <c r="AO162" s="261">
        <v>2341282</v>
      </c>
      <c r="AP162" s="262">
        <v>246371</v>
      </c>
      <c r="AQ162" s="452">
        <f>AO162/AP162</f>
        <v>9.503074631348657</v>
      </c>
      <c r="AR162" s="716">
        <v>40928</v>
      </c>
      <c r="AS162" s="413" t="s">
        <v>349</v>
      </c>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row>
    <row r="163" spans="1:102" s="308" customFormat="1" ht="15.75" hidden="1">
      <c r="A163" s="331"/>
      <c r="B163" s="311"/>
      <c r="C163" s="315" t="s">
        <v>261</v>
      </c>
      <c r="D163" s="312"/>
      <c r="E163" s="312"/>
      <c r="F163" s="332"/>
      <c r="G163" s="312"/>
      <c r="H163" s="313"/>
      <c r="I163" s="314"/>
      <c r="J163" s="207" t="s">
        <v>443</v>
      </c>
      <c r="K163" s="466" t="s">
        <v>460</v>
      </c>
      <c r="L163" s="466" t="s">
        <v>89</v>
      </c>
      <c r="M163" s="466" t="s">
        <v>451</v>
      </c>
      <c r="N163" s="464">
        <v>40648</v>
      </c>
      <c r="O163" s="465" t="s">
        <v>68</v>
      </c>
      <c r="P163" s="258">
        <v>72</v>
      </c>
      <c r="Q163" s="259">
        <v>1</v>
      </c>
      <c r="R163" s="259">
        <v>26</v>
      </c>
      <c r="S163" s="554">
        <v>0</v>
      </c>
      <c r="T163" s="555">
        <v>0</v>
      </c>
      <c r="U163" s="554">
        <v>0</v>
      </c>
      <c r="V163" s="555">
        <v>0</v>
      </c>
      <c r="W163" s="554">
        <v>0</v>
      </c>
      <c r="X163" s="555">
        <v>0</v>
      </c>
      <c r="Y163" s="435">
        <f>SUM(S163+U163+W163)</f>
        <v>0</v>
      </c>
      <c r="Z163" s="436">
        <f>T163+V163+X163</f>
        <v>0</v>
      </c>
      <c r="AA163" s="422">
        <f>IF(Y163&lt;&gt;0,Z163/Q163,"")</f>
      </c>
      <c r="AB163" s="423">
        <f>IF(Y163&lt;&gt;0,Y163/Z163,"")</f>
      </c>
      <c r="AC163" s="426"/>
      <c r="AD163" s="425">
        <f>IF(AC163&lt;&gt;0,-(AC163-Y163)/AC163,"")</f>
      </c>
      <c r="AE163" s="690">
        <f>AG163-Y163</f>
        <v>3801.5</v>
      </c>
      <c r="AF163" s="691">
        <f>AH163-Z163</f>
        <v>950</v>
      </c>
      <c r="AG163" s="705">
        <v>3801.5</v>
      </c>
      <c r="AH163" s="706">
        <v>950</v>
      </c>
      <c r="AI163" s="692">
        <f>Z163*1/AH163</f>
        <v>0</v>
      </c>
      <c r="AJ163" s="692">
        <f>AF163*1/AH163</f>
        <v>1</v>
      </c>
      <c r="AK163" s="691">
        <f>AH163/Q163</f>
        <v>950</v>
      </c>
      <c r="AL163" s="693">
        <f>AG163/AH163</f>
        <v>4.001578947368421</v>
      </c>
      <c r="AM163" s="694"/>
      <c r="AN163" s="692">
        <f>IF(AM163&lt;&gt;0,-(AM163-AG163)/AM163,"")</f>
      </c>
      <c r="AO163" s="270">
        <f>313705+218661+94172+73484.5+60319.5+15976+18868+7512+25645.5+15093+6591+2599+2683+1937.5+1629+2257+1715+1468+632+686+483+950+882+2440.5+336+3801.5</f>
        <v>874527</v>
      </c>
      <c r="AP163" s="272">
        <f>29673+21437+10530+10169+8845+2631+2981+1155+3600+2641+1030+393+512+262+251+329+256+223+101+108+77+153+142+619+90+950</f>
        <v>99158</v>
      </c>
      <c r="AQ163" s="452">
        <f>AO163/AP163</f>
        <v>8.819530446358337</v>
      </c>
      <c r="AR163" s="716">
        <v>40928</v>
      </c>
      <c r="AS163" s="413" t="s">
        <v>349</v>
      </c>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row>
    <row r="164" spans="1:102" s="308" customFormat="1" ht="15.75" hidden="1">
      <c r="A164" s="331"/>
      <c r="B164" s="321"/>
      <c r="C164" s="315" t="s">
        <v>261</v>
      </c>
      <c r="D164" s="324" t="s">
        <v>223</v>
      </c>
      <c r="E164" s="322"/>
      <c r="F164" s="312"/>
      <c r="G164" s="323" t="s">
        <v>292</v>
      </c>
      <c r="H164" s="317" t="s">
        <v>55</v>
      </c>
      <c r="I164" s="320"/>
      <c r="J164" s="203" t="s">
        <v>465</v>
      </c>
      <c r="K164" s="463" t="s">
        <v>437</v>
      </c>
      <c r="L164" s="462" t="s">
        <v>186</v>
      </c>
      <c r="M164" s="463" t="s">
        <v>466</v>
      </c>
      <c r="N164" s="467">
        <v>39192</v>
      </c>
      <c r="O164" s="465" t="s">
        <v>53</v>
      </c>
      <c r="P164" s="258">
        <v>23</v>
      </c>
      <c r="Q164" s="275">
        <v>0</v>
      </c>
      <c r="R164" s="275">
        <v>0</v>
      </c>
      <c r="S164" s="480">
        <v>0</v>
      </c>
      <c r="T164" s="481">
        <v>0</v>
      </c>
      <c r="U164" s="480">
        <v>0</v>
      </c>
      <c r="V164" s="481">
        <v>0</v>
      </c>
      <c r="W164" s="480">
        <v>0</v>
      </c>
      <c r="X164" s="481">
        <v>0</v>
      </c>
      <c r="Y164" s="435">
        <f>SUM(S164+U164+W164)</f>
        <v>0</v>
      </c>
      <c r="Z164" s="436">
        <f>T164+V164+X164</f>
        <v>0</v>
      </c>
      <c r="AA164" s="422">
        <f>IF(Y164&lt;&gt;0,Z164/Q164,"")</f>
      </c>
      <c r="AB164" s="423">
        <f>IF(Y164&lt;&gt;0,Y164/Z164,"")</f>
      </c>
      <c r="AC164" s="426"/>
      <c r="AD164" s="425">
        <f>IF(AC164&lt;&gt;0,-(AC164-Y164)/AC164,"")</f>
      </c>
      <c r="AE164" s="690">
        <f>AG164-Y164</f>
        <v>3003</v>
      </c>
      <c r="AF164" s="691">
        <f>AH164-Z164</f>
        <v>600</v>
      </c>
      <c r="AG164" s="699">
        <v>3003</v>
      </c>
      <c r="AH164" s="700">
        <v>600</v>
      </c>
      <c r="AI164" s="692">
        <f>Z164*1/AH164</f>
        <v>0</v>
      </c>
      <c r="AJ164" s="692">
        <f>AF164*1/AH164</f>
        <v>1</v>
      </c>
      <c r="AK164" s="691" t="e">
        <f>AH164/Q164</f>
        <v>#DIV/0!</v>
      </c>
      <c r="AL164" s="693">
        <f>AG164/AH164</f>
        <v>5.005</v>
      </c>
      <c r="AM164" s="695"/>
      <c r="AN164" s="692">
        <f>IF(AM164&lt;&gt;0,-(AM164-AG164)/AM164,"")</f>
      </c>
      <c r="AO164" s="261">
        <f>407730+156171.5+87089+48964+29084+13173.5+8330+7579.5+805.5+1100+1464+3021+264+123+23+430+70+2408+0.5+234+42+54+3003</f>
        <v>771163.5</v>
      </c>
      <c r="AP164" s="262">
        <f>48903+19527+11239+7709+5693+3389+1770+1751+250+248+325+755+88+19+3+86+14+602+39+7+9+600</f>
        <v>103026</v>
      </c>
      <c r="AQ164" s="452">
        <f>AO164/AP164</f>
        <v>7.485134820336614</v>
      </c>
      <c r="AR164" s="716">
        <v>40928</v>
      </c>
      <c r="AS164" s="413" t="s">
        <v>349</v>
      </c>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row>
    <row r="165" spans="1:102" s="308" customFormat="1" ht="15.75" hidden="1">
      <c r="A165" s="331"/>
      <c r="B165" s="311"/>
      <c r="C165" s="315" t="s">
        <v>261</v>
      </c>
      <c r="D165" s="312"/>
      <c r="E165" s="312"/>
      <c r="F165" s="312"/>
      <c r="G165" s="312"/>
      <c r="H165" s="317" t="s">
        <v>55</v>
      </c>
      <c r="I165" s="314"/>
      <c r="J165" s="207" t="s">
        <v>368</v>
      </c>
      <c r="K165" s="466" t="s">
        <v>367</v>
      </c>
      <c r="L165" s="466" t="s">
        <v>248</v>
      </c>
      <c r="M165" s="466" t="s">
        <v>363</v>
      </c>
      <c r="N165" s="464">
        <v>40746</v>
      </c>
      <c r="O165" s="465" t="s">
        <v>68</v>
      </c>
      <c r="P165" s="258">
        <v>1</v>
      </c>
      <c r="Q165" s="259">
        <v>1</v>
      </c>
      <c r="R165" s="259">
        <v>8</v>
      </c>
      <c r="S165" s="554">
        <v>0</v>
      </c>
      <c r="T165" s="555">
        <v>0</v>
      </c>
      <c r="U165" s="554">
        <v>0</v>
      </c>
      <c r="V165" s="555">
        <v>0</v>
      </c>
      <c r="W165" s="554">
        <v>0</v>
      </c>
      <c r="X165" s="555">
        <v>0</v>
      </c>
      <c r="Y165" s="435">
        <f>SUM(S165+U165+W165)</f>
        <v>0</v>
      </c>
      <c r="Z165" s="436">
        <f>T165+V165+X165</f>
        <v>0</v>
      </c>
      <c r="AA165" s="422">
        <f>IF(Y165&lt;&gt;0,Z165/Q165,"")</f>
      </c>
      <c r="AB165" s="423">
        <f>IF(Y165&lt;&gt;0,Y165/Z165,"")</f>
      </c>
      <c r="AC165" s="426"/>
      <c r="AD165" s="425">
        <f>IF(AC165&lt;&gt;0,-(AC165-Y165)/AC165,"")</f>
      </c>
      <c r="AE165" s="690">
        <f>AG165-Y165</f>
        <v>2138.5</v>
      </c>
      <c r="AF165" s="691">
        <f>AH165-Z165</f>
        <v>535</v>
      </c>
      <c r="AG165" s="705">
        <v>2138.5</v>
      </c>
      <c r="AH165" s="706">
        <v>535</v>
      </c>
      <c r="AI165" s="692">
        <f>Z165*1/AH165</f>
        <v>0</v>
      </c>
      <c r="AJ165" s="692">
        <f>AF165*1/AH165</f>
        <v>1</v>
      </c>
      <c r="AK165" s="691">
        <f>AH165/Q165</f>
        <v>535</v>
      </c>
      <c r="AL165" s="693">
        <f>AG165/AH165</f>
        <v>3.997196261682243</v>
      </c>
      <c r="AM165" s="694"/>
      <c r="AN165" s="692">
        <f>IF(AM165&lt;&gt;0,-(AM165-AG165)/AM165,"")</f>
      </c>
      <c r="AO165" s="270">
        <f>5298+3611+922.5+907+181+268.5+2138.5+2138.5+2138.5+2138.5</f>
        <v>19742</v>
      </c>
      <c r="AP165" s="272">
        <f>334+225+67+122+18+21+535+535+535+535</f>
        <v>2927</v>
      </c>
      <c r="AQ165" s="452">
        <f>AO165/AP165</f>
        <v>6.744789887256577</v>
      </c>
      <c r="AR165" s="716">
        <v>40928</v>
      </c>
      <c r="AS165" s="413" t="s">
        <v>349</v>
      </c>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row>
    <row r="166" spans="1:102" s="308" customFormat="1" ht="15.75" hidden="1">
      <c r="A166" s="331"/>
      <c r="B166" s="321"/>
      <c r="C166" s="315" t="s">
        <v>261</v>
      </c>
      <c r="D166" s="324" t="s">
        <v>223</v>
      </c>
      <c r="E166" s="322"/>
      <c r="F166" s="312"/>
      <c r="G166" s="323" t="s">
        <v>292</v>
      </c>
      <c r="H166" s="317" t="s">
        <v>55</v>
      </c>
      <c r="I166" s="320"/>
      <c r="J166" s="203" t="s">
        <v>175</v>
      </c>
      <c r="K166" s="463" t="s">
        <v>187</v>
      </c>
      <c r="L166" s="463" t="s">
        <v>138</v>
      </c>
      <c r="M166" s="463" t="s">
        <v>178</v>
      </c>
      <c r="N166" s="464">
        <v>39682</v>
      </c>
      <c r="O166" s="465" t="s">
        <v>53</v>
      </c>
      <c r="P166" s="274">
        <v>60</v>
      </c>
      <c r="Q166" s="275">
        <v>1</v>
      </c>
      <c r="R166" s="275">
        <v>24</v>
      </c>
      <c r="S166" s="556">
        <v>302</v>
      </c>
      <c r="T166" s="557">
        <v>60</v>
      </c>
      <c r="U166" s="556">
        <v>750</v>
      </c>
      <c r="V166" s="557">
        <v>150</v>
      </c>
      <c r="W166" s="556">
        <v>750</v>
      </c>
      <c r="X166" s="557">
        <v>150</v>
      </c>
      <c r="Y166" s="435">
        <f>SUM(S166+U166+W166)</f>
        <v>1802</v>
      </c>
      <c r="Z166" s="436">
        <f>T166+V166+X166</f>
        <v>360</v>
      </c>
      <c r="AA166" s="422">
        <f>IF(Y166&lt;&gt;0,Z166/Q166,"")</f>
        <v>360</v>
      </c>
      <c r="AB166" s="423">
        <f>IF(Y166&lt;&gt;0,Y166/Z166,"")</f>
        <v>5.0055555555555555</v>
      </c>
      <c r="AC166" s="426"/>
      <c r="AD166" s="425">
        <f>IF(AC166&lt;&gt;0,-(AC166-Y166)/AC166,"")</f>
      </c>
      <c r="AE166" s="690">
        <f>AG166-Y166</f>
        <v>0</v>
      </c>
      <c r="AF166" s="691">
        <f>AH166-Z166</f>
        <v>0</v>
      </c>
      <c r="AG166" s="699">
        <v>1802</v>
      </c>
      <c r="AH166" s="700">
        <v>360</v>
      </c>
      <c r="AI166" s="692">
        <f>Z166*1/AH166</f>
        <v>1</v>
      </c>
      <c r="AJ166" s="692">
        <f>AF166*1/AH166</f>
        <v>0</v>
      </c>
      <c r="AK166" s="691">
        <f>AH166/Q166</f>
        <v>360</v>
      </c>
      <c r="AL166" s="693">
        <f>AG166/AH166</f>
        <v>5.0055555555555555</v>
      </c>
      <c r="AM166" s="695">
        <v>1201</v>
      </c>
      <c r="AN166" s="692">
        <f>IF(AM166&lt;&gt;0,-(AM166-AG166)/AM166,"")</f>
        <v>0.5004163197335554</v>
      </c>
      <c r="AO166" s="261">
        <f>111737+37434.5+11042+9412+0.5+6921+5282+0.5+1449+105+269+162+117+442+7259+305+4320+1922+1799+1799+135+1799+3598+1201+1802</f>
        <v>210312.5</v>
      </c>
      <c r="AP166" s="262">
        <f>13345+4357+1377+1694+1346+1248+225+18+64+40+37+108+2420+61+783+385+300+300+15+300+600+240+360</f>
        <v>29623</v>
      </c>
      <c r="AQ166" s="452">
        <f>AO166/AP166</f>
        <v>7.099635418424873</v>
      </c>
      <c r="AR166" s="716">
        <v>40928</v>
      </c>
      <c r="AS166" s="413" t="s">
        <v>349</v>
      </c>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row>
    <row r="167" spans="1:102" s="308" customFormat="1" ht="15.75" hidden="1">
      <c r="A167" s="331"/>
      <c r="B167" s="312"/>
      <c r="C167" s="315" t="s">
        <v>261</v>
      </c>
      <c r="D167" s="324" t="s">
        <v>223</v>
      </c>
      <c r="E167" s="312"/>
      <c r="F167" s="312"/>
      <c r="G167" s="323" t="s">
        <v>292</v>
      </c>
      <c r="H167" s="317" t="s">
        <v>55</v>
      </c>
      <c r="I167" s="313"/>
      <c r="J167" s="205" t="s">
        <v>103</v>
      </c>
      <c r="K167" s="462" t="s">
        <v>91</v>
      </c>
      <c r="L167" s="469" t="s">
        <v>94</v>
      </c>
      <c r="M167" s="469" t="s">
        <v>103</v>
      </c>
      <c r="N167" s="464">
        <v>40704</v>
      </c>
      <c r="O167" s="465" t="s">
        <v>12</v>
      </c>
      <c r="P167" s="258">
        <v>144</v>
      </c>
      <c r="Q167" s="259">
        <v>1</v>
      </c>
      <c r="R167" s="259">
        <v>33</v>
      </c>
      <c r="S167" s="556">
        <v>171</v>
      </c>
      <c r="T167" s="557">
        <v>27</v>
      </c>
      <c r="U167" s="556">
        <v>171</v>
      </c>
      <c r="V167" s="557">
        <v>27</v>
      </c>
      <c r="W167" s="556">
        <v>171</v>
      </c>
      <c r="X167" s="557">
        <v>27</v>
      </c>
      <c r="Y167" s="435">
        <f>SUM(S167+U167+W167)</f>
        <v>513</v>
      </c>
      <c r="Z167" s="436">
        <f>T167+V167+X167</f>
        <v>81</v>
      </c>
      <c r="AA167" s="422">
        <f>IF(Y167&lt;&gt;0,Z167/Q167,"")</f>
        <v>81</v>
      </c>
      <c r="AB167" s="423">
        <f>IF(Y167&lt;&gt;0,Y167/Z167,"")</f>
        <v>6.333333333333333</v>
      </c>
      <c r="AC167" s="426"/>
      <c r="AD167" s="425">
        <f>IF(AC167&lt;&gt;0,-(AC167-Y167)/AC167,"")</f>
      </c>
      <c r="AE167" s="690">
        <f>AG167-Y167</f>
        <v>684</v>
      </c>
      <c r="AF167" s="691">
        <f>AH167-Z167</f>
        <v>108</v>
      </c>
      <c r="AG167" s="699">
        <v>1197</v>
      </c>
      <c r="AH167" s="700">
        <v>189</v>
      </c>
      <c r="AI167" s="692">
        <f>Z167*1/AH167</f>
        <v>0.42857142857142855</v>
      </c>
      <c r="AJ167" s="692">
        <f>AF167*1/AH167</f>
        <v>0.5714285714285714</v>
      </c>
      <c r="AK167" s="691">
        <f>AH167/Q167</f>
        <v>189</v>
      </c>
      <c r="AL167" s="693">
        <f>AG167/AH167</f>
        <v>6.333333333333333</v>
      </c>
      <c r="AM167" s="695"/>
      <c r="AN167" s="692">
        <f>IF(AM167&lt;&gt;0,-(AM167-AG167)/AM167,"")</f>
      </c>
      <c r="AO167" s="261">
        <v>3761997</v>
      </c>
      <c r="AP167" s="262">
        <v>344950</v>
      </c>
      <c r="AQ167" s="452">
        <f>AO167/AP167</f>
        <v>10.90591969850703</v>
      </c>
      <c r="AR167" s="716">
        <v>40928</v>
      </c>
      <c r="AS167" s="413" t="s">
        <v>349</v>
      </c>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row>
    <row r="168" spans="1:102" s="308" customFormat="1" ht="15.75" hidden="1">
      <c r="A168" s="331"/>
      <c r="B168" s="312"/>
      <c r="C168" s="315" t="s">
        <v>261</v>
      </c>
      <c r="D168" s="312"/>
      <c r="E168" s="312"/>
      <c r="F168" s="312"/>
      <c r="G168" s="312"/>
      <c r="H168" s="312"/>
      <c r="I168" s="313"/>
      <c r="J168" s="212" t="s">
        <v>425</v>
      </c>
      <c r="K168" s="468" t="s">
        <v>91</v>
      </c>
      <c r="L168" s="468" t="s">
        <v>94</v>
      </c>
      <c r="M168" s="461" t="s">
        <v>429</v>
      </c>
      <c r="N168" s="464">
        <v>40723</v>
      </c>
      <c r="O168" s="465" t="s">
        <v>12</v>
      </c>
      <c r="P168" s="258">
        <v>323</v>
      </c>
      <c r="Q168" s="259">
        <v>1</v>
      </c>
      <c r="R168" s="259">
        <v>30</v>
      </c>
      <c r="S168" s="556">
        <v>171</v>
      </c>
      <c r="T168" s="557">
        <v>27</v>
      </c>
      <c r="U168" s="556">
        <v>171</v>
      </c>
      <c r="V168" s="557">
        <v>27</v>
      </c>
      <c r="W168" s="556">
        <v>171</v>
      </c>
      <c r="X168" s="557">
        <v>27</v>
      </c>
      <c r="Y168" s="435">
        <f>SUM(S168+U168+W168)</f>
        <v>513</v>
      </c>
      <c r="Z168" s="436">
        <f>T168+V168+X168</f>
        <v>81</v>
      </c>
      <c r="AA168" s="422">
        <f>IF(Y168&lt;&gt;0,Z168/Q168,"")</f>
        <v>81</v>
      </c>
      <c r="AB168" s="423">
        <f>IF(Y168&lt;&gt;0,Y168/Z168,"")</f>
        <v>6.333333333333333</v>
      </c>
      <c r="AC168" s="426"/>
      <c r="AD168" s="425">
        <f>IF(AC168&lt;&gt;0,-(AC168-Y168)/AC168,"")</f>
      </c>
      <c r="AE168" s="690">
        <f>AG168-Y168</f>
        <v>684</v>
      </c>
      <c r="AF168" s="691">
        <f>AH168-Z168</f>
        <v>108</v>
      </c>
      <c r="AG168" s="699">
        <v>1197</v>
      </c>
      <c r="AH168" s="700">
        <v>189</v>
      </c>
      <c r="AI168" s="692">
        <f>Z168*1/AH168</f>
        <v>0.42857142857142855</v>
      </c>
      <c r="AJ168" s="692">
        <f>AF168*1/AH168</f>
        <v>0.5714285714285714</v>
      </c>
      <c r="AK168" s="691">
        <f>AH168/Q168</f>
        <v>189</v>
      </c>
      <c r="AL168" s="693">
        <f>AG168/AH168</f>
        <v>6.333333333333333</v>
      </c>
      <c r="AM168" s="695"/>
      <c r="AN168" s="692">
        <f>IF(AM168&lt;&gt;0,-(AM168-AG168)/AM168,"")</f>
      </c>
      <c r="AO168" s="261">
        <v>6859258</v>
      </c>
      <c r="AP168" s="262">
        <v>646540</v>
      </c>
      <c r="AQ168" s="452">
        <f>AO168/AP168</f>
        <v>10.609178086429301</v>
      </c>
      <c r="AR168" s="716">
        <v>40928</v>
      </c>
      <c r="AS168" s="413" t="s">
        <v>349</v>
      </c>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row>
    <row r="169" spans="1:102" s="308" customFormat="1" ht="15.75" hidden="1">
      <c r="A169" s="331"/>
      <c r="B169" s="311"/>
      <c r="C169" s="315" t="s">
        <v>261</v>
      </c>
      <c r="D169" s="312"/>
      <c r="E169" s="312"/>
      <c r="F169" s="312"/>
      <c r="G169" s="312"/>
      <c r="H169" s="312"/>
      <c r="I169" s="326"/>
      <c r="J169" s="210" t="s">
        <v>438</v>
      </c>
      <c r="K169" s="461" t="s">
        <v>440</v>
      </c>
      <c r="L169" s="462" t="s">
        <v>189</v>
      </c>
      <c r="M169" s="463" t="s">
        <v>439</v>
      </c>
      <c r="N169" s="464">
        <v>40844</v>
      </c>
      <c r="O169" s="465" t="s">
        <v>8</v>
      </c>
      <c r="P169" s="429">
        <v>29</v>
      </c>
      <c r="Q169" s="267">
        <v>1</v>
      </c>
      <c r="R169" s="267">
        <v>9</v>
      </c>
      <c r="S169" s="554">
        <v>0</v>
      </c>
      <c r="T169" s="555">
        <v>0</v>
      </c>
      <c r="U169" s="554">
        <v>0</v>
      </c>
      <c r="V169" s="555">
        <v>0</v>
      </c>
      <c r="W169" s="554">
        <v>0</v>
      </c>
      <c r="X169" s="555">
        <v>0</v>
      </c>
      <c r="Y169" s="435">
        <f>SUM(S169+U169+W169)</f>
        <v>0</v>
      </c>
      <c r="Z169" s="436">
        <f>T169+V169+X169</f>
        <v>0</v>
      </c>
      <c r="AA169" s="422">
        <f>IF(Y169&lt;&gt;0,Z169/Q169,"")</f>
      </c>
      <c r="AB169" s="423">
        <f>IF(Y169&lt;&gt;0,Y169/Z169,"")</f>
      </c>
      <c r="AC169" s="426"/>
      <c r="AD169" s="425">
        <f>IF(AC169&lt;&gt;0,-(AC169-Y169)/AC169,"")</f>
      </c>
      <c r="AE169" s="690">
        <f>AG169-Y169</f>
        <v>680</v>
      </c>
      <c r="AF169" s="691">
        <f>AH169-Z169</f>
        <v>92</v>
      </c>
      <c r="AG169" s="701">
        <v>680</v>
      </c>
      <c r="AH169" s="702">
        <v>92</v>
      </c>
      <c r="AI169" s="692">
        <f>Z169*1/AH169</f>
        <v>0</v>
      </c>
      <c r="AJ169" s="692">
        <f>AF169*1/AH169</f>
        <v>1</v>
      </c>
      <c r="AK169" s="691">
        <f>AH169/Q169</f>
        <v>92</v>
      </c>
      <c r="AL169" s="693">
        <f>AG169/AH169</f>
        <v>7.391304347826087</v>
      </c>
      <c r="AM169" s="695"/>
      <c r="AN169" s="692">
        <f>IF(AM169&lt;&gt;0,-(AM169-AG169)/AM169,"")</f>
      </c>
      <c r="AO169" s="268">
        <v>343647</v>
      </c>
      <c r="AP169" s="269">
        <v>27776</v>
      </c>
      <c r="AQ169" s="452">
        <f>AO169/AP169</f>
        <v>12.372083813364055</v>
      </c>
      <c r="AR169" s="716">
        <v>40928</v>
      </c>
      <c r="AS169" s="413" t="s">
        <v>349</v>
      </c>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row>
    <row r="170" spans="1:102" s="308" customFormat="1" ht="15.75" hidden="1">
      <c r="A170" s="331"/>
      <c r="B170" s="311"/>
      <c r="C170" s="315" t="s">
        <v>261</v>
      </c>
      <c r="D170" s="312"/>
      <c r="E170" s="312"/>
      <c r="F170" s="312"/>
      <c r="G170" s="312"/>
      <c r="H170" s="313"/>
      <c r="I170" s="321"/>
      <c r="J170" s="209" t="s">
        <v>168</v>
      </c>
      <c r="K170" s="462" t="s">
        <v>171</v>
      </c>
      <c r="L170" s="470" t="s">
        <v>99</v>
      </c>
      <c r="M170" s="461" t="s">
        <v>172</v>
      </c>
      <c r="N170" s="464">
        <v>40830</v>
      </c>
      <c r="O170" s="465" t="s">
        <v>52</v>
      </c>
      <c r="P170" s="278">
        <v>24</v>
      </c>
      <c r="Q170" s="271">
        <v>2</v>
      </c>
      <c r="R170" s="271">
        <v>9</v>
      </c>
      <c r="S170" s="268">
        <v>112</v>
      </c>
      <c r="T170" s="269">
        <v>14</v>
      </c>
      <c r="U170" s="268">
        <v>60</v>
      </c>
      <c r="V170" s="269">
        <v>6</v>
      </c>
      <c r="W170" s="268">
        <v>167</v>
      </c>
      <c r="X170" s="269">
        <v>23</v>
      </c>
      <c r="Y170" s="435">
        <f>SUM(S170+U170+W170)</f>
        <v>339</v>
      </c>
      <c r="Z170" s="436">
        <f>T170+V170+X170</f>
        <v>43</v>
      </c>
      <c r="AA170" s="422">
        <f>IF(Y170&lt;&gt;0,Z170/Q170,"")</f>
        <v>21.5</v>
      </c>
      <c r="AB170" s="423">
        <f>IF(Y170&lt;&gt;0,Y170/Z170,"")</f>
        <v>7.883720930232558</v>
      </c>
      <c r="AC170" s="426"/>
      <c r="AD170" s="425">
        <f>IF(AC170&lt;&gt;0,-(AC170-Y170)/AC170,"")</f>
      </c>
      <c r="AE170" s="690">
        <f>AG170-Y170</f>
        <v>186</v>
      </c>
      <c r="AF170" s="691">
        <f>AH170-Z170</f>
        <v>26</v>
      </c>
      <c r="AG170" s="703">
        <v>525</v>
      </c>
      <c r="AH170" s="704">
        <v>69</v>
      </c>
      <c r="AI170" s="692">
        <f>Z170*1/AH170</f>
        <v>0.6231884057971014</v>
      </c>
      <c r="AJ170" s="692">
        <f>AF170*1/AH170</f>
        <v>0.37681159420289856</v>
      </c>
      <c r="AK170" s="691">
        <f>AH170/Q170</f>
        <v>34.5</v>
      </c>
      <c r="AL170" s="693">
        <f>AG170/AH170</f>
        <v>7.608695652173913</v>
      </c>
      <c r="AM170" s="696">
        <v>429</v>
      </c>
      <c r="AN170" s="692">
        <f>IF(AM170&lt;&gt;0,-(AM170-AG170)/AM170,"")</f>
        <v>0.22377622377622378</v>
      </c>
      <c r="AO170" s="329">
        <f>39089+12457+497+1407+378+156+1775+429+525</f>
        <v>56713</v>
      </c>
      <c r="AP170" s="262">
        <f>3631+1290+71+217+63+19+204+72+69</f>
        <v>5636</v>
      </c>
      <c r="AQ170" s="452">
        <f>AO170/AP170</f>
        <v>10.062633073101491</v>
      </c>
      <c r="AR170" s="716">
        <v>40928</v>
      </c>
      <c r="AS170" s="413" t="s">
        <v>349</v>
      </c>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row>
    <row r="171" spans="1:102" s="308" customFormat="1" ht="15.75" hidden="1">
      <c r="A171" s="331"/>
      <c r="B171" s="311"/>
      <c r="C171" s="315" t="s">
        <v>261</v>
      </c>
      <c r="D171" s="312"/>
      <c r="E171" s="312"/>
      <c r="F171" s="332"/>
      <c r="G171" s="312"/>
      <c r="H171" s="313"/>
      <c r="I171" s="314"/>
      <c r="J171" s="207" t="s">
        <v>469</v>
      </c>
      <c r="K171" s="466" t="s">
        <v>463</v>
      </c>
      <c r="L171" s="466" t="s">
        <v>89</v>
      </c>
      <c r="M171" s="466" t="s">
        <v>457</v>
      </c>
      <c r="N171" s="464">
        <v>40837</v>
      </c>
      <c r="O171" s="465" t="s">
        <v>68</v>
      </c>
      <c r="P171" s="258">
        <v>10</v>
      </c>
      <c r="Q171" s="259">
        <v>1</v>
      </c>
      <c r="R171" s="259">
        <v>6</v>
      </c>
      <c r="S171" s="554">
        <v>0</v>
      </c>
      <c r="T171" s="555">
        <v>0</v>
      </c>
      <c r="U171" s="554">
        <v>0</v>
      </c>
      <c r="V171" s="555">
        <v>0</v>
      </c>
      <c r="W171" s="554">
        <v>0</v>
      </c>
      <c r="X171" s="555">
        <v>0</v>
      </c>
      <c r="Y171" s="435">
        <f>SUM(S171+U171+W171)</f>
        <v>0</v>
      </c>
      <c r="Z171" s="436">
        <f>T171+V171+X171</f>
        <v>0</v>
      </c>
      <c r="AA171" s="422">
        <f>IF(Y171&lt;&gt;0,Z171/Q171,"")</f>
      </c>
      <c r="AB171" s="423">
        <f>IF(Y171&lt;&gt;0,Y171/Z171,"")</f>
      </c>
      <c r="AC171" s="426"/>
      <c r="AD171" s="425">
        <f>IF(AC171&lt;&gt;0,-(AC171-Y171)/AC171,"")</f>
      </c>
      <c r="AE171" s="690">
        <f>AG171-Y171</f>
        <v>519</v>
      </c>
      <c r="AF171" s="691">
        <f>AH171-Z171</f>
        <v>86</v>
      </c>
      <c r="AG171" s="705">
        <v>519</v>
      </c>
      <c r="AH171" s="706">
        <v>86</v>
      </c>
      <c r="AI171" s="692">
        <f>Z171*1/AH171</f>
        <v>0</v>
      </c>
      <c r="AJ171" s="692">
        <f>AF171*1/AH171</f>
        <v>1</v>
      </c>
      <c r="AK171" s="691">
        <f>AH171/Q171</f>
        <v>86</v>
      </c>
      <c r="AL171" s="693">
        <f>AG171/AH171</f>
        <v>6.034883720930233</v>
      </c>
      <c r="AM171" s="694"/>
      <c r="AN171" s="692">
        <f>IF(AM171&lt;&gt;0,-(AM171-AG171)/AM171,"")</f>
      </c>
      <c r="AO171" s="270">
        <f>10225+2950+986+451+172+519</f>
        <v>15303</v>
      </c>
      <c r="AP171" s="272">
        <f>1095+291+123+65+22+86</f>
        <v>1682</v>
      </c>
      <c r="AQ171" s="452">
        <f>AO171/AP171</f>
        <v>9.098097502972651</v>
      </c>
      <c r="AR171" s="716">
        <v>40928</v>
      </c>
      <c r="AS171" s="413" t="s">
        <v>349</v>
      </c>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row>
    <row r="172" spans="1:102" s="308" customFormat="1" ht="15.75" hidden="1">
      <c r="A172" s="331"/>
      <c r="B172" s="311"/>
      <c r="C172" s="312"/>
      <c r="D172" s="324" t="s">
        <v>223</v>
      </c>
      <c r="E172" s="319">
        <v>3</v>
      </c>
      <c r="F172" s="312"/>
      <c r="G172" s="312"/>
      <c r="H172" s="317" t="s">
        <v>55</v>
      </c>
      <c r="I172" s="326"/>
      <c r="J172" s="210" t="s">
        <v>219</v>
      </c>
      <c r="K172" s="461" t="s">
        <v>183</v>
      </c>
      <c r="L172" s="462" t="s">
        <v>189</v>
      </c>
      <c r="M172" s="463" t="s">
        <v>181</v>
      </c>
      <c r="N172" s="464">
        <v>40907</v>
      </c>
      <c r="O172" s="465" t="s">
        <v>8</v>
      </c>
      <c r="P172" s="274">
        <v>73</v>
      </c>
      <c r="Q172" s="267">
        <v>32</v>
      </c>
      <c r="R172" s="267">
        <v>3</v>
      </c>
      <c r="S172" s="268">
        <v>0</v>
      </c>
      <c r="T172" s="269">
        <v>0</v>
      </c>
      <c r="U172" s="268">
        <v>0</v>
      </c>
      <c r="V172" s="269">
        <v>0</v>
      </c>
      <c r="W172" s="268">
        <v>0</v>
      </c>
      <c r="X172" s="269">
        <v>0</v>
      </c>
      <c r="Y172" s="435">
        <f>SUM(S172+U172+W172)</f>
        <v>0</v>
      </c>
      <c r="Z172" s="436">
        <f>T172+V172+X172</f>
        <v>0</v>
      </c>
      <c r="AA172" s="422">
        <f>IF(Y172&lt;&gt;0,Z172/Q172,"")</f>
      </c>
      <c r="AB172" s="423">
        <f>IF(Y172&lt;&gt;0,Y172/Z172,"")</f>
      </c>
      <c r="AC172" s="426"/>
      <c r="AD172" s="425">
        <f>IF(AC172&lt;&gt;0,-(AC172-Y172)/AC172,"")</f>
      </c>
      <c r="AE172" s="690">
        <f>AG172-Y172</f>
        <v>324</v>
      </c>
      <c r="AF172" s="691">
        <f>AH172-Z172</f>
        <v>32</v>
      </c>
      <c r="AG172" s="701">
        <v>324</v>
      </c>
      <c r="AH172" s="702">
        <v>32</v>
      </c>
      <c r="AI172" s="692">
        <f>Z172*1/AH172</f>
        <v>0</v>
      </c>
      <c r="AJ172" s="692">
        <f>AF172*1/AH172</f>
        <v>1</v>
      </c>
      <c r="AK172" s="691">
        <f>AH172/Q172</f>
        <v>1</v>
      </c>
      <c r="AL172" s="693">
        <f>AG172/AH172</f>
        <v>10.125</v>
      </c>
      <c r="AM172" s="695">
        <v>21746</v>
      </c>
      <c r="AN172" s="692">
        <f>IF(AM172&lt;&gt;0,-(AM172-AG172)/AM172,"")</f>
        <v>-0.9851007081762163</v>
      </c>
      <c r="AO172" s="268">
        <v>141554</v>
      </c>
      <c r="AP172" s="269">
        <v>12703</v>
      </c>
      <c r="AQ172" s="452">
        <f>AO172/AP172</f>
        <v>11.143351964102967</v>
      </c>
      <c r="AR172" s="716">
        <v>40928</v>
      </c>
      <c r="AS172" s="413" t="s">
        <v>349</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row>
    <row r="173" spans="1:102" s="308" customFormat="1" ht="15.75" hidden="1">
      <c r="A173" s="331"/>
      <c r="B173" s="311"/>
      <c r="C173" s="315" t="s">
        <v>261</v>
      </c>
      <c r="D173" s="324" t="s">
        <v>223</v>
      </c>
      <c r="E173" s="312"/>
      <c r="F173" s="312"/>
      <c r="G173" s="312"/>
      <c r="H173" s="317" t="s">
        <v>55</v>
      </c>
      <c r="I173" s="314"/>
      <c r="J173" s="207" t="s">
        <v>400</v>
      </c>
      <c r="K173" s="466" t="s">
        <v>126</v>
      </c>
      <c r="L173" s="466" t="s">
        <v>89</v>
      </c>
      <c r="M173" s="466" t="s">
        <v>403</v>
      </c>
      <c r="N173" s="464">
        <v>40543</v>
      </c>
      <c r="O173" s="465" t="s">
        <v>68</v>
      </c>
      <c r="P173" s="258">
        <v>99</v>
      </c>
      <c r="Q173" s="259">
        <v>1</v>
      </c>
      <c r="R173" s="259">
        <v>26</v>
      </c>
      <c r="S173" s="554">
        <v>0</v>
      </c>
      <c r="T173" s="555">
        <v>0</v>
      </c>
      <c r="U173" s="554">
        <v>0</v>
      </c>
      <c r="V173" s="555">
        <v>0</v>
      </c>
      <c r="W173" s="554">
        <v>0</v>
      </c>
      <c r="X173" s="555">
        <v>0</v>
      </c>
      <c r="Y173" s="435">
        <f>SUM(S173+U173+W173)</f>
        <v>0</v>
      </c>
      <c r="Z173" s="436">
        <f>T173+V173+X173</f>
        <v>0</v>
      </c>
      <c r="AA173" s="422">
        <f>IF(Y173&lt;&gt;0,Z173/Q173,"")</f>
      </c>
      <c r="AB173" s="423">
        <f>IF(Y173&lt;&gt;0,Y173/Z173,"")</f>
      </c>
      <c r="AC173" s="426"/>
      <c r="AD173" s="425">
        <f>IF(AC173&lt;&gt;0,-(AC173-Y173)/AC173,"")</f>
      </c>
      <c r="AE173" s="690">
        <f>AG173-Y173</f>
        <v>1782</v>
      </c>
      <c r="AF173" s="691">
        <f>AH173-Z173</f>
        <v>356</v>
      </c>
      <c r="AG173" s="705">
        <v>1782</v>
      </c>
      <c r="AH173" s="706">
        <v>356</v>
      </c>
      <c r="AI173" s="692">
        <f>Z173*1/AH173</f>
        <v>0</v>
      </c>
      <c r="AJ173" s="692">
        <f>AF173*1/AH173</f>
        <v>1</v>
      </c>
      <c r="AK173" s="691">
        <f>AH173/Q173</f>
        <v>356</v>
      </c>
      <c r="AL173" s="693">
        <f>AG173/AH173</f>
        <v>5.00561797752809</v>
      </c>
      <c r="AM173" s="694"/>
      <c r="AN173" s="692">
        <f>IF(AM173&lt;&gt;0,-(AM173-AG173)/AM173,"")</f>
      </c>
      <c r="AO173" s="270">
        <f>74157.5+721285.5+410076+112730.5+28262.5+6646+19483.5+940+1245+2674.5+7128+1782+331+245+6545.5+694+1782+1782+1782+1188+306+1188+3340+316+713+2376+1425.5+1782</f>
        <v>1412207</v>
      </c>
      <c r="AP173" s="272">
        <f>7361+62279+35611+10987+4077+689+3901+125+178+502+1781+445+78+59+1496+114+446+446+446+297+61+297+668+53+178+594+356+356</f>
        <v>133881</v>
      </c>
      <c r="AQ173" s="452">
        <f>AO173/AP173</f>
        <v>10.548225663088862</v>
      </c>
      <c r="AR173" s="716">
        <v>40921</v>
      </c>
      <c r="AS173" s="413" t="s">
        <v>349</v>
      </c>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row>
    <row r="174" spans="1:102" s="308" customFormat="1" ht="15.75" hidden="1">
      <c r="A174" s="331"/>
      <c r="B174" s="312"/>
      <c r="C174" s="315" t="s">
        <v>261</v>
      </c>
      <c r="D174" s="324" t="s">
        <v>223</v>
      </c>
      <c r="E174" s="319">
        <v>3</v>
      </c>
      <c r="F174" s="327">
        <v>2</v>
      </c>
      <c r="G174" s="312"/>
      <c r="H174" s="312"/>
      <c r="I174" s="313"/>
      <c r="J174" s="205" t="s">
        <v>386</v>
      </c>
      <c r="K174" s="462" t="s">
        <v>91</v>
      </c>
      <c r="L174" s="469" t="s">
        <v>94</v>
      </c>
      <c r="M174" s="469" t="s">
        <v>389</v>
      </c>
      <c r="N174" s="464">
        <v>40802</v>
      </c>
      <c r="O174" s="465" t="s">
        <v>12</v>
      </c>
      <c r="P174" s="258">
        <v>139</v>
      </c>
      <c r="Q174" s="259">
        <v>1</v>
      </c>
      <c r="R174" s="259">
        <v>18</v>
      </c>
      <c r="S174" s="480">
        <v>171</v>
      </c>
      <c r="T174" s="481">
        <v>27</v>
      </c>
      <c r="U174" s="480">
        <v>171</v>
      </c>
      <c r="V174" s="481">
        <v>27</v>
      </c>
      <c r="W174" s="480">
        <v>171</v>
      </c>
      <c r="X174" s="481">
        <v>27</v>
      </c>
      <c r="Y174" s="435">
        <f>SUM(S174+U174+W174)</f>
        <v>513</v>
      </c>
      <c r="Z174" s="436">
        <f>T174+V174+X174</f>
        <v>81</v>
      </c>
      <c r="AA174" s="422">
        <f>IF(Y174&lt;&gt;0,Z174/Q174,"")</f>
        <v>81</v>
      </c>
      <c r="AB174" s="423">
        <f>IF(Y174&lt;&gt;0,Y174/Z174,"")</f>
        <v>6.333333333333333</v>
      </c>
      <c r="AC174" s="426"/>
      <c r="AD174" s="425">
        <f>IF(AC174&lt;&gt;0,-(AC174-Y174)/AC174,"")</f>
      </c>
      <c r="AE174" s="690">
        <f>AG174-Y174</f>
        <v>684</v>
      </c>
      <c r="AF174" s="691">
        <f>AH174-Z174</f>
        <v>108</v>
      </c>
      <c r="AG174" s="699">
        <v>1197</v>
      </c>
      <c r="AH174" s="700">
        <v>189</v>
      </c>
      <c r="AI174" s="692">
        <f>Z174*1/AH174</f>
        <v>0.42857142857142855</v>
      </c>
      <c r="AJ174" s="692">
        <f>AF174*1/AH174</f>
        <v>0.5714285714285714</v>
      </c>
      <c r="AK174" s="691">
        <f>AH174/Q174</f>
        <v>189</v>
      </c>
      <c r="AL174" s="693">
        <f>AG174/AH174</f>
        <v>6.333333333333333</v>
      </c>
      <c r="AM174" s="695"/>
      <c r="AN174" s="692">
        <f>IF(AM174&lt;&gt;0,-(AM174-AG174)/AM174,"")</f>
      </c>
      <c r="AO174" s="261">
        <v>867262</v>
      </c>
      <c r="AP174" s="262">
        <v>93571</v>
      </c>
      <c r="AQ174" s="452">
        <f>AO174/AP174</f>
        <v>9.26849130606705</v>
      </c>
      <c r="AR174" s="716">
        <v>40921</v>
      </c>
      <c r="AS174" s="413" t="s">
        <v>349</v>
      </c>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row>
    <row r="175" spans="1:102" s="308" customFormat="1" ht="15.75" hidden="1">
      <c r="A175" s="331"/>
      <c r="B175" s="311"/>
      <c r="C175" s="315" t="s">
        <v>261</v>
      </c>
      <c r="D175" s="312"/>
      <c r="E175" s="312"/>
      <c r="F175" s="312"/>
      <c r="G175" s="312"/>
      <c r="H175" s="313"/>
      <c r="I175" s="313"/>
      <c r="J175" s="207" t="s">
        <v>154</v>
      </c>
      <c r="K175" s="462" t="s">
        <v>194</v>
      </c>
      <c r="L175" s="461" t="s">
        <v>79</v>
      </c>
      <c r="M175" s="466" t="s">
        <v>155</v>
      </c>
      <c r="N175" s="467">
        <v>40781</v>
      </c>
      <c r="O175" s="465" t="s">
        <v>68</v>
      </c>
      <c r="P175" s="258">
        <v>25</v>
      </c>
      <c r="Q175" s="259">
        <v>2</v>
      </c>
      <c r="R175" s="259">
        <v>17</v>
      </c>
      <c r="S175" s="554">
        <v>256</v>
      </c>
      <c r="T175" s="555">
        <v>41</v>
      </c>
      <c r="U175" s="554">
        <v>432</v>
      </c>
      <c r="V175" s="555">
        <v>68</v>
      </c>
      <c r="W175" s="554">
        <v>386</v>
      </c>
      <c r="X175" s="555">
        <v>59</v>
      </c>
      <c r="Y175" s="435">
        <f>SUM(S175+U175+W175)</f>
        <v>1074</v>
      </c>
      <c r="Z175" s="436">
        <f>T175+V175+X175</f>
        <v>168</v>
      </c>
      <c r="AA175" s="422">
        <f>IF(Y175&lt;&gt;0,Z175/Q175,"")</f>
        <v>84</v>
      </c>
      <c r="AB175" s="423">
        <f>IF(Y175&lt;&gt;0,Y175/Z175,"")</f>
        <v>6.392857142857143</v>
      </c>
      <c r="AC175" s="426"/>
      <c r="AD175" s="425">
        <f>IF(AC175&lt;&gt;0,-(AC175-Y175)/AC175,"")</f>
      </c>
      <c r="AE175" s="690">
        <f>AG175-Y175</f>
        <v>-220</v>
      </c>
      <c r="AF175" s="691">
        <f>AH175-Z175</f>
        <v>-42</v>
      </c>
      <c r="AG175" s="705">
        <v>854</v>
      </c>
      <c r="AH175" s="706">
        <v>126</v>
      </c>
      <c r="AI175" s="692">
        <f>Z175*1/AH175</f>
        <v>1.3333333333333333</v>
      </c>
      <c r="AJ175" s="692">
        <f>AF175*1/AH175</f>
        <v>-0.3333333333333333</v>
      </c>
      <c r="AK175" s="691">
        <f>AH175/Q175</f>
        <v>63</v>
      </c>
      <c r="AL175" s="693">
        <f>AG175/AH175</f>
        <v>6.777777777777778</v>
      </c>
      <c r="AM175" s="694">
        <v>1705</v>
      </c>
      <c r="AN175" s="692">
        <f>IF(AM175&lt;&gt;0,-(AM175-AG175)/AM175,"")</f>
        <v>-0.4991202346041056</v>
      </c>
      <c r="AO175" s="270">
        <f>144733+112570+56967.5+34113.5+30823.5+33890.5+41306+25896.5+24762.5+2776+2376+588+744+1788+950.5+3841+1705+854</f>
        <v>520685.5</v>
      </c>
      <c r="AP175" s="272">
        <f>11669+10065+5619+3946+3929+4284+5351+3682+3657+420+594+249+124+397+237+653+271+126</f>
        <v>55273</v>
      </c>
      <c r="AQ175" s="452">
        <f>AO175/AP175</f>
        <v>9.420250393501348</v>
      </c>
      <c r="AR175" s="716">
        <v>40921</v>
      </c>
      <c r="AS175" s="413" t="s">
        <v>349</v>
      </c>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row>
    <row r="176" spans="1:102" s="308" customFormat="1" ht="15.75" hidden="1">
      <c r="A176" s="331"/>
      <c r="B176" s="312"/>
      <c r="C176" s="315" t="s">
        <v>261</v>
      </c>
      <c r="D176" s="312"/>
      <c r="E176" s="312"/>
      <c r="F176" s="312"/>
      <c r="G176" s="318"/>
      <c r="H176" s="317" t="s">
        <v>55</v>
      </c>
      <c r="I176" s="311"/>
      <c r="J176" s="205" t="s">
        <v>197</v>
      </c>
      <c r="K176" s="462" t="s">
        <v>209</v>
      </c>
      <c r="L176" s="469" t="s">
        <v>94</v>
      </c>
      <c r="M176" s="469" t="s">
        <v>201</v>
      </c>
      <c r="N176" s="464">
        <v>40823</v>
      </c>
      <c r="O176" s="465" t="s">
        <v>12</v>
      </c>
      <c r="P176" s="258">
        <v>105</v>
      </c>
      <c r="Q176" s="259">
        <v>1</v>
      </c>
      <c r="R176" s="259">
        <v>15</v>
      </c>
      <c r="S176" s="480">
        <v>133</v>
      </c>
      <c r="T176" s="481">
        <v>19</v>
      </c>
      <c r="U176" s="480">
        <v>238</v>
      </c>
      <c r="V176" s="481">
        <v>34</v>
      </c>
      <c r="W176" s="480">
        <v>70</v>
      </c>
      <c r="X176" s="481">
        <v>10</v>
      </c>
      <c r="Y176" s="435">
        <f>SUM(S176+U176+W176)</f>
        <v>441</v>
      </c>
      <c r="Z176" s="436">
        <f>T176+V176+X176</f>
        <v>63</v>
      </c>
      <c r="AA176" s="422">
        <f>IF(Y176&lt;&gt;0,Z176/Q176,"")</f>
        <v>63</v>
      </c>
      <c r="AB176" s="423">
        <f>IF(Y176&lt;&gt;0,Y176/Z176,"")</f>
        <v>7</v>
      </c>
      <c r="AC176" s="426"/>
      <c r="AD176" s="425">
        <f>IF(AC176&lt;&gt;0,-(AC176-Y176)/AC176,"")</f>
      </c>
      <c r="AE176" s="690">
        <f>AG176-Y176</f>
        <v>198</v>
      </c>
      <c r="AF176" s="691">
        <f>AH176-Z176</f>
        <v>30</v>
      </c>
      <c r="AG176" s="699">
        <v>639</v>
      </c>
      <c r="AH176" s="700">
        <v>93</v>
      </c>
      <c r="AI176" s="692">
        <f>Z176*1/AH176</f>
        <v>0.6774193548387096</v>
      </c>
      <c r="AJ176" s="692">
        <f>AF176*1/AH176</f>
        <v>0.3225806451612903</v>
      </c>
      <c r="AK176" s="691">
        <f>AH176/Q176</f>
        <v>93</v>
      </c>
      <c r="AL176" s="693">
        <f>AG176/AH176</f>
        <v>6.870967741935484</v>
      </c>
      <c r="AM176" s="695">
        <v>2631</v>
      </c>
      <c r="AN176" s="692">
        <f>IF(AM176&lt;&gt;0,-(AM176-AG176)/AM176,"")</f>
        <v>-0.7571265678449259</v>
      </c>
      <c r="AO176" s="261">
        <v>1141755</v>
      </c>
      <c r="AP176" s="262">
        <v>122736</v>
      </c>
      <c r="AQ176" s="452">
        <f>AO176/AP176</f>
        <v>9.302527375831051</v>
      </c>
      <c r="AR176" s="716">
        <v>40921</v>
      </c>
      <c r="AS176" s="413" t="s">
        <v>349</v>
      </c>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row>
    <row r="177" spans="1:102" s="308" customFormat="1" ht="15.75" hidden="1">
      <c r="A177" s="331"/>
      <c r="B177" s="312"/>
      <c r="C177" s="315" t="s">
        <v>261</v>
      </c>
      <c r="D177" s="318"/>
      <c r="E177" s="312"/>
      <c r="F177" s="312"/>
      <c r="G177" s="312"/>
      <c r="H177" s="312"/>
      <c r="I177" s="313"/>
      <c r="J177" s="205" t="s">
        <v>387</v>
      </c>
      <c r="K177" s="462" t="s">
        <v>83</v>
      </c>
      <c r="L177" s="469" t="s">
        <v>94</v>
      </c>
      <c r="M177" s="469" t="s">
        <v>388</v>
      </c>
      <c r="N177" s="464">
        <v>40851</v>
      </c>
      <c r="O177" s="465" t="s">
        <v>12</v>
      </c>
      <c r="P177" s="258">
        <v>72</v>
      </c>
      <c r="Q177" s="259">
        <v>1</v>
      </c>
      <c r="R177" s="259">
        <v>11</v>
      </c>
      <c r="S177" s="480">
        <v>60</v>
      </c>
      <c r="T177" s="481">
        <v>10</v>
      </c>
      <c r="U177" s="480">
        <v>144</v>
      </c>
      <c r="V177" s="481">
        <v>24</v>
      </c>
      <c r="W177" s="480">
        <v>126</v>
      </c>
      <c r="X177" s="481">
        <v>21</v>
      </c>
      <c r="Y177" s="435">
        <f>SUM(S177+U177+W177)</f>
        <v>330</v>
      </c>
      <c r="Z177" s="436">
        <f>T177+V177+X177</f>
        <v>55</v>
      </c>
      <c r="AA177" s="422">
        <f>IF(Y177&lt;&gt;0,Z177/Q177,"")</f>
        <v>55</v>
      </c>
      <c r="AB177" s="423">
        <f>IF(Y177&lt;&gt;0,Y177/Z177,"")</f>
        <v>6</v>
      </c>
      <c r="AC177" s="426"/>
      <c r="AD177" s="425">
        <f>IF(AC177&lt;&gt;0,-(AC177-Y177)/AC177,"")</f>
      </c>
      <c r="AE177" s="690">
        <f>AG177-Y177</f>
        <v>282</v>
      </c>
      <c r="AF177" s="691">
        <f>AH177-Z177</f>
        <v>47</v>
      </c>
      <c r="AG177" s="699">
        <v>612</v>
      </c>
      <c r="AH177" s="700">
        <v>102</v>
      </c>
      <c r="AI177" s="692">
        <f>Z177*1/AH177</f>
        <v>0.5392156862745098</v>
      </c>
      <c r="AJ177" s="692">
        <f>AF177*1/AH177</f>
        <v>0.46078431372549017</v>
      </c>
      <c r="AK177" s="691">
        <f>AH177/Q177</f>
        <v>102</v>
      </c>
      <c r="AL177" s="693">
        <f>AG177/AH177</f>
        <v>6</v>
      </c>
      <c r="AM177" s="695"/>
      <c r="AN177" s="692">
        <f>IF(AM177&lt;&gt;0,-(AM177-AG177)/AM177,"")</f>
      </c>
      <c r="AO177" s="261">
        <v>1116374</v>
      </c>
      <c r="AP177" s="262">
        <v>103200</v>
      </c>
      <c r="AQ177" s="452">
        <f>AO177/AP177</f>
        <v>10.817577519379846</v>
      </c>
      <c r="AR177" s="716">
        <v>40921</v>
      </c>
      <c r="AS177" s="413" t="s">
        <v>349</v>
      </c>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row>
    <row r="178" spans="1:102" s="308" customFormat="1" ht="15.75" hidden="1">
      <c r="A178" s="331"/>
      <c r="B178" s="311"/>
      <c r="C178" s="315" t="s">
        <v>261</v>
      </c>
      <c r="D178" s="312"/>
      <c r="E178" s="312"/>
      <c r="F178" s="312"/>
      <c r="G178" s="312"/>
      <c r="H178" s="313"/>
      <c r="I178" s="314"/>
      <c r="J178" s="207" t="s">
        <v>401</v>
      </c>
      <c r="K178" s="466" t="s">
        <v>404</v>
      </c>
      <c r="L178" s="466" t="s">
        <v>248</v>
      </c>
      <c r="M178" s="466" t="s">
        <v>402</v>
      </c>
      <c r="N178" s="464">
        <v>40746</v>
      </c>
      <c r="O178" s="465" t="s">
        <v>68</v>
      </c>
      <c r="P178" s="258">
        <v>5</v>
      </c>
      <c r="Q178" s="259">
        <v>1</v>
      </c>
      <c r="R178" s="259">
        <v>15</v>
      </c>
      <c r="S178" s="554">
        <v>0</v>
      </c>
      <c r="T178" s="555">
        <v>0</v>
      </c>
      <c r="U178" s="554">
        <v>0</v>
      </c>
      <c r="V178" s="555">
        <v>0</v>
      </c>
      <c r="W178" s="554">
        <v>0</v>
      </c>
      <c r="X178" s="555">
        <v>0</v>
      </c>
      <c r="Y178" s="435">
        <f>SUM(S178+U178+W178)</f>
        <v>0</v>
      </c>
      <c r="Z178" s="436">
        <f>T178+V178+X178</f>
        <v>0</v>
      </c>
      <c r="AA178" s="422">
        <f>IF(Y178&lt;&gt;0,Z178/Q178,"")</f>
      </c>
      <c r="AB178" s="423">
        <f>IF(Y178&lt;&gt;0,Y178/Z178,"")</f>
      </c>
      <c r="AC178" s="426"/>
      <c r="AD178" s="425">
        <f>IF(AC178&lt;&gt;0,-(AC178-Y178)/AC178,"")</f>
      </c>
      <c r="AE178" s="690">
        <f>AG178-Y178</f>
        <v>264</v>
      </c>
      <c r="AF178" s="691">
        <f>AH178-Z178</f>
        <v>44</v>
      </c>
      <c r="AG178" s="705">
        <v>264</v>
      </c>
      <c r="AH178" s="706">
        <v>44</v>
      </c>
      <c r="AI178" s="692">
        <f>Z178*1/AH178</f>
        <v>0</v>
      </c>
      <c r="AJ178" s="692">
        <f>AF178*1/AH178</f>
        <v>1</v>
      </c>
      <c r="AK178" s="691">
        <f>AH178/Q178</f>
        <v>44</v>
      </c>
      <c r="AL178" s="693">
        <f>AG178/AH178</f>
        <v>6</v>
      </c>
      <c r="AM178" s="694"/>
      <c r="AN178" s="692">
        <f>IF(AM178&lt;&gt;0,-(AM178-AG178)/AM178,"")</f>
      </c>
      <c r="AO178" s="270">
        <f>15287.5+10909.5+3453.5+1267.5+1495+5972+1476+196+990+2893+1323+722+1782+684+264</f>
        <v>48715</v>
      </c>
      <c r="AP178" s="272">
        <f>1370+1093+336+155+192+663+166+28+134+385+183+184+446+80+44</f>
        <v>5459</v>
      </c>
      <c r="AQ178" s="452">
        <f>AO178/AP178</f>
        <v>8.923795566953654</v>
      </c>
      <c r="AR178" s="716">
        <v>40921</v>
      </c>
      <c r="AS178" s="413" t="s">
        <v>349</v>
      </c>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row>
    <row r="179" spans="1:102" s="308" customFormat="1" ht="15.75" hidden="1">
      <c r="A179" s="331"/>
      <c r="B179" s="322"/>
      <c r="C179" s="315" t="s">
        <v>261</v>
      </c>
      <c r="D179" s="322"/>
      <c r="E179" s="319">
        <v>3</v>
      </c>
      <c r="F179" s="312"/>
      <c r="G179" s="323" t="s">
        <v>292</v>
      </c>
      <c r="H179" s="311"/>
      <c r="I179" s="314"/>
      <c r="J179" s="211" t="s">
        <v>57</v>
      </c>
      <c r="K179" s="462" t="s">
        <v>97</v>
      </c>
      <c r="L179" s="465" t="s">
        <v>95</v>
      </c>
      <c r="M179" s="465" t="s">
        <v>58</v>
      </c>
      <c r="N179" s="467">
        <v>40795</v>
      </c>
      <c r="O179" s="465" t="s">
        <v>10</v>
      </c>
      <c r="P179" s="266">
        <v>142</v>
      </c>
      <c r="Q179" s="271">
        <v>1</v>
      </c>
      <c r="R179" s="271">
        <v>19</v>
      </c>
      <c r="S179" s="268">
        <v>30</v>
      </c>
      <c r="T179" s="269">
        <v>5</v>
      </c>
      <c r="U179" s="268">
        <v>24</v>
      </c>
      <c r="V179" s="269">
        <v>4</v>
      </c>
      <c r="W179" s="268">
        <v>24</v>
      </c>
      <c r="X179" s="269">
        <v>4</v>
      </c>
      <c r="Y179" s="435">
        <f>SUM(S179+U179+W179)</f>
        <v>78</v>
      </c>
      <c r="Z179" s="436">
        <f>T179+V179+X179</f>
        <v>13</v>
      </c>
      <c r="AA179" s="422">
        <f>IF(Y179&lt;&gt;0,Z179/Q179,"")</f>
        <v>13</v>
      </c>
      <c r="AB179" s="423">
        <f>IF(Y179&lt;&gt;0,Y179/Z179,"")</f>
        <v>6</v>
      </c>
      <c r="AC179" s="426"/>
      <c r="AD179" s="425">
        <f>IF(AC179&lt;&gt;0,-(AC179-Y179)/AC179,"")</f>
      </c>
      <c r="AE179" s="690">
        <f>AG179-Y179</f>
        <v>102</v>
      </c>
      <c r="AF179" s="691">
        <f>AH179-Z179</f>
        <v>17</v>
      </c>
      <c r="AG179" s="701">
        <v>180</v>
      </c>
      <c r="AH179" s="702">
        <v>30</v>
      </c>
      <c r="AI179" s="692">
        <f>Z179*1/AH179</f>
        <v>0.43333333333333335</v>
      </c>
      <c r="AJ179" s="692">
        <f>AF179*1/AH179</f>
        <v>0.5666666666666667</v>
      </c>
      <c r="AK179" s="691">
        <f>AH179/Q179</f>
        <v>30</v>
      </c>
      <c r="AL179" s="693">
        <f>AG179/AH179</f>
        <v>6</v>
      </c>
      <c r="AM179" s="694">
        <v>3430</v>
      </c>
      <c r="AN179" s="692">
        <f>IF(AM179&lt;&gt;0,-(AM179-AG179)/AM179,"")</f>
        <v>-0.9475218658892128</v>
      </c>
      <c r="AO179" s="268">
        <v>4017226</v>
      </c>
      <c r="AP179" s="269">
        <v>390877</v>
      </c>
      <c r="AQ179" s="452">
        <f>AO179/AP179</f>
        <v>10.277468359611847</v>
      </c>
      <c r="AR179" s="716">
        <v>40921</v>
      </c>
      <c r="AS179" s="413" t="s">
        <v>349</v>
      </c>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row>
    <row r="180" spans="1:102" s="308" customFormat="1" ht="15.75" hidden="1">
      <c r="A180" s="331"/>
      <c r="B180" s="321"/>
      <c r="C180" s="315" t="s">
        <v>261</v>
      </c>
      <c r="D180" s="322"/>
      <c r="E180" s="322"/>
      <c r="F180" s="312"/>
      <c r="G180" s="322"/>
      <c r="H180" s="313"/>
      <c r="I180" s="316" t="s">
        <v>54</v>
      </c>
      <c r="J180" s="203" t="s">
        <v>335</v>
      </c>
      <c r="K180" s="463" t="s">
        <v>338</v>
      </c>
      <c r="L180" s="462"/>
      <c r="M180" s="463" t="s">
        <v>335</v>
      </c>
      <c r="N180" s="464">
        <v>40830</v>
      </c>
      <c r="O180" s="465" t="s">
        <v>53</v>
      </c>
      <c r="P180" s="274">
        <v>142</v>
      </c>
      <c r="Q180" s="275">
        <v>1</v>
      </c>
      <c r="R180" s="275">
        <v>12</v>
      </c>
      <c r="S180" s="480">
        <v>652</v>
      </c>
      <c r="T180" s="481">
        <v>130</v>
      </c>
      <c r="U180" s="480">
        <v>750</v>
      </c>
      <c r="V180" s="481">
        <v>150</v>
      </c>
      <c r="W180" s="480">
        <v>1000</v>
      </c>
      <c r="X180" s="481">
        <v>200</v>
      </c>
      <c r="Y180" s="435">
        <f>SUM(S180+U180+W180)</f>
        <v>2402</v>
      </c>
      <c r="Z180" s="436">
        <f>T180+V180+X180</f>
        <v>480</v>
      </c>
      <c r="AA180" s="422">
        <f>IF(Y180&lt;&gt;0,Z180/Q180,"")</f>
        <v>480</v>
      </c>
      <c r="AB180" s="423">
        <f>IF(Y180&lt;&gt;0,Y180/Z180,"")</f>
        <v>5.004166666666666</v>
      </c>
      <c r="AC180" s="426"/>
      <c r="AD180" s="425">
        <f>IF(AC180&lt;&gt;0,-(AC180-Y180)/AC180,"")</f>
      </c>
      <c r="AE180" s="690">
        <f>AG180-Y180</f>
        <v>0</v>
      </c>
      <c r="AF180" s="691">
        <f>AH180-Z180</f>
        <v>0</v>
      </c>
      <c r="AG180" s="699">
        <v>2402</v>
      </c>
      <c r="AH180" s="700">
        <v>480</v>
      </c>
      <c r="AI180" s="692">
        <f>Z180*1/AH180</f>
        <v>1</v>
      </c>
      <c r="AJ180" s="692">
        <f>AF180*1/AH180</f>
        <v>0</v>
      </c>
      <c r="AK180" s="691">
        <f>AH180/Q180</f>
        <v>480</v>
      </c>
      <c r="AL180" s="693">
        <f>AG180/AH180</f>
        <v>5.004166666666666</v>
      </c>
      <c r="AM180" s="695">
        <v>2402</v>
      </c>
      <c r="AN180" s="692">
        <f>IF(AM180&lt;&gt;0,-(AM180-AG180)/AM180,"")</f>
        <v>0</v>
      </c>
      <c r="AO180" s="261">
        <f>248732+139942.5+41015.5+4968+2270+1973+10279+6007+1097+295+261+2402</f>
        <v>459242</v>
      </c>
      <c r="AP180" s="262">
        <f>33636+19210+5940+800+378+422+1552+983+159+45+36+480</f>
        <v>63641</v>
      </c>
      <c r="AQ180" s="452">
        <f>AO180/AP180</f>
        <v>7.216134253075848</v>
      </c>
      <c r="AR180" s="716">
        <v>40914</v>
      </c>
      <c r="AS180" s="413" t="s">
        <v>349</v>
      </c>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row>
    <row r="181" spans="1:102" s="308" customFormat="1" ht="15.75" hidden="1">
      <c r="A181" s="331"/>
      <c r="B181" s="311"/>
      <c r="C181" s="315" t="s">
        <v>261</v>
      </c>
      <c r="D181" s="324" t="s">
        <v>223</v>
      </c>
      <c r="E181" s="312"/>
      <c r="F181" s="717"/>
      <c r="G181" s="323" t="s">
        <v>292</v>
      </c>
      <c r="H181" s="317" t="s">
        <v>55</v>
      </c>
      <c r="I181" s="314"/>
      <c r="J181" s="207" t="s">
        <v>358</v>
      </c>
      <c r="K181" s="466" t="s">
        <v>360</v>
      </c>
      <c r="L181" s="461" t="s">
        <v>89</v>
      </c>
      <c r="M181" s="466" t="s">
        <v>359</v>
      </c>
      <c r="N181" s="464">
        <v>39829</v>
      </c>
      <c r="O181" s="465" t="s">
        <v>68</v>
      </c>
      <c r="P181" s="258">
        <v>65</v>
      </c>
      <c r="Q181" s="259">
        <v>1</v>
      </c>
      <c r="R181" s="259">
        <v>44</v>
      </c>
      <c r="S181" s="554"/>
      <c r="T181" s="555"/>
      <c r="U181" s="554"/>
      <c r="V181" s="555"/>
      <c r="W181" s="554"/>
      <c r="X181" s="555"/>
      <c r="Y181" s="435">
        <f>SUM(S181+U181+W181)</f>
        <v>0</v>
      </c>
      <c r="Z181" s="436">
        <f>T181+V181+X181</f>
        <v>0</v>
      </c>
      <c r="AA181" s="422">
        <f>IF(Y181&lt;&gt;0,Z181/Q181,"")</f>
      </c>
      <c r="AB181" s="423">
        <f>IF(Y181&lt;&gt;0,Y181/Z181,"")</f>
      </c>
      <c r="AC181" s="426"/>
      <c r="AD181" s="425">
        <f>IF(AC181&lt;&gt;0,-(AC181-Y181)/AC181,"")</f>
      </c>
      <c r="AE181" s="690">
        <f>AG181-Y181</f>
        <v>1424</v>
      </c>
      <c r="AF181" s="691">
        <f>AH181-Z181</f>
        <v>356</v>
      </c>
      <c r="AG181" s="705">
        <v>1424</v>
      </c>
      <c r="AH181" s="706">
        <v>356</v>
      </c>
      <c r="AI181" s="692">
        <f>Z181*1/AH181</f>
        <v>0</v>
      </c>
      <c r="AJ181" s="692">
        <f>AF181*1/AH181</f>
        <v>1</v>
      </c>
      <c r="AK181" s="691">
        <f>AH181/Q181</f>
        <v>356</v>
      </c>
      <c r="AL181" s="693">
        <f>AG181/AH181</f>
        <v>4</v>
      </c>
      <c r="AM181" s="694">
        <v>1424</v>
      </c>
      <c r="AN181" s="692">
        <f>IF(AM181&lt;&gt;0,-(AM181-AG181)/AM181,"")</f>
        <v>0</v>
      </c>
      <c r="AO181" s="270">
        <f>237023+244842+160469+47021+21536+18820+18020.5+26440+10695+9162.5+9870+6322+1787+2032+757+348+420.5+158+4053+339.5+3161.5+1729.5+752+1417+1780+64+1208+952+552+139.5+544+40+8072+1780+1424+1780+440+1780+1188+2612+952+712+4276+1424</f>
        <v>858895.5</v>
      </c>
      <c r="AP181" s="272">
        <f>25678+28966+21290+6590+4890+3520+3479+4786+1907+1716+2388+1533+368+541+126+70+67+48+991+81+743+414+155+169+445+16+302+238+117+23+48+12+2018+445+356+445+55+445+297+653+238+178+1069+356</f>
        <v>118272</v>
      </c>
      <c r="AQ181" s="452">
        <f>AO181/AP181</f>
        <v>7.262035815746753</v>
      </c>
      <c r="AR181" s="716">
        <v>40914</v>
      </c>
      <c r="AS181" s="413" t="s">
        <v>349</v>
      </c>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row>
    <row r="182" spans="1:102" s="308" customFormat="1" ht="15.75" hidden="1">
      <c r="A182" s="331"/>
      <c r="B182" s="312"/>
      <c r="C182" s="315" t="s">
        <v>261</v>
      </c>
      <c r="D182" s="324" t="s">
        <v>223</v>
      </c>
      <c r="E182" s="313"/>
      <c r="F182" s="327">
        <v>2</v>
      </c>
      <c r="G182" s="312"/>
      <c r="H182" s="312"/>
      <c r="I182" s="313"/>
      <c r="J182" s="205" t="s">
        <v>346</v>
      </c>
      <c r="K182" s="462" t="s">
        <v>91</v>
      </c>
      <c r="L182" s="469" t="s">
        <v>94</v>
      </c>
      <c r="M182" s="469" t="s">
        <v>346</v>
      </c>
      <c r="N182" s="464">
        <v>40648</v>
      </c>
      <c r="O182" s="465" t="s">
        <v>12</v>
      </c>
      <c r="P182" s="258">
        <v>151</v>
      </c>
      <c r="Q182" s="259">
        <v>1</v>
      </c>
      <c r="R182" s="259">
        <v>30</v>
      </c>
      <c r="S182" s="480">
        <v>75</v>
      </c>
      <c r="T182" s="481">
        <v>15</v>
      </c>
      <c r="U182" s="480">
        <v>60</v>
      </c>
      <c r="V182" s="481">
        <v>12</v>
      </c>
      <c r="W182" s="480">
        <v>25</v>
      </c>
      <c r="X182" s="481">
        <v>5</v>
      </c>
      <c r="Y182" s="435">
        <f>SUM(S182+U182+W182)</f>
        <v>160</v>
      </c>
      <c r="Z182" s="436">
        <f>T182+V182+X182</f>
        <v>32</v>
      </c>
      <c r="AA182" s="422">
        <f>IF(Y182&lt;&gt;0,Z182/Q182,"")</f>
        <v>32</v>
      </c>
      <c r="AB182" s="423">
        <f>IF(Y182&lt;&gt;0,Y182/Z182,"")</f>
        <v>5</v>
      </c>
      <c r="AC182" s="426"/>
      <c r="AD182" s="425">
        <f>IF(AC182&lt;&gt;0,-(AC182-Y182)/AC182,"")</f>
      </c>
      <c r="AE182" s="690">
        <f>AG182-Y182</f>
        <v>455</v>
      </c>
      <c r="AF182" s="691">
        <f>AH182-Z182</f>
        <v>91</v>
      </c>
      <c r="AG182" s="699">
        <v>615</v>
      </c>
      <c r="AH182" s="700">
        <v>123</v>
      </c>
      <c r="AI182" s="692">
        <f>Z182*1/AH182</f>
        <v>0.2601626016260163</v>
      </c>
      <c r="AJ182" s="692">
        <f>AF182*1/AH182</f>
        <v>0.7398373983739838</v>
      </c>
      <c r="AK182" s="691">
        <f>AH182/Q182</f>
        <v>123</v>
      </c>
      <c r="AL182" s="693">
        <f>AG182/AH182</f>
        <v>5</v>
      </c>
      <c r="AM182" s="695">
        <v>615</v>
      </c>
      <c r="AN182" s="692">
        <f>IF(AM182&lt;&gt;0,-(AM182-AG182)/AM182,"")</f>
        <v>0</v>
      </c>
      <c r="AO182" s="261">
        <v>1956708</v>
      </c>
      <c r="AP182" s="262">
        <v>218938</v>
      </c>
      <c r="AQ182" s="452">
        <f>AO182/AP182</f>
        <v>8.93726991202989</v>
      </c>
      <c r="AR182" s="716">
        <v>40914</v>
      </c>
      <c r="AS182" s="413" t="s">
        <v>349</v>
      </c>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row>
    <row r="183" spans="1:102" s="308" customFormat="1" ht="15.75" hidden="1">
      <c r="A183" s="331"/>
      <c r="B183" s="321"/>
      <c r="C183" s="315" t="s">
        <v>261</v>
      </c>
      <c r="D183" s="322"/>
      <c r="E183" s="322"/>
      <c r="F183" s="312"/>
      <c r="G183" s="322"/>
      <c r="H183" s="313"/>
      <c r="I183" s="316" t="s">
        <v>54</v>
      </c>
      <c r="J183" s="203" t="s">
        <v>66</v>
      </c>
      <c r="K183" s="463" t="s">
        <v>81</v>
      </c>
      <c r="L183" s="463"/>
      <c r="M183" s="463" t="s">
        <v>66</v>
      </c>
      <c r="N183" s="464">
        <v>40844</v>
      </c>
      <c r="O183" s="465" t="s">
        <v>53</v>
      </c>
      <c r="P183" s="266">
        <v>245</v>
      </c>
      <c r="Q183" s="275">
        <v>1</v>
      </c>
      <c r="R183" s="275">
        <v>11</v>
      </c>
      <c r="S183" s="480">
        <v>14</v>
      </c>
      <c r="T183" s="481">
        <v>2</v>
      </c>
      <c r="U183" s="480">
        <v>195</v>
      </c>
      <c r="V183" s="481">
        <v>32</v>
      </c>
      <c r="W183" s="480">
        <v>142</v>
      </c>
      <c r="X183" s="481">
        <v>22</v>
      </c>
      <c r="Y183" s="435">
        <f>SUM(S183+U183+W183)</f>
        <v>351</v>
      </c>
      <c r="Z183" s="436">
        <f>T183+V183+X183</f>
        <v>56</v>
      </c>
      <c r="AA183" s="422">
        <f>IF(Y183&lt;&gt;0,Z183/Q183,"")</f>
        <v>56</v>
      </c>
      <c r="AB183" s="423">
        <f>IF(Y183&lt;&gt;0,Y183/Z183,"")</f>
        <v>6.267857142857143</v>
      </c>
      <c r="AC183" s="426"/>
      <c r="AD183" s="425">
        <f>IF(AC183&lt;&gt;0,-(AC183-Y183)/AC183,"")</f>
      </c>
      <c r="AE183" s="690">
        <f>AG183-Y183</f>
        <v>222</v>
      </c>
      <c r="AF183" s="691">
        <f>AH183-Z183</f>
        <v>38</v>
      </c>
      <c r="AG183" s="699">
        <v>573</v>
      </c>
      <c r="AH183" s="700">
        <v>94</v>
      </c>
      <c r="AI183" s="692">
        <f>Z183*1/AH183</f>
        <v>0.5957446808510638</v>
      </c>
      <c r="AJ183" s="692">
        <f>AF183*1/AH183</f>
        <v>0.40425531914893614</v>
      </c>
      <c r="AK183" s="691">
        <f>AH183/Q183</f>
        <v>94</v>
      </c>
      <c r="AL183" s="693">
        <f>AG183/AH183</f>
        <v>6.095744680851064</v>
      </c>
      <c r="AM183" s="695">
        <v>573</v>
      </c>
      <c r="AN183" s="692">
        <f>IF(AM183&lt;&gt;0,-(AM183-AG183)/AM183,"")</f>
        <v>0</v>
      </c>
      <c r="AO183" s="261">
        <f>2095427.5+1865707+650031+295029.5+57559.5+69427+8354+22014.5+2923+1680+573</f>
        <v>5068726</v>
      </c>
      <c r="AP183" s="262">
        <f>212522+189875+68849+32548+6112+10910+1695+4739+564+262+94</f>
        <v>528170</v>
      </c>
      <c r="AQ183" s="452">
        <f>AO183/AP183</f>
        <v>9.596769979362705</v>
      </c>
      <c r="AR183" s="716">
        <v>40914</v>
      </c>
      <c r="AS183" s="413" t="s">
        <v>349</v>
      </c>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row>
    <row r="184" spans="1:102" s="308" customFormat="1" ht="15.75" hidden="1">
      <c r="A184" s="331"/>
      <c r="B184" s="311"/>
      <c r="C184" s="315" t="s">
        <v>261</v>
      </c>
      <c r="D184" s="312"/>
      <c r="E184" s="319">
        <v>3</v>
      </c>
      <c r="F184" s="318"/>
      <c r="G184" s="312"/>
      <c r="H184" s="313"/>
      <c r="I184" s="314"/>
      <c r="J184" s="207" t="s">
        <v>282</v>
      </c>
      <c r="K184" s="462" t="s">
        <v>281</v>
      </c>
      <c r="L184" s="461" t="s">
        <v>248</v>
      </c>
      <c r="M184" s="466" t="s">
        <v>280</v>
      </c>
      <c r="N184" s="464">
        <v>40767</v>
      </c>
      <c r="O184" s="465" t="s">
        <v>68</v>
      </c>
      <c r="P184" s="258">
        <v>39</v>
      </c>
      <c r="Q184" s="259">
        <v>1</v>
      </c>
      <c r="R184" s="259">
        <v>17</v>
      </c>
      <c r="S184" s="554">
        <v>0</v>
      </c>
      <c r="T184" s="555">
        <v>0</v>
      </c>
      <c r="U184" s="554">
        <v>0</v>
      </c>
      <c r="V184" s="555">
        <v>0</v>
      </c>
      <c r="W184" s="554">
        <v>0</v>
      </c>
      <c r="X184" s="555">
        <v>0</v>
      </c>
      <c r="Y184" s="435">
        <f>SUM(S184+U184+W184)</f>
        <v>0</v>
      </c>
      <c r="Z184" s="436">
        <f>T184+V184+X184</f>
        <v>0</v>
      </c>
      <c r="AA184" s="422">
        <f>IF(Y184&lt;&gt;0,Z184/Q184,"")</f>
      </c>
      <c r="AB184" s="423">
        <f>IF(Y184&lt;&gt;0,Y184/Z184,"")</f>
      </c>
      <c r="AC184" s="426"/>
      <c r="AD184" s="425">
        <f>IF(AC184&lt;&gt;0,-(AC184-Y184)/AC184,"")</f>
      </c>
      <c r="AE184" s="690">
        <f>AG184-Y184</f>
        <v>389.5</v>
      </c>
      <c r="AF184" s="691">
        <f>AH184-Z184</f>
        <v>56</v>
      </c>
      <c r="AG184" s="705">
        <v>389.5</v>
      </c>
      <c r="AH184" s="706">
        <v>56</v>
      </c>
      <c r="AI184" s="692">
        <f>Z184*1/AH184</f>
        <v>0</v>
      </c>
      <c r="AJ184" s="692">
        <f>AF184*1/AH184</f>
        <v>1</v>
      </c>
      <c r="AK184" s="691">
        <f>AH184/Q184</f>
        <v>56</v>
      </c>
      <c r="AL184" s="693">
        <f>AG184/AH184</f>
        <v>6.955357142857143</v>
      </c>
      <c r="AM184" s="694">
        <v>389.5</v>
      </c>
      <c r="AN184" s="692">
        <f>IF(AM184&lt;&gt;0,-(AM184-AG184)/AM184,"")</f>
        <v>0</v>
      </c>
      <c r="AO184" s="270">
        <f>227782+93706+36180+21819+14718.5+11547.5+9757.5+8598+8681+8538+4936.5+48+662+5495+26+1437+754.5+389.5</f>
        <v>455076</v>
      </c>
      <c r="AP184" s="272">
        <f>21125+9522+4298+2881+1947+1746+1401+1176+1202+1176+682+7+103+939+4+204+110+56</f>
        <v>48579</v>
      </c>
      <c r="AQ184" s="452">
        <f>AO184/AP184</f>
        <v>9.367751497560674</v>
      </c>
      <c r="AR184" s="716">
        <v>40914</v>
      </c>
      <c r="AS184" s="413" t="s">
        <v>349</v>
      </c>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row>
    <row r="185" spans="1:102" s="308" customFormat="1" ht="15.75" hidden="1">
      <c r="A185" s="331"/>
      <c r="B185" s="312"/>
      <c r="C185" s="315" t="s">
        <v>261</v>
      </c>
      <c r="D185" s="312"/>
      <c r="E185" s="312"/>
      <c r="F185" s="312"/>
      <c r="G185" s="312"/>
      <c r="H185" s="313"/>
      <c r="I185" s="313"/>
      <c r="J185" s="282" t="s">
        <v>541</v>
      </c>
      <c r="K185" s="465" t="s">
        <v>542</v>
      </c>
      <c r="L185" s="465" t="s">
        <v>79</v>
      </c>
      <c r="M185" s="465" t="s">
        <v>543</v>
      </c>
      <c r="N185" s="464">
        <v>40774</v>
      </c>
      <c r="O185" s="465" t="s">
        <v>13</v>
      </c>
      <c r="P185" s="258">
        <v>7</v>
      </c>
      <c r="Q185" s="259">
        <v>1</v>
      </c>
      <c r="R185" s="259">
        <v>17</v>
      </c>
      <c r="S185" s="261">
        <v>18</v>
      </c>
      <c r="T185" s="262">
        <v>3</v>
      </c>
      <c r="U185" s="261">
        <v>91</v>
      </c>
      <c r="V185" s="262">
        <v>15</v>
      </c>
      <c r="W185" s="261">
        <v>37</v>
      </c>
      <c r="X185" s="262">
        <v>6</v>
      </c>
      <c r="Y185" s="435">
        <f>SUM(S185+U185+W185)</f>
        <v>146</v>
      </c>
      <c r="Z185" s="436">
        <f>T185+V185+X185</f>
        <v>24</v>
      </c>
      <c r="AA185" s="422">
        <f>IF(Y185&lt;&gt;0,Z185/Q185,"")</f>
        <v>24</v>
      </c>
      <c r="AB185" s="423">
        <f>IF(Y185&lt;&gt;0,Y185/Z185,"")</f>
        <v>6.083333333333333</v>
      </c>
      <c r="AC185" s="426"/>
      <c r="AD185" s="425">
        <f>IF(AC185&lt;&gt;0,-(AC185-Y185)/AC185,"")</f>
      </c>
      <c r="AE185" s="690">
        <f>AG185-Y185</f>
        <v>180</v>
      </c>
      <c r="AF185" s="691">
        <f>AH185-Z185</f>
        <v>30</v>
      </c>
      <c r="AG185" s="699">
        <v>326</v>
      </c>
      <c r="AH185" s="700">
        <v>54</v>
      </c>
      <c r="AI185" s="692">
        <f>Z185*1/AH185</f>
        <v>0.4444444444444444</v>
      </c>
      <c r="AJ185" s="692">
        <f>AF185*1/AH185</f>
        <v>0.5555555555555556</v>
      </c>
      <c r="AK185" s="691">
        <f>AH185/Q185</f>
        <v>54</v>
      </c>
      <c r="AL185" s="693">
        <f>AG185/AH185</f>
        <v>6.037037037037037</v>
      </c>
      <c r="AM185" s="695">
        <v>326</v>
      </c>
      <c r="AN185" s="692">
        <f>IF(AM185&lt;&gt;0,-(AM185-AG185)/AM185,"")</f>
        <v>0</v>
      </c>
      <c r="AO185" s="261">
        <v>139204</v>
      </c>
      <c r="AP185" s="262">
        <v>17398</v>
      </c>
      <c r="AQ185" s="452">
        <f>AO185/AP185</f>
        <v>8.001149557420392</v>
      </c>
      <c r="AR185" s="716">
        <v>40914</v>
      </c>
      <c r="AS185" s="413" t="s">
        <v>349</v>
      </c>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row>
    <row r="186" spans="1:102" s="308" customFormat="1" ht="15.75" hidden="1">
      <c r="A186" s="331"/>
      <c r="B186" s="718"/>
      <c r="C186" s="315" t="s">
        <v>261</v>
      </c>
      <c r="D186" s="312"/>
      <c r="E186" s="319">
        <v>3</v>
      </c>
      <c r="F186" s="312"/>
      <c r="G186" s="312"/>
      <c r="H186" s="313"/>
      <c r="I186" s="320"/>
      <c r="J186" s="209" t="s">
        <v>167</v>
      </c>
      <c r="K186" s="462" t="s">
        <v>170</v>
      </c>
      <c r="L186" s="470" t="s">
        <v>99</v>
      </c>
      <c r="M186" s="461" t="s">
        <v>169</v>
      </c>
      <c r="N186" s="467">
        <v>40872</v>
      </c>
      <c r="O186" s="465" t="s">
        <v>52</v>
      </c>
      <c r="P186" s="278">
        <v>21</v>
      </c>
      <c r="Q186" s="271">
        <v>1</v>
      </c>
      <c r="R186" s="271">
        <v>6</v>
      </c>
      <c r="S186" s="268">
        <v>14</v>
      </c>
      <c r="T186" s="269">
        <v>2</v>
      </c>
      <c r="U186" s="268">
        <v>0</v>
      </c>
      <c r="V186" s="269">
        <v>0</v>
      </c>
      <c r="W186" s="268">
        <v>84</v>
      </c>
      <c r="X186" s="269">
        <v>12</v>
      </c>
      <c r="Y186" s="435">
        <f>SUM(S186+U186+W186)</f>
        <v>98</v>
      </c>
      <c r="Z186" s="436">
        <f>T186+V186+X186</f>
        <v>14</v>
      </c>
      <c r="AA186" s="422">
        <f>IF(Y186&lt;&gt;0,Z186/Q186,"")</f>
        <v>14</v>
      </c>
      <c r="AB186" s="423">
        <f>IF(Y186&lt;&gt;0,Y186/Z186,"")</f>
        <v>7</v>
      </c>
      <c r="AC186" s="426"/>
      <c r="AD186" s="425">
        <f>IF(AC186&lt;&gt;0,-(AC186-Y186)/AC186,"")</f>
      </c>
      <c r="AE186" s="690">
        <f>AG186-Y186</f>
        <v>146</v>
      </c>
      <c r="AF186" s="691">
        <f>AH186-Z186</f>
        <v>22</v>
      </c>
      <c r="AG186" s="703">
        <v>244</v>
      </c>
      <c r="AH186" s="704">
        <v>36</v>
      </c>
      <c r="AI186" s="692">
        <f>Z186*1/AH186</f>
        <v>0.3888888888888889</v>
      </c>
      <c r="AJ186" s="692">
        <f>AF186*1/AH186</f>
        <v>0.6111111111111112</v>
      </c>
      <c r="AK186" s="691">
        <f>AH186/Q186</f>
        <v>36</v>
      </c>
      <c r="AL186" s="693">
        <f>AG186/AH186</f>
        <v>6.777777777777778</v>
      </c>
      <c r="AM186" s="696">
        <v>244</v>
      </c>
      <c r="AN186" s="692">
        <f>IF(AM186&lt;&gt;0,-(AM186-AG186)/AM186,"")</f>
        <v>0</v>
      </c>
      <c r="AO186" s="329">
        <f>48871+740+512+11538+3616.5+244</f>
        <v>65521.5</v>
      </c>
      <c r="AP186" s="262">
        <f>5142+80+52+1109+459+36</f>
        <v>6878</v>
      </c>
      <c r="AQ186" s="452">
        <f>AO186/AP186</f>
        <v>9.526243093922652</v>
      </c>
      <c r="AR186" s="716">
        <v>40914</v>
      </c>
      <c r="AS186" s="413" t="s">
        <v>349</v>
      </c>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row>
    <row r="187" spans="1:102" s="308" customFormat="1" ht="15.75" hidden="1">
      <c r="A187" s="331"/>
      <c r="B187" s="312"/>
      <c r="C187" s="315" t="s">
        <v>261</v>
      </c>
      <c r="D187" s="322"/>
      <c r="E187" s="322"/>
      <c r="F187" s="312"/>
      <c r="G187" s="322"/>
      <c r="H187" s="313"/>
      <c r="I187" s="313"/>
      <c r="J187" s="203" t="s">
        <v>544</v>
      </c>
      <c r="K187" s="463" t="s">
        <v>96</v>
      </c>
      <c r="L187" s="465" t="s">
        <v>95</v>
      </c>
      <c r="M187" s="463" t="s">
        <v>545</v>
      </c>
      <c r="N187" s="464">
        <v>40837</v>
      </c>
      <c r="O187" s="465" t="s">
        <v>10</v>
      </c>
      <c r="P187" s="278">
        <v>79</v>
      </c>
      <c r="Q187" s="271">
        <v>1</v>
      </c>
      <c r="R187" s="271">
        <v>10</v>
      </c>
      <c r="S187" s="268">
        <v>0</v>
      </c>
      <c r="T187" s="269">
        <v>0</v>
      </c>
      <c r="U187" s="268">
        <v>35</v>
      </c>
      <c r="V187" s="269">
        <v>5</v>
      </c>
      <c r="W187" s="268">
        <v>0</v>
      </c>
      <c r="X187" s="269">
        <v>0</v>
      </c>
      <c r="Y187" s="435">
        <f>SUM(S187+U187+W187)</f>
        <v>35</v>
      </c>
      <c r="Z187" s="436">
        <f>T187+V187+X187</f>
        <v>5</v>
      </c>
      <c r="AA187" s="422">
        <f>IF(Y187&lt;&gt;0,Z187/Q187,"")</f>
        <v>5</v>
      </c>
      <c r="AB187" s="423">
        <f>IF(Y187&lt;&gt;0,Y187/Z187,"")</f>
        <v>7</v>
      </c>
      <c r="AC187" s="426"/>
      <c r="AD187" s="425">
        <f>IF(AC187&lt;&gt;0,-(AC187-Y187)/AC187,"")</f>
      </c>
      <c r="AE187" s="690">
        <f>AG187-Y187</f>
        <v>86</v>
      </c>
      <c r="AF187" s="691">
        <f>AH187-Z187</f>
        <v>13</v>
      </c>
      <c r="AG187" s="701">
        <v>121</v>
      </c>
      <c r="AH187" s="702">
        <v>18</v>
      </c>
      <c r="AI187" s="692">
        <f>Z187*1/AH187</f>
        <v>0.2777777777777778</v>
      </c>
      <c r="AJ187" s="692">
        <f>AF187*1/AH187</f>
        <v>0.7222222222222222</v>
      </c>
      <c r="AK187" s="691">
        <f>AH187/Q187</f>
        <v>18</v>
      </c>
      <c r="AL187" s="693">
        <f>AG187/AH187</f>
        <v>6.722222222222222</v>
      </c>
      <c r="AM187" s="694">
        <v>121</v>
      </c>
      <c r="AN187" s="692">
        <f>IF(AM187&lt;&gt;0,-(AM187-AG187)/AM187,"")</f>
        <v>0</v>
      </c>
      <c r="AO187" s="268">
        <v>1094365</v>
      </c>
      <c r="AP187" s="269">
        <v>100179</v>
      </c>
      <c r="AQ187" s="452">
        <f>AO187/AP187</f>
        <v>10.924095868395572</v>
      </c>
      <c r="AR187" s="716">
        <v>40914</v>
      </c>
      <c r="AS187" s="413" t="s">
        <v>349</v>
      </c>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row>
    <row r="188" spans="1:102" s="308" customFormat="1" ht="15.75" hidden="1">
      <c r="A188" s="331"/>
      <c r="B188" s="311"/>
      <c r="C188" s="312"/>
      <c r="D188" s="312"/>
      <c r="E188" s="312"/>
      <c r="F188" s="312"/>
      <c r="G188" s="312"/>
      <c r="H188" s="317" t="s">
        <v>55</v>
      </c>
      <c r="I188" s="313"/>
      <c r="J188" s="211" t="s">
        <v>157</v>
      </c>
      <c r="K188" s="465" t="s">
        <v>163</v>
      </c>
      <c r="L188" s="465" t="s">
        <v>128</v>
      </c>
      <c r="M188" s="465" t="s">
        <v>160</v>
      </c>
      <c r="N188" s="464">
        <v>40907</v>
      </c>
      <c r="O188" s="465" t="s">
        <v>13</v>
      </c>
      <c r="P188" s="258">
        <v>2</v>
      </c>
      <c r="Q188" s="259">
        <v>1</v>
      </c>
      <c r="R188" s="259">
        <v>2</v>
      </c>
      <c r="S188" s="261">
        <v>74</v>
      </c>
      <c r="T188" s="262">
        <v>7</v>
      </c>
      <c r="U188" s="261">
        <v>46</v>
      </c>
      <c r="V188" s="262">
        <v>4</v>
      </c>
      <c r="W188" s="261">
        <v>0</v>
      </c>
      <c r="X188" s="262">
        <v>0</v>
      </c>
      <c r="Y188" s="435">
        <f>SUM(S188+U188+W188)</f>
        <v>120</v>
      </c>
      <c r="Z188" s="436">
        <f>T188+V188+X188</f>
        <v>11</v>
      </c>
      <c r="AA188" s="422">
        <f>IF(Y188&lt;&gt;0,Z188/Q188,"")</f>
        <v>11</v>
      </c>
      <c r="AB188" s="423">
        <f>IF(Y188&lt;&gt;0,Y188/Z188,"")</f>
        <v>10.909090909090908</v>
      </c>
      <c r="AC188" s="426"/>
      <c r="AD188" s="425">
        <f>IF(AC188&lt;&gt;0,-(AC188-Y188)/AC188,"")</f>
      </c>
      <c r="AE188" s="690">
        <f>AG188-Y188</f>
        <v>0</v>
      </c>
      <c r="AF188" s="691">
        <f>AH188-Z188</f>
        <v>0</v>
      </c>
      <c r="AG188" s="699">
        <v>120</v>
      </c>
      <c r="AH188" s="700">
        <v>11</v>
      </c>
      <c r="AI188" s="692">
        <f>Z188*1/AH188</f>
        <v>1</v>
      </c>
      <c r="AJ188" s="692">
        <f>AF188*1/AH188</f>
        <v>0</v>
      </c>
      <c r="AK188" s="691">
        <f>AH188/Q188</f>
        <v>11</v>
      </c>
      <c r="AL188" s="693">
        <f>AG188/AH188</f>
        <v>10.909090909090908</v>
      </c>
      <c r="AM188" s="695">
        <v>120</v>
      </c>
      <c r="AN188" s="692">
        <f>IF(AM188&lt;&gt;0,-(AM188-AG188)/AM188,"")</f>
        <v>0</v>
      </c>
      <c r="AO188" s="261">
        <v>2965</v>
      </c>
      <c r="AP188" s="262">
        <v>448</v>
      </c>
      <c r="AQ188" s="452">
        <f>AO188/AP188</f>
        <v>6.618303571428571</v>
      </c>
      <c r="AR188" s="716">
        <v>40914</v>
      </c>
      <c r="AS188" s="413" t="s">
        <v>349</v>
      </c>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row>
    <row r="189" spans="1:102" s="308" customFormat="1" ht="15.75" hidden="1">
      <c r="A189" s="331"/>
      <c r="B189" s="311"/>
      <c r="C189" s="315" t="s">
        <v>261</v>
      </c>
      <c r="D189" s="312"/>
      <c r="E189" s="312"/>
      <c r="F189" s="312"/>
      <c r="G189" s="312"/>
      <c r="H189" s="313"/>
      <c r="I189" s="314"/>
      <c r="J189" s="207" t="s">
        <v>551</v>
      </c>
      <c r="K189" s="466" t="s">
        <v>552</v>
      </c>
      <c r="L189" s="461" t="s">
        <v>128</v>
      </c>
      <c r="M189" s="466" t="s">
        <v>553</v>
      </c>
      <c r="N189" s="464">
        <v>40613</v>
      </c>
      <c r="O189" s="465" t="s">
        <v>68</v>
      </c>
      <c r="P189" s="258">
        <v>22</v>
      </c>
      <c r="Q189" s="259">
        <v>1</v>
      </c>
      <c r="R189" s="259">
        <v>18</v>
      </c>
      <c r="S189" s="554"/>
      <c r="T189" s="555"/>
      <c r="U189" s="554"/>
      <c r="V189" s="555"/>
      <c r="W189" s="554"/>
      <c r="X189" s="555"/>
      <c r="Y189" s="435">
        <f>SUM(S189+U189+W189)</f>
        <v>0</v>
      </c>
      <c r="Z189" s="436">
        <f>T189+V189+X189</f>
        <v>0</v>
      </c>
      <c r="AA189" s="422">
        <f>IF(Y189&lt;&gt;0,Z189/Q189,"")</f>
      </c>
      <c r="AB189" s="423">
        <f>IF(Y189&lt;&gt;0,Y189/Z189,"")</f>
      </c>
      <c r="AC189" s="426"/>
      <c r="AD189" s="425">
        <f>IF(AC189&lt;&gt;0,-(AC189-Y189)/AC189,"")</f>
      </c>
      <c r="AE189" s="690">
        <f>AG189-Y189</f>
        <v>5</v>
      </c>
      <c r="AF189" s="691">
        <f>AH189-Z189</f>
        <v>1</v>
      </c>
      <c r="AG189" s="705">
        <v>5</v>
      </c>
      <c r="AH189" s="706">
        <v>1</v>
      </c>
      <c r="AI189" s="692">
        <f>Z189*1/AH189</f>
        <v>0</v>
      </c>
      <c r="AJ189" s="692">
        <f>AF189*1/AH189</f>
        <v>1</v>
      </c>
      <c r="AK189" s="691">
        <f>AH189/Q189</f>
        <v>1</v>
      </c>
      <c r="AL189" s="693">
        <f>AG189/AH189</f>
        <v>5</v>
      </c>
      <c r="AM189" s="694">
        <v>5</v>
      </c>
      <c r="AN189" s="692">
        <f>IF(AM189&lt;&gt;0,-(AM189-AG189)/AM189,"")</f>
        <v>0</v>
      </c>
      <c r="AO189" s="270">
        <f>116753+45641.5+1507+3664+4533+723.5+456.5+2184+2545+520.5+610+1419+1872+2025.5+1249+6798+2626.5+5</f>
        <v>195133</v>
      </c>
      <c r="AP189" s="272">
        <f>8727+3759+162+393+667+140+67+296+333+73+92+210+173+255+140+905+299+1</f>
        <v>16692</v>
      </c>
      <c r="AQ189" s="452">
        <f>AO189/AP189</f>
        <v>11.690210879463216</v>
      </c>
      <c r="AR189" s="716">
        <v>40914</v>
      </c>
      <c r="AS189" s="413" t="s">
        <v>349</v>
      </c>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row>
    <row r="190" spans="1:102" s="308" customFormat="1" ht="15.75" hidden="1">
      <c r="A190" s="331"/>
      <c r="B190" s="311"/>
      <c r="C190" s="315" t="s">
        <v>261</v>
      </c>
      <c r="D190" s="312"/>
      <c r="E190" s="312"/>
      <c r="F190" s="312"/>
      <c r="G190" s="312"/>
      <c r="H190" s="313"/>
      <c r="I190" s="313"/>
      <c r="J190" s="207" t="s">
        <v>268</v>
      </c>
      <c r="K190" s="466" t="s">
        <v>275</v>
      </c>
      <c r="L190" s="461" t="s">
        <v>273</v>
      </c>
      <c r="M190" s="466" t="s">
        <v>285</v>
      </c>
      <c r="N190" s="464">
        <v>40641</v>
      </c>
      <c r="O190" s="465" t="s">
        <v>68</v>
      </c>
      <c r="P190" s="258">
        <v>22</v>
      </c>
      <c r="Q190" s="259">
        <v>1</v>
      </c>
      <c r="R190" s="259">
        <v>21</v>
      </c>
      <c r="S190" s="554">
        <v>0</v>
      </c>
      <c r="T190" s="555">
        <v>0</v>
      </c>
      <c r="U190" s="554">
        <v>0</v>
      </c>
      <c r="V190" s="555">
        <v>0</v>
      </c>
      <c r="W190" s="554">
        <v>0</v>
      </c>
      <c r="X190" s="555">
        <v>0</v>
      </c>
      <c r="Y190" s="435">
        <f>SUM(S190+U190+W190)</f>
        <v>0</v>
      </c>
      <c r="Z190" s="436">
        <f>T190+V190+X190</f>
        <v>0</v>
      </c>
      <c r="AA190" s="422">
        <f>IF(Y190&lt;&gt;0,Z190/Q190,"")</f>
      </c>
      <c r="AB190" s="423">
        <f>IF(Y190&lt;&gt;0,Y190/Z190,"")</f>
      </c>
      <c r="AC190" s="426"/>
      <c r="AD190" s="425">
        <f>IF(AC190&lt;&gt;0,-(AC190-Y190)/AC190,"")</f>
      </c>
      <c r="AE190" s="690">
        <f>AG190-Y190</f>
        <v>3801.5</v>
      </c>
      <c r="AF190" s="691">
        <f>AH190-Z190</f>
        <v>950</v>
      </c>
      <c r="AG190" s="705">
        <v>3801.5</v>
      </c>
      <c r="AH190" s="706">
        <v>950</v>
      </c>
      <c r="AI190" s="692">
        <f>Z190*1/AH190</f>
        <v>0</v>
      </c>
      <c r="AJ190" s="692">
        <f>AF190*1/AH190</f>
        <v>1</v>
      </c>
      <c r="AK190" s="691">
        <f>AH190/Q190</f>
        <v>950</v>
      </c>
      <c r="AL190" s="693">
        <f>AG190/AH190</f>
        <v>4.001578947368421</v>
      </c>
      <c r="AM190" s="694">
        <v>3801.5</v>
      </c>
      <c r="AN190" s="692">
        <f>IF(AM190&lt;&gt;0,-(AM190-AG190)/AM190,"")</f>
        <v>0</v>
      </c>
      <c r="AO190" s="270">
        <f>116634.25+59106.5+23134.5+13753.5+15970+8455.5+1576+1761+10125.5+2018+2376+1505+1606+4951.5+5289.5+5175+120+1367+4606+1218+3801.5</f>
        <v>284550.25</v>
      </c>
      <c r="AP190" s="272">
        <f>8833+4531+2274+1803+2249+1097+201+284+1149+305+594+210+182+582+643+704+20+163+464+300+950</f>
        <v>27538</v>
      </c>
      <c r="AQ190" s="452">
        <f>AO190/AP190</f>
        <v>10.333003486091945</v>
      </c>
      <c r="AR190" s="716">
        <v>40907</v>
      </c>
      <c r="AS190" s="413" t="s">
        <v>349</v>
      </c>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row>
    <row r="191" spans="1:102" s="308" customFormat="1" ht="15.75" hidden="1">
      <c r="A191" s="331"/>
      <c r="B191" s="321"/>
      <c r="C191" s="315" t="s">
        <v>261</v>
      </c>
      <c r="D191" s="324" t="s">
        <v>223</v>
      </c>
      <c r="E191" s="322"/>
      <c r="F191" s="312"/>
      <c r="G191" s="325"/>
      <c r="H191" s="317" t="s">
        <v>55</v>
      </c>
      <c r="I191" s="320"/>
      <c r="J191" s="203" t="s">
        <v>266</v>
      </c>
      <c r="K191" s="463" t="s">
        <v>422</v>
      </c>
      <c r="L191" s="462" t="s">
        <v>186</v>
      </c>
      <c r="M191" s="463" t="s">
        <v>267</v>
      </c>
      <c r="N191" s="467">
        <v>39073</v>
      </c>
      <c r="O191" s="465" t="s">
        <v>53</v>
      </c>
      <c r="P191" s="274">
        <v>51</v>
      </c>
      <c r="Q191" s="275">
        <v>1</v>
      </c>
      <c r="R191" s="275">
        <v>20</v>
      </c>
      <c r="S191" s="261">
        <v>0</v>
      </c>
      <c r="T191" s="262">
        <v>0</v>
      </c>
      <c r="U191" s="261">
        <v>0</v>
      </c>
      <c r="V191" s="262">
        <v>0</v>
      </c>
      <c r="W191" s="261">
        <v>0</v>
      </c>
      <c r="X191" s="262">
        <v>0</v>
      </c>
      <c r="Y191" s="435">
        <f>SUM(S191+U191+W191)</f>
        <v>0</v>
      </c>
      <c r="Z191" s="436">
        <f>T191+V191+X191</f>
        <v>0</v>
      </c>
      <c r="AA191" s="422">
        <f>IF(Y191&lt;&gt;0,Z191/Q191,"")</f>
      </c>
      <c r="AB191" s="423">
        <f>IF(Y191&lt;&gt;0,Y191/Z191,"")</f>
      </c>
      <c r="AC191" s="426"/>
      <c r="AD191" s="425">
        <f>IF(AC191&lt;&gt;0,-(AC191-Y191)/AC191,"")</f>
      </c>
      <c r="AE191" s="690">
        <f>AG191-Y191</f>
        <v>1201</v>
      </c>
      <c r="AF191" s="691">
        <f>AH191-Z191</f>
        <v>240</v>
      </c>
      <c r="AG191" s="699">
        <v>1201</v>
      </c>
      <c r="AH191" s="700">
        <v>240</v>
      </c>
      <c r="AI191" s="692">
        <f>Z191*1/AH191</f>
        <v>0</v>
      </c>
      <c r="AJ191" s="692">
        <f>AF191*1/AH191</f>
        <v>1</v>
      </c>
      <c r="AK191" s="691">
        <f>AH191/Q191</f>
        <v>240</v>
      </c>
      <c r="AL191" s="693">
        <f>AG191/AH191</f>
        <v>5.004166666666666</v>
      </c>
      <c r="AM191" s="695">
        <v>1201</v>
      </c>
      <c r="AN191" s="692">
        <f>IF(AM191&lt;&gt;0,-(AM191-AG191)/AM191,"")</f>
        <v>0</v>
      </c>
      <c r="AO191" s="261">
        <f>145565+155630+55982+15271+7453.5+9440+11300.5+7141.5+2772.5+2945+30+431+4621+226+400+118+79+0+1201</f>
        <v>420607</v>
      </c>
      <c r="AP191" s="262">
        <f>17748+18932+7628+2641+1317+1724+2010+1184+553+655+5+131+1001+24+110+22+13+0+240</f>
        <v>55938</v>
      </c>
      <c r="AQ191" s="452">
        <f>AO191/AP191</f>
        <v>7.519164074511066</v>
      </c>
      <c r="AR191" s="716">
        <v>40907</v>
      </c>
      <c r="AS191" s="413" t="s">
        <v>349</v>
      </c>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row>
    <row r="192" spans="1:102" s="308" customFormat="1" ht="15.75" hidden="1">
      <c r="A192" s="331"/>
      <c r="B192" s="311"/>
      <c r="C192" s="315" t="s">
        <v>261</v>
      </c>
      <c r="D192" s="312"/>
      <c r="E192" s="312"/>
      <c r="F192" s="312"/>
      <c r="G192" s="312"/>
      <c r="H192" s="313"/>
      <c r="I192" s="313"/>
      <c r="J192" s="282" t="s">
        <v>249</v>
      </c>
      <c r="K192" s="465" t="s">
        <v>250</v>
      </c>
      <c r="L192" s="465" t="s">
        <v>79</v>
      </c>
      <c r="M192" s="465" t="s">
        <v>243</v>
      </c>
      <c r="N192" s="467">
        <v>40718</v>
      </c>
      <c r="O192" s="465" t="s">
        <v>13</v>
      </c>
      <c r="P192" s="258">
        <v>5</v>
      </c>
      <c r="Q192" s="259">
        <v>1</v>
      </c>
      <c r="R192" s="259">
        <v>14</v>
      </c>
      <c r="S192" s="261">
        <v>0</v>
      </c>
      <c r="T192" s="262">
        <v>0</v>
      </c>
      <c r="U192" s="261">
        <v>0</v>
      </c>
      <c r="V192" s="262">
        <v>0</v>
      </c>
      <c r="W192" s="261">
        <v>0</v>
      </c>
      <c r="X192" s="262">
        <v>0</v>
      </c>
      <c r="Y192" s="435">
        <f>SUM(S192+U192+W192)</f>
        <v>0</v>
      </c>
      <c r="Z192" s="436">
        <f>T192+V192+X192</f>
        <v>0</v>
      </c>
      <c r="AA192" s="422">
        <f>IF(Y192&lt;&gt;0,Z192/Q192,"")</f>
      </c>
      <c r="AB192" s="423">
        <f>IF(Y192&lt;&gt;0,Y192/Z192,"")</f>
      </c>
      <c r="AC192" s="426"/>
      <c r="AD192" s="425">
        <f>IF(AC192&lt;&gt;0,-(AC192-Y192)/AC192,"")</f>
      </c>
      <c r="AE192" s="690">
        <f>AG192-Y192</f>
        <v>1188</v>
      </c>
      <c r="AF192" s="691">
        <f>AH192-Z192</f>
        <v>237</v>
      </c>
      <c r="AG192" s="699">
        <v>1188</v>
      </c>
      <c r="AH192" s="700">
        <v>237</v>
      </c>
      <c r="AI192" s="692">
        <f>Z192*1/AH192</f>
        <v>0</v>
      </c>
      <c r="AJ192" s="692">
        <f>AF192*1/AH192</f>
        <v>1</v>
      </c>
      <c r="AK192" s="691">
        <f>AH192/Q192</f>
        <v>237</v>
      </c>
      <c r="AL192" s="693">
        <f>AG192/AH192</f>
        <v>5.012658227848101</v>
      </c>
      <c r="AM192" s="695">
        <v>1188</v>
      </c>
      <c r="AN192" s="692">
        <f>IF(AM192&lt;&gt;0,-(AM192-AG192)/AM192,"")</f>
        <v>0</v>
      </c>
      <c r="AO192" s="261">
        <v>30216.25</v>
      </c>
      <c r="AP192" s="262">
        <v>3201</v>
      </c>
      <c r="AQ192" s="452">
        <f>AO192/AP192</f>
        <v>9.439628241174633</v>
      </c>
      <c r="AR192" s="716">
        <v>40907</v>
      </c>
      <c r="AS192" s="413" t="s">
        <v>349</v>
      </c>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row>
    <row r="193" spans="1:102" s="308" customFormat="1" ht="15.75" hidden="1">
      <c r="A193" s="331"/>
      <c r="B193" s="311"/>
      <c r="C193" s="315" t="s">
        <v>261</v>
      </c>
      <c r="D193" s="312"/>
      <c r="E193" s="312"/>
      <c r="F193" s="312"/>
      <c r="G193" s="312"/>
      <c r="H193" s="313"/>
      <c r="I193" s="313"/>
      <c r="J193" s="282" t="s">
        <v>244</v>
      </c>
      <c r="K193" s="465" t="s">
        <v>247</v>
      </c>
      <c r="L193" s="465" t="s">
        <v>248</v>
      </c>
      <c r="M193" s="465" t="s">
        <v>245</v>
      </c>
      <c r="N193" s="464">
        <v>40753</v>
      </c>
      <c r="O193" s="465" t="s">
        <v>13</v>
      </c>
      <c r="P193" s="258">
        <v>3</v>
      </c>
      <c r="Q193" s="259">
        <v>1</v>
      </c>
      <c r="R193" s="259">
        <v>7</v>
      </c>
      <c r="S193" s="261">
        <v>0</v>
      </c>
      <c r="T193" s="262">
        <v>0</v>
      </c>
      <c r="U193" s="261">
        <v>0</v>
      </c>
      <c r="V193" s="262">
        <v>0</v>
      </c>
      <c r="W193" s="261">
        <v>0</v>
      </c>
      <c r="X193" s="262">
        <v>0</v>
      </c>
      <c r="Y193" s="435">
        <f>SUM(S193+U193+W193)</f>
        <v>0</v>
      </c>
      <c r="Z193" s="436">
        <f>T193+V193+X193</f>
        <v>0</v>
      </c>
      <c r="AA193" s="422">
        <f>IF(Y193&lt;&gt;0,Z193/Q193,"")</f>
      </c>
      <c r="AB193" s="423">
        <f>IF(Y193&lt;&gt;0,Y193/Z193,"")</f>
      </c>
      <c r="AC193" s="426"/>
      <c r="AD193" s="425">
        <f>IF(AC193&lt;&gt;0,-(AC193-Y193)/AC193,"")</f>
      </c>
      <c r="AE193" s="690">
        <f>AG193-Y193</f>
        <v>1188</v>
      </c>
      <c r="AF193" s="691">
        <f>AH193-Z193</f>
        <v>237</v>
      </c>
      <c r="AG193" s="699">
        <v>1188</v>
      </c>
      <c r="AH193" s="700">
        <v>237</v>
      </c>
      <c r="AI193" s="692">
        <f>Z193*1/AH193</f>
        <v>0</v>
      </c>
      <c r="AJ193" s="692">
        <f>AF193*1/AH193</f>
        <v>1</v>
      </c>
      <c r="AK193" s="691">
        <f>AH193/Q193</f>
        <v>237</v>
      </c>
      <c r="AL193" s="693">
        <f>AG193/AH193</f>
        <v>5.012658227848101</v>
      </c>
      <c r="AM193" s="695">
        <v>1188</v>
      </c>
      <c r="AN193" s="692">
        <f>IF(AM193&lt;&gt;0,-(AM193-AG193)/AM193,"")</f>
        <v>0</v>
      </c>
      <c r="AO193" s="261">
        <v>16007.5</v>
      </c>
      <c r="AP193" s="262">
        <v>1536</v>
      </c>
      <c r="AQ193" s="452">
        <f>AO193/AP193</f>
        <v>10.421549479166666</v>
      </c>
      <c r="AR193" s="716">
        <v>40907</v>
      </c>
      <c r="AS193" s="413" t="s">
        <v>349</v>
      </c>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row>
    <row r="194" spans="1:102" s="308" customFormat="1" ht="15.75" hidden="1">
      <c r="A194" s="331"/>
      <c r="B194" s="312"/>
      <c r="C194" s="315" t="s">
        <v>261</v>
      </c>
      <c r="D194" s="312"/>
      <c r="E194" s="319">
        <v>3</v>
      </c>
      <c r="F194" s="312"/>
      <c r="G194" s="312"/>
      <c r="H194" s="313"/>
      <c r="I194" s="313"/>
      <c r="J194" s="205" t="s">
        <v>202</v>
      </c>
      <c r="K194" s="462" t="s">
        <v>210</v>
      </c>
      <c r="L194" s="469" t="s">
        <v>211</v>
      </c>
      <c r="M194" s="469" t="s">
        <v>202</v>
      </c>
      <c r="N194" s="464">
        <v>40837</v>
      </c>
      <c r="O194" s="465" t="s">
        <v>12</v>
      </c>
      <c r="P194" s="258">
        <v>130</v>
      </c>
      <c r="Q194" s="259">
        <v>1</v>
      </c>
      <c r="R194" s="259">
        <v>10</v>
      </c>
      <c r="S194" s="480">
        <v>91</v>
      </c>
      <c r="T194" s="481">
        <v>13</v>
      </c>
      <c r="U194" s="480">
        <v>175</v>
      </c>
      <c r="V194" s="481">
        <v>25</v>
      </c>
      <c r="W194" s="480">
        <v>294</v>
      </c>
      <c r="X194" s="481">
        <v>42</v>
      </c>
      <c r="Y194" s="435">
        <f>SUM(S194+U194+W194)</f>
        <v>560</v>
      </c>
      <c r="Z194" s="436">
        <f>T194+V194+X194</f>
        <v>80</v>
      </c>
      <c r="AA194" s="422">
        <f>IF(Y194&lt;&gt;0,Z194/Q194,"")</f>
        <v>80</v>
      </c>
      <c r="AB194" s="423">
        <f>IF(Y194&lt;&gt;0,Y194/Z194,"")</f>
        <v>7</v>
      </c>
      <c r="AC194" s="426"/>
      <c r="AD194" s="425">
        <f>IF(AC194&lt;&gt;0,-(AC194-Y194)/AC194,"")</f>
      </c>
      <c r="AE194" s="690">
        <f>AG194-Y194</f>
        <v>423</v>
      </c>
      <c r="AF194" s="691">
        <f>AH194-Z194</f>
        <v>61</v>
      </c>
      <c r="AG194" s="699">
        <v>983</v>
      </c>
      <c r="AH194" s="700">
        <v>141</v>
      </c>
      <c r="AI194" s="692">
        <f>Z194*1/AH194</f>
        <v>0.5673758865248227</v>
      </c>
      <c r="AJ194" s="692">
        <f>AF194*1/AH194</f>
        <v>0.4326241134751773</v>
      </c>
      <c r="AK194" s="691">
        <f>AH194/Q194</f>
        <v>141</v>
      </c>
      <c r="AL194" s="693">
        <f>AG194/AH194</f>
        <v>6.971631205673759</v>
      </c>
      <c r="AM194" s="695">
        <v>983</v>
      </c>
      <c r="AN194" s="692">
        <f>IF(AM194&lt;&gt;0,-(AM194-AG194)/AM194,"")</f>
        <v>0</v>
      </c>
      <c r="AO194" s="261">
        <v>893705</v>
      </c>
      <c r="AP194" s="262">
        <v>90187</v>
      </c>
      <c r="AQ194" s="452">
        <f>AO194/AP194</f>
        <v>9.909465887544767</v>
      </c>
      <c r="AR194" s="716">
        <v>40907</v>
      </c>
      <c r="AS194" s="413" t="s">
        <v>349</v>
      </c>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row>
    <row r="195" spans="1:102" s="308" customFormat="1" ht="15.75" hidden="1">
      <c r="A195" s="331"/>
      <c r="B195" s="311"/>
      <c r="C195" s="315" t="s">
        <v>261</v>
      </c>
      <c r="D195" s="312"/>
      <c r="E195" s="312"/>
      <c r="F195" s="312"/>
      <c r="G195" s="318"/>
      <c r="H195" s="313"/>
      <c r="I195" s="316" t="s">
        <v>54</v>
      </c>
      <c r="J195" s="207" t="s">
        <v>270</v>
      </c>
      <c r="K195" s="462" t="s">
        <v>283</v>
      </c>
      <c r="L195" s="461"/>
      <c r="M195" s="466" t="s">
        <v>270</v>
      </c>
      <c r="N195" s="467">
        <v>40095</v>
      </c>
      <c r="O195" s="465" t="s">
        <v>68</v>
      </c>
      <c r="P195" s="258">
        <v>52</v>
      </c>
      <c r="Q195" s="259">
        <v>1</v>
      </c>
      <c r="R195" s="259">
        <v>16</v>
      </c>
      <c r="S195" s="554">
        <v>0</v>
      </c>
      <c r="T195" s="555">
        <v>0</v>
      </c>
      <c r="U195" s="554">
        <v>0</v>
      </c>
      <c r="V195" s="555">
        <v>0</v>
      </c>
      <c r="W195" s="554">
        <v>0</v>
      </c>
      <c r="X195" s="555">
        <v>0</v>
      </c>
      <c r="Y195" s="435">
        <f>SUM(S195+U195+W195)</f>
        <v>0</v>
      </c>
      <c r="Z195" s="436">
        <f>T195+V195+X195</f>
        <v>0</v>
      </c>
      <c r="AA195" s="422">
        <f>IF(Y195&lt;&gt;0,Z195/Q195,"")</f>
      </c>
      <c r="AB195" s="423">
        <f>IF(Y195&lt;&gt;0,Y195/Z195,"")</f>
      </c>
      <c r="AC195" s="426"/>
      <c r="AD195" s="425">
        <f>IF(AC195&lt;&gt;0,-(AC195-Y195)/AC195,"")</f>
      </c>
      <c r="AE195" s="690">
        <f>AG195-Y195</f>
        <v>952</v>
      </c>
      <c r="AF195" s="691">
        <f>AH195-Z195</f>
        <v>238</v>
      </c>
      <c r="AG195" s="705">
        <v>952</v>
      </c>
      <c r="AH195" s="706">
        <v>238</v>
      </c>
      <c r="AI195" s="692">
        <f>Z195*1/AH195</f>
        <v>0</v>
      </c>
      <c r="AJ195" s="692">
        <f>AF195*1/AH195</f>
        <v>1</v>
      </c>
      <c r="AK195" s="691">
        <f>AH195/Q195</f>
        <v>238</v>
      </c>
      <c r="AL195" s="693">
        <f>AG195/AH195</f>
        <v>4</v>
      </c>
      <c r="AM195" s="694">
        <v>952</v>
      </c>
      <c r="AN195" s="692">
        <f>IF(AM195&lt;&gt;0,-(AM195-AG195)/AM195,"")</f>
        <v>0</v>
      </c>
      <c r="AO195" s="270">
        <f>108013.25+68864+27976+10214+2402+2209+1188+2968+1780+1780+2427.4+364.82+248.58+1780+1188+952</f>
        <v>234355.05</v>
      </c>
      <c r="AP195" s="272">
        <f>12202+8144+4339+1841+481+460+297+742+445+445+599+87+57+445+297+238</f>
        <v>31119</v>
      </c>
      <c r="AQ195" s="452">
        <f>AO195/AP195</f>
        <v>7.5309312638580925</v>
      </c>
      <c r="AR195" s="716">
        <v>40907</v>
      </c>
      <c r="AS195" s="413" t="s">
        <v>349</v>
      </c>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row>
    <row r="196" spans="1:102" s="308" customFormat="1" ht="15.75" hidden="1">
      <c r="A196" s="331"/>
      <c r="B196" s="311"/>
      <c r="C196" s="315" t="s">
        <v>261</v>
      </c>
      <c r="D196" s="312"/>
      <c r="E196" s="312"/>
      <c r="F196" s="312"/>
      <c r="G196" s="312"/>
      <c r="H196" s="313"/>
      <c r="I196" s="313"/>
      <c r="J196" s="282" t="s">
        <v>251</v>
      </c>
      <c r="K196" s="465" t="s">
        <v>252</v>
      </c>
      <c r="L196" s="465" t="s">
        <v>248</v>
      </c>
      <c r="M196" s="465" t="s">
        <v>246</v>
      </c>
      <c r="N196" s="464">
        <v>40564</v>
      </c>
      <c r="O196" s="465" t="s">
        <v>13</v>
      </c>
      <c r="P196" s="258">
        <v>3</v>
      </c>
      <c r="Q196" s="259">
        <v>1</v>
      </c>
      <c r="R196" s="259">
        <v>6</v>
      </c>
      <c r="S196" s="261">
        <v>0</v>
      </c>
      <c r="T196" s="262">
        <v>0</v>
      </c>
      <c r="U196" s="261">
        <v>0</v>
      </c>
      <c r="V196" s="262">
        <v>0</v>
      </c>
      <c r="W196" s="261">
        <v>0</v>
      </c>
      <c r="X196" s="262">
        <v>0</v>
      </c>
      <c r="Y196" s="435">
        <f>SUM(S196+U196+W196)</f>
        <v>0</v>
      </c>
      <c r="Z196" s="436">
        <f>T196+V196+X196</f>
        <v>0</v>
      </c>
      <c r="AA196" s="422">
        <f>IF(Y196&lt;&gt;0,Z196/Q196,"")</f>
      </c>
      <c r="AB196" s="423">
        <f>IF(Y196&lt;&gt;0,Y196/Z196,"")</f>
      </c>
      <c r="AC196" s="426"/>
      <c r="AD196" s="425">
        <f>IF(AC196&lt;&gt;0,-(AC196-Y196)/AC196,"")</f>
      </c>
      <c r="AE196" s="690">
        <f>AG196-Y196</f>
        <v>594</v>
      </c>
      <c r="AF196" s="691">
        <f>AH196-Z196</f>
        <v>118</v>
      </c>
      <c r="AG196" s="699">
        <v>594</v>
      </c>
      <c r="AH196" s="700">
        <v>118</v>
      </c>
      <c r="AI196" s="692">
        <f>Z196*1/AH196</f>
        <v>0</v>
      </c>
      <c r="AJ196" s="692">
        <f>AF196*1/AH196</f>
        <v>1</v>
      </c>
      <c r="AK196" s="691">
        <f>AH196/Q196</f>
        <v>118</v>
      </c>
      <c r="AL196" s="693">
        <f>AG196/AH196</f>
        <v>5.033898305084746</v>
      </c>
      <c r="AM196" s="695">
        <v>594</v>
      </c>
      <c r="AN196" s="692">
        <f>IF(AM196&lt;&gt;0,-(AM196-AG196)/AM196,"")</f>
        <v>0</v>
      </c>
      <c r="AO196" s="261">
        <v>13140.5</v>
      </c>
      <c r="AP196" s="262">
        <v>1009</v>
      </c>
      <c r="AQ196" s="452">
        <f>AO196/AP196</f>
        <v>13.023290386521309</v>
      </c>
      <c r="AR196" s="716">
        <v>40907</v>
      </c>
      <c r="AS196" s="413" t="s">
        <v>349</v>
      </c>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row>
    <row r="197" spans="1:102" s="308" customFormat="1" ht="15.75" hidden="1">
      <c r="A197" s="331"/>
      <c r="B197" s="321"/>
      <c r="C197" s="315" t="s">
        <v>261</v>
      </c>
      <c r="D197" s="324" t="s">
        <v>223</v>
      </c>
      <c r="E197" s="322"/>
      <c r="F197" s="312"/>
      <c r="G197" s="322"/>
      <c r="H197" s="313"/>
      <c r="I197" s="320"/>
      <c r="J197" s="203" t="s">
        <v>176</v>
      </c>
      <c r="K197" s="463" t="s">
        <v>179</v>
      </c>
      <c r="L197" s="462" t="s">
        <v>138</v>
      </c>
      <c r="M197" s="463" t="s">
        <v>180</v>
      </c>
      <c r="N197" s="464">
        <v>40837</v>
      </c>
      <c r="O197" s="465" t="s">
        <v>53</v>
      </c>
      <c r="P197" s="274">
        <v>33</v>
      </c>
      <c r="Q197" s="275">
        <v>1</v>
      </c>
      <c r="R197" s="275">
        <v>5</v>
      </c>
      <c r="S197" s="480">
        <v>0</v>
      </c>
      <c r="T197" s="481">
        <v>0</v>
      </c>
      <c r="U197" s="480">
        <v>153</v>
      </c>
      <c r="V197" s="481">
        <v>15</v>
      </c>
      <c r="W197" s="480">
        <v>358</v>
      </c>
      <c r="X197" s="481">
        <v>35</v>
      </c>
      <c r="Y197" s="435">
        <f>SUM(S197+U197+W197)</f>
        <v>511</v>
      </c>
      <c r="Z197" s="436">
        <f>T197+V197+X197</f>
        <v>50</v>
      </c>
      <c r="AA197" s="422">
        <f>IF(Y197&lt;&gt;0,Z197/Q197,"")</f>
        <v>50</v>
      </c>
      <c r="AB197" s="423">
        <f>IF(Y197&lt;&gt;0,Y197/Z197,"")</f>
        <v>10.22</v>
      </c>
      <c r="AC197" s="426"/>
      <c r="AD197" s="425">
        <f>IF(AC197&lt;&gt;0,-(AC197-Y197)/AC197,"")</f>
      </c>
      <c r="AE197" s="690">
        <f>AG197-Y197</f>
        <v>0</v>
      </c>
      <c r="AF197" s="691">
        <f>AH197-Z197</f>
        <v>0</v>
      </c>
      <c r="AG197" s="699">
        <v>511</v>
      </c>
      <c r="AH197" s="700">
        <v>50</v>
      </c>
      <c r="AI197" s="692">
        <f>Z197*1/AH197</f>
        <v>1</v>
      </c>
      <c r="AJ197" s="692">
        <f>AF197*1/AH197</f>
        <v>0</v>
      </c>
      <c r="AK197" s="691">
        <f>AH197/Q197</f>
        <v>50</v>
      </c>
      <c r="AL197" s="693">
        <f>AG197/AH197</f>
        <v>10.22</v>
      </c>
      <c r="AM197" s="695">
        <v>511</v>
      </c>
      <c r="AN197" s="692">
        <f>IF(AM197&lt;&gt;0,-(AM197-AG197)/AM197,"")</f>
        <v>0</v>
      </c>
      <c r="AO197" s="480">
        <v>307870</v>
      </c>
      <c r="AP197" s="481">
        <v>23173</v>
      </c>
      <c r="AQ197" s="452">
        <f>AO197/AP197</f>
        <v>13.285720450524318</v>
      </c>
      <c r="AR197" s="716">
        <v>40907</v>
      </c>
      <c r="AS197" s="413" t="s">
        <v>349</v>
      </c>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row>
    <row r="198" spans="1:102" s="308" customFormat="1" ht="15.75" hidden="1">
      <c r="A198" s="331"/>
      <c r="B198" s="312"/>
      <c r="C198" s="315" t="s">
        <v>261</v>
      </c>
      <c r="D198" s="324" t="s">
        <v>223</v>
      </c>
      <c r="E198" s="312"/>
      <c r="F198" s="312"/>
      <c r="G198" s="312"/>
      <c r="H198" s="317" t="s">
        <v>55</v>
      </c>
      <c r="I198" s="314"/>
      <c r="J198" s="211" t="s">
        <v>152</v>
      </c>
      <c r="K198" s="462" t="s">
        <v>217</v>
      </c>
      <c r="L198" s="468" t="s">
        <v>94</v>
      </c>
      <c r="M198" s="465" t="s">
        <v>152</v>
      </c>
      <c r="N198" s="464">
        <v>40676</v>
      </c>
      <c r="O198" s="465" t="s">
        <v>12</v>
      </c>
      <c r="P198" s="258">
        <v>100</v>
      </c>
      <c r="Q198" s="259">
        <v>1</v>
      </c>
      <c r="R198" s="259">
        <v>34</v>
      </c>
      <c r="S198" s="480">
        <v>0</v>
      </c>
      <c r="T198" s="481">
        <v>0</v>
      </c>
      <c r="U198" s="480">
        <v>154</v>
      </c>
      <c r="V198" s="481">
        <v>19</v>
      </c>
      <c r="W198" s="480">
        <v>170</v>
      </c>
      <c r="X198" s="481">
        <v>21</v>
      </c>
      <c r="Y198" s="435">
        <f>SUM(S198+U198+W198)</f>
        <v>324</v>
      </c>
      <c r="Z198" s="436">
        <f>T198+V198+X198</f>
        <v>40</v>
      </c>
      <c r="AA198" s="422">
        <f>IF(Y198&lt;&gt;0,Z198/Q198,"")</f>
        <v>40</v>
      </c>
      <c r="AB198" s="423">
        <f>IF(Y198&lt;&gt;0,Y198/Z198,"")</f>
        <v>8.1</v>
      </c>
      <c r="AC198" s="426"/>
      <c r="AD198" s="425">
        <f>IF(AC198&lt;&gt;0,-(AC198-Y198)/AC198,"")</f>
      </c>
      <c r="AE198" s="690">
        <f>AG198-Y198</f>
        <v>48</v>
      </c>
      <c r="AF198" s="691">
        <f>AH198-Z198</f>
        <v>6</v>
      </c>
      <c r="AG198" s="699">
        <v>372</v>
      </c>
      <c r="AH198" s="700">
        <v>46</v>
      </c>
      <c r="AI198" s="692">
        <f>Z198*1/AH198</f>
        <v>0.8695652173913043</v>
      </c>
      <c r="AJ198" s="692">
        <f>AF198*1/AH198</f>
        <v>0.13043478260869565</v>
      </c>
      <c r="AK198" s="691">
        <f>AH198/Q198</f>
        <v>46</v>
      </c>
      <c r="AL198" s="693">
        <f>AG198/AH198</f>
        <v>8.08695652173913</v>
      </c>
      <c r="AM198" s="695">
        <v>372</v>
      </c>
      <c r="AN198" s="692">
        <f>IF(AM198&lt;&gt;0,-(AM198-AG198)/AM198,"")</f>
        <v>0</v>
      </c>
      <c r="AO198" s="261">
        <v>1184752</v>
      </c>
      <c r="AP198" s="262">
        <v>129821</v>
      </c>
      <c r="AQ198" s="452">
        <f>AO198/AP198</f>
        <v>9.126042781984424</v>
      </c>
      <c r="AR198" s="716">
        <v>40907</v>
      </c>
      <c r="AS198" s="413" t="s">
        <v>349</v>
      </c>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row>
    <row r="199" spans="1:102" s="308" customFormat="1" ht="15.75" hidden="1">
      <c r="A199" s="331"/>
      <c r="B199" s="717"/>
      <c r="C199" s="315" t="s">
        <v>261</v>
      </c>
      <c r="D199" s="312"/>
      <c r="E199" s="312"/>
      <c r="F199" s="312"/>
      <c r="G199" s="312"/>
      <c r="H199" s="313"/>
      <c r="I199" s="313"/>
      <c r="J199" s="282" t="s">
        <v>253</v>
      </c>
      <c r="K199" s="465" t="s">
        <v>254</v>
      </c>
      <c r="L199" s="465" t="s">
        <v>79</v>
      </c>
      <c r="M199" s="465" t="s">
        <v>255</v>
      </c>
      <c r="N199" s="464">
        <v>40802</v>
      </c>
      <c r="O199" s="465" t="s">
        <v>13</v>
      </c>
      <c r="P199" s="258">
        <v>8</v>
      </c>
      <c r="Q199" s="259">
        <v>1</v>
      </c>
      <c r="R199" s="259">
        <v>14</v>
      </c>
      <c r="S199" s="261">
        <v>0</v>
      </c>
      <c r="T199" s="262">
        <v>0</v>
      </c>
      <c r="U199" s="261">
        <v>0</v>
      </c>
      <c r="V199" s="262">
        <v>0</v>
      </c>
      <c r="W199" s="261">
        <v>0</v>
      </c>
      <c r="X199" s="262">
        <v>0</v>
      </c>
      <c r="Y199" s="435">
        <f>SUM(S199+U199+W199)</f>
        <v>0</v>
      </c>
      <c r="Z199" s="436">
        <f>T199+V199+X199</f>
        <v>0</v>
      </c>
      <c r="AA199" s="422">
        <f>IF(Y199&lt;&gt;0,Z199/Q199,"")</f>
      </c>
      <c r="AB199" s="423">
        <f>IF(Y199&lt;&gt;0,Y199/Z199,"")</f>
      </c>
      <c r="AC199" s="426"/>
      <c r="AD199" s="425">
        <f>IF(AC199&lt;&gt;0,-(AC199-Y199)/AC199,"")</f>
      </c>
      <c r="AE199" s="690">
        <f>AG199-Y199</f>
        <v>302.5</v>
      </c>
      <c r="AF199" s="691">
        <f>AH199-Z199</f>
        <v>67</v>
      </c>
      <c r="AG199" s="699">
        <v>302.5</v>
      </c>
      <c r="AH199" s="700">
        <v>67</v>
      </c>
      <c r="AI199" s="692">
        <f>Z199*1/AH199</f>
        <v>0</v>
      </c>
      <c r="AJ199" s="692">
        <f>AF199*1/AH199</f>
        <v>1</v>
      </c>
      <c r="AK199" s="691">
        <f>AH199/Q199</f>
        <v>67</v>
      </c>
      <c r="AL199" s="693">
        <f>AG199/AH199</f>
        <v>4.514925373134329</v>
      </c>
      <c r="AM199" s="695">
        <v>302.5</v>
      </c>
      <c r="AN199" s="692">
        <f>IF(AM199&lt;&gt;0,-(AM199-AG199)/AM199,"")</f>
        <v>0</v>
      </c>
      <c r="AO199" s="261">
        <v>73390</v>
      </c>
      <c r="AP199" s="262">
        <v>8093</v>
      </c>
      <c r="AQ199" s="452">
        <f>AO199/AP199</f>
        <v>9.068330656122574</v>
      </c>
      <c r="AR199" s="716">
        <v>40907</v>
      </c>
      <c r="AS199" s="413" t="s">
        <v>349</v>
      </c>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row>
    <row r="200" spans="1:102" s="308" customFormat="1" ht="15.75" hidden="1">
      <c r="A200" s="331"/>
      <c r="B200" s="311"/>
      <c r="C200" s="315" t="s">
        <v>261</v>
      </c>
      <c r="D200" s="312"/>
      <c r="E200" s="312"/>
      <c r="F200" s="312"/>
      <c r="G200" s="312"/>
      <c r="H200" s="313"/>
      <c r="I200" s="320"/>
      <c r="J200" s="210" t="s">
        <v>131</v>
      </c>
      <c r="K200" s="462" t="s">
        <v>132</v>
      </c>
      <c r="L200" s="470" t="s">
        <v>99</v>
      </c>
      <c r="M200" s="461" t="s">
        <v>631</v>
      </c>
      <c r="N200" s="464">
        <v>40746</v>
      </c>
      <c r="O200" s="465" t="s">
        <v>52</v>
      </c>
      <c r="P200" s="281">
        <v>23</v>
      </c>
      <c r="Q200" s="271">
        <v>1</v>
      </c>
      <c r="R200" s="271">
        <v>18</v>
      </c>
      <c r="S200" s="270">
        <v>12</v>
      </c>
      <c r="T200" s="272">
        <v>2</v>
      </c>
      <c r="U200" s="270">
        <v>24</v>
      </c>
      <c r="V200" s="272">
        <v>4</v>
      </c>
      <c r="W200" s="270">
        <v>0</v>
      </c>
      <c r="X200" s="272">
        <v>0</v>
      </c>
      <c r="Y200" s="435">
        <f>SUM(S200+U200+W200)</f>
        <v>36</v>
      </c>
      <c r="Z200" s="436">
        <f>T200+V200+X200</f>
        <v>6</v>
      </c>
      <c r="AA200" s="422">
        <f>IF(Y200&lt;&gt;0,Z200/Q200,"")</f>
        <v>6</v>
      </c>
      <c r="AB200" s="423">
        <f>IF(Y200&lt;&gt;0,Y200/Z200,"")</f>
        <v>6</v>
      </c>
      <c r="AC200" s="426"/>
      <c r="AD200" s="425">
        <f>IF(AC200&lt;&gt;0,-(AC200-Y200)/AC200,"")</f>
      </c>
      <c r="AE200" s="690">
        <f>AG200-Y200</f>
        <v>0</v>
      </c>
      <c r="AF200" s="691">
        <f>AH200-Z200</f>
        <v>0</v>
      </c>
      <c r="AG200" s="703">
        <v>36</v>
      </c>
      <c r="AH200" s="704">
        <v>6</v>
      </c>
      <c r="AI200" s="692">
        <f>Z200*1/AH200</f>
        <v>1</v>
      </c>
      <c r="AJ200" s="692">
        <f>AF200*1/AH200</f>
        <v>0</v>
      </c>
      <c r="AK200" s="691">
        <f>AH200/Q200</f>
        <v>6</v>
      </c>
      <c r="AL200" s="693">
        <f>AG200/AH200</f>
        <v>6</v>
      </c>
      <c r="AM200" s="696">
        <v>36</v>
      </c>
      <c r="AN200" s="692">
        <f>IF(AM200&lt;&gt;0,-(AM200-AG200)/AM200,"")</f>
        <v>0</v>
      </c>
      <c r="AO200" s="329">
        <f>47685+27229.5+17697.5+18612+19593.5+16691+6089.5+2551.5+2254+4358+2609+1310+356+168+150+121+69+36</f>
        <v>167580.5</v>
      </c>
      <c r="AP200" s="262">
        <f>4321+2419+2108+2430+2448+2072+892+397+346+639+377+205+49+24+23+19+11+6</f>
        <v>18786</v>
      </c>
      <c r="AQ200" s="452">
        <f>AO200/AP200</f>
        <v>8.920499307995316</v>
      </c>
      <c r="AR200" s="716">
        <v>40907</v>
      </c>
      <c r="AS200" s="413" t="s">
        <v>349</v>
      </c>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row>
    <row r="201" spans="1:45" s="10" customFormat="1" ht="18" thickBot="1">
      <c r="A201" s="344"/>
      <c r="B201" s="183"/>
      <c r="C201" s="183"/>
      <c r="D201" s="183"/>
      <c r="E201" s="183"/>
      <c r="F201" s="183"/>
      <c r="G201" s="183"/>
      <c r="H201" s="183"/>
      <c r="I201" s="184"/>
      <c r="J201" s="472"/>
      <c r="K201" s="185"/>
      <c r="L201" s="185"/>
      <c r="M201" s="185"/>
      <c r="N201" s="186"/>
      <c r="O201" s="187"/>
      <c r="P201" s="188"/>
      <c r="Q201" s="188"/>
      <c r="R201" s="188"/>
      <c r="S201" s="189"/>
      <c r="T201" s="190"/>
      <c r="U201" s="189"/>
      <c r="V201" s="190"/>
      <c r="W201" s="189"/>
      <c r="X201" s="190"/>
      <c r="Y201" s="191"/>
      <c r="Z201" s="192"/>
      <c r="AA201" s="193"/>
      <c r="AB201" s="194"/>
      <c r="AC201" s="191"/>
      <c r="AD201" s="195"/>
      <c r="AE201" s="194"/>
      <c r="AF201" s="193"/>
      <c r="AG201" s="196"/>
      <c r="AH201" s="197"/>
      <c r="AI201" s="198"/>
      <c r="AJ201" s="198"/>
      <c r="AK201" s="199"/>
      <c r="AL201" s="200"/>
      <c r="AM201" s="200"/>
      <c r="AN201" s="200"/>
      <c r="AO201" s="201"/>
      <c r="AP201" s="201"/>
      <c r="AQ201" s="200"/>
      <c r="AR201" s="200"/>
      <c r="AS201" s="358"/>
    </row>
    <row r="202" spans="1:102" s="91" customFormat="1" ht="12.75">
      <c r="A202" s="599" t="s">
        <v>235</v>
      </c>
      <c r="B202" s="600"/>
      <c r="C202" s="600"/>
      <c r="D202" s="600"/>
      <c r="E202" s="600"/>
      <c r="F202" s="600"/>
      <c r="G202" s="600"/>
      <c r="H202" s="600"/>
      <c r="I202" s="600"/>
      <c r="J202" s="600"/>
      <c r="K202" s="600"/>
      <c r="L202" s="600"/>
      <c r="M202" s="600"/>
      <c r="N202" s="600"/>
      <c r="O202" s="600"/>
      <c r="P202" s="600"/>
      <c r="Q202" s="600"/>
      <c r="R202" s="600"/>
      <c r="S202" s="600"/>
      <c r="T202" s="600"/>
      <c r="U202" s="600"/>
      <c r="V202" s="600"/>
      <c r="W202" s="600"/>
      <c r="X202" s="600"/>
      <c r="Y202" s="600"/>
      <c r="Z202" s="600"/>
      <c r="AA202" s="600"/>
      <c r="AB202" s="600"/>
      <c r="AC202" s="600"/>
      <c r="AD202" s="600"/>
      <c r="AE202" s="600"/>
      <c r="AF202" s="600"/>
      <c r="AG202" s="600"/>
      <c r="AH202" s="600"/>
      <c r="AI202" s="600"/>
      <c r="AJ202" s="600"/>
      <c r="AK202" s="600"/>
      <c r="AL202" s="600"/>
      <c r="AM202" s="600"/>
      <c r="AN202" s="600"/>
      <c r="AO202" s="600"/>
      <c r="AP202" s="600"/>
      <c r="AQ202" s="601"/>
      <c r="AR202" s="601"/>
      <c r="AS202" s="601"/>
      <c r="AT202" s="357"/>
      <c r="AU202" s="357"/>
      <c r="AV202" s="357"/>
      <c r="AW202" s="357"/>
      <c r="AX202" s="357"/>
      <c r="AY202" s="357"/>
      <c r="AZ202" s="357"/>
      <c r="BA202" s="357"/>
      <c r="BB202" s="357"/>
      <c r="BC202" s="357"/>
      <c r="BD202" s="357"/>
      <c r="BE202" s="357"/>
      <c r="BF202" s="357"/>
      <c r="BG202" s="357"/>
      <c r="BH202" s="357"/>
      <c r="BI202" s="357"/>
      <c r="BJ202" s="357"/>
      <c r="BK202" s="357"/>
      <c r="BL202" s="357"/>
      <c r="BM202" s="357"/>
      <c r="BN202" s="357"/>
      <c r="BO202" s="357"/>
      <c r="BP202" s="357"/>
      <c r="BQ202" s="357"/>
      <c r="BR202" s="357"/>
      <c r="BS202" s="357"/>
      <c r="BT202" s="357"/>
      <c r="BU202" s="357"/>
      <c r="BV202" s="357"/>
      <c r="BW202" s="357"/>
      <c r="BX202" s="357"/>
      <c r="BY202" s="357"/>
      <c r="BZ202" s="357"/>
      <c r="CA202" s="357"/>
      <c r="CB202" s="357"/>
      <c r="CC202" s="357"/>
      <c r="CD202" s="357"/>
      <c r="CE202" s="357"/>
      <c r="CF202" s="357"/>
      <c r="CG202" s="357"/>
      <c r="CH202" s="357"/>
      <c r="CI202" s="357"/>
      <c r="CJ202" s="357"/>
      <c r="CK202" s="357"/>
      <c r="CL202" s="357"/>
      <c r="CM202" s="357"/>
      <c r="CN202" s="357"/>
      <c r="CO202" s="357"/>
      <c r="CP202" s="357"/>
      <c r="CQ202" s="357"/>
      <c r="CR202" s="357"/>
      <c r="CS202" s="357"/>
      <c r="CT202" s="357"/>
      <c r="CU202" s="357"/>
      <c r="CV202" s="357"/>
      <c r="CW202" s="357"/>
      <c r="CX202" s="357"/>
    </row>
    <row r="203" spans="1:102" s="91" customFormat="1" ht="12.75">
      <c r="A203" s="602"/>
      <c r="B203" s="600"/>
      <c r="C203" s="600"/>
      <c r="D203" s="600"/>
      <c r="E203" s="600"/>
      <c r="F203" s="600"/>
      <c r="G203" s="600"/>
      <c r="H203" s="600"/>
      <c r="I203" s="600"/>
      <c r="J203" s="600"/>
      <c r="K203" s="600"/>
      <c r="L203" s="600"/>
      <c r="M203" s="600"/>
      <c r="N203" s="600"/>
      <c r="O203" s="600"/>
      <c r="P203" s="600"/>
      <c r="Q203" s="600"/>
      <c r="R203" s="600"/>
      <c r="S203" s="600"/>
      <c r="T203" s="600"/>
      <c r="U203" s="600"/>
      <c r="V203" s="600"/>
      <c r="W203" s="600"/>
      <c r="X203" s="600"/>
      <c r="Y203" s="600"/>
      <c r="Z203" s="600"/>
      <c r="AA203" s="600"/>
      <c r="AB203" s="600"/>
      <c r="AC203" s="600"/>
      <c r="AD203" s="600"/>
      <c r="AE203" s="600"/>
      <c r="AF203" s="600"/>
      <c r="AG203" s="600"/>
      <c r="AH203" s="600"/>
      <c r="AI203" s="600"/>
      <c r="AJ203" s="600"/>
      <c r="AK203" s="600"/>
      <c r="AL203" s="600"/>
      <c r="AM203" s="600"/>
      <c r="AN203" s="600"/>
      <c r="AO203" s="600"/>
      <c r="AP203" s="600"/>
      <c r="AQ203" s="601"/>
      <c r="AR203" s="601"/>
      <c r="AS203" s="601"/>
      <c r="AT203" s="357"/>
      <c r="AU203" s="357"/>
      <c r="AV203" s="357"/>
      <c r="AW203" s="357"/>
      <c r="AX203" s="357"/>
      <c r="AY203" s="357"/>
      <c r="AZ203" s="357"/>
      <c r="BA203" s="357"/>
      <c r="BB203" s="357"/>
      <c r="BC203" s="357"/>
      <c r="BD203" s="357"/>
      <c r="BE203" s="357"/>
      <c r="BF203" s="357"/>
      <c r="BG203" s="357"/>
      <c r="BH203" s="357"/>
      <c r="BI203" s="357"/>
      <c r="BJ203" s="357"/>
      <c r="BK203" s="357"/>
      <c r="BL203" s="357"/>
      <c r="BM203" s="357"/>
      <c r="BN203" s="357"/>
      <c r="BO203" s="357"/>
      <c r="BP203" s="357"/>
      <c r="BQ203" s="357"/>
      <c r="BR203" s="357"/>
      <c r="BS203" s="357"/>
      <c r="BT203" s="357"/>
      <c r="BU203" s="357"/>
      <c r="BV203" s="357"/>
      <c r="BW203" s="357"/>
      <c r="BX203" s="357"/>
      <c r="BY203" s="357"/>
      <c r="BZ203" s="357"/>
      <c r="CA203" s="357"/>
      <c r="CB203" s="357"/>
      <c r="CC203" s="357"/>
      <c r="CD203" s="357"/>
      <c r="CE203" s="357"/>
      <c r="CF203" s="357"/>
      <c r="CG203" s="357"/>
      <c r="CH203" s="357"/>
      <c r="CI203" s="357"/>
      <c r="CJ203" s="357"/>
      <c r="CK203" s="357"/>
      <c r="CL203" s="357"/>
      <c r="CM203" s="357"/>
      <c r="CN203" s="357"/>
      <c r="CO203" s="357"/>
      <c r="CP203" s="357"/>
      <c r="CQ203" s="357"/>
      <c r="CR203" s="357"/>
      <c r="CS203" s="357"/>
      <c r="CT203" s="357"/>
      <c r="CU203" s="357"/>
      <c r="CV203" s="357"/>
      <c r="CW203" s="357"/>
      <c r="CX203" s="357"/>
    </row>
    <row r="204" spans="1:102" s="91" customFormat="1" ht="12.75">
      <c r="A204" s="602"/>
      <c r="B204" s="600"/>
      <c r="C204" s="600"/>
      <c r="D204" s="600"/>
      <c r="E204" s="600"/>
      <c r="F204" s="600"/>
      <c r="G204" s="600"/>
      <c r="H204" s="600"/>
      <c r="I204" s="600"/>
      <c r="J204" s="600"/>
      <c r="K204" s="600"/>
      <c r="L204" s="600"/>
      <c r="M204" s="600"/>
      <c r="N204" s="600"/>
      <c r="O204" s="600"/>
      <c r="P204" s="600"/>
      <c r="Q204" s="600"/>
      <c r="R204" s="600"/>
      <c r="S204" s="600"/>
      <c r="T204" s="600"/>
      <c r="U204" s="600"/>
      <c r="V204" s="600"/>
      <c r="W204" s="600"/>
      <c r="X204" s="600"/>
      <c r="Y204" s="600"/>
      <c r="Z204" s="600"/>
      <c r="AA204" s="600"/>
      <c r="AB204" s="600"/>
      <c r="AC204" s="600"/>
      <c r="AD204" s="600"/>
      <c r="AE204" s="600"/>
      <c r="AF204" s="600"/>
      <c r="AG204" s="600"/>
      <c r="AH204" s="600"/>
      <c r="AI204" s="600"/>
      <c r="AJ204" s="600"/>
      <c r="AK204" s="600"/>
      <c r="AL204" s="600"/>
      <c r="AM204" s="600"/>
      <c r="AN204" s="600"/>
      <c r="AO204" s="600"/>
      <c r="AP204" s="600"/>
      <c r="AQ204" s="601"/>
      <c r="AR204" s="601"/>
      <c r="AS204" s="601"/>
      <c r="AT204" s="357"/>
      <c r="AU204" s="357"/>
      <c r="AV204" s="357"/>
      <c r="AW204" s="357"/>
      <c r="AX204" s="357"/>
      <c r="AY204" s="357"/>
      <c r="AZ204" s="357"/>
      <c r="BA204" s="357"/>
      <c r="BB204" s="357"/>
      <c r="BC204" s="357"/>
      <c r="BD204" s="357"/>
      <c r="BE204" s="357"/>
      <c r="BF204" s="357"/>
      <c r="BG204" s="357"/>
      <c r="BH204" s="357"/>
      <c r="BI204" s="357"/>
      <c r="BJ204" s="357"/>
      <c r="BK204" s="357"/>
      <c r="BL204" s="357"/>
      <c r="BM204" s="357"/>
      <c r="BN204" s="357"/>
      <c r="BO204" s="357"/>
      <c r="BP204" s="357"/>
      <c r="BQ204" s="357"/>
      <c r="BR204" s="357"/>
      <c r="BS204" s="357"/>
      <c r="BT204" s="357"/>
      <c r="BU204" s="357"/>
      <c r="BV204" s="357"/>
      <c r="BW204" s="357"/>
      <c r="BX204" s="357"/>
      <c r="BY204" s="357"/>
      <c r="BZ204" s="357"/>
      <c r="CA204" s="357"/>
      <c r="CB204" s="357"/>
      <c r="CC204" s="357"/>
      <c r="CD204" s="357"/>
      <c r="CE204" s="357"/>
      <c r="CF204" s="357"/>
      <c r="CG204" s="357"/>
      <c r="CH204" s="357"/>
      <c r="CI204" s="357"/>
      <c r="CJ204" s="357"/>
      <c r="CK204" s="357"/>
      <c r="CL204" s="357"/>
      <c r="CM204" s="357"/>
      <c r="CN204" s="357"/>
      <c r="CO204" s="357"/>
      <c r="CP204" s="357"/>
      <c r="CQ204" s="357"/>
      <c r="CR204" s="357"/>
      <c r="CS204" s="357"/>
      <c r="CT204" s="357"/>
      <c r="CU204" s="357"/>
      <c r="CV204" s="357"/>
      <c r="CW204" s="357"/>
      <c r="CX204" s="357"/>
    </row>
    <row r="205" spans="1:102" s="91" customFormat="1" ht="12.75">
      <c r="A205" s="602"/>
      <c r="B205" s="600"/>
      <c r="C205" s="600"/>
      <c r="D205" s="600"/>
      <c r="E205" s="600"/>
      <c r="F205" s="600"/>
      <c r="G205" s="600"/>
      <c r="H205" s="600"/>
      <c r="I205" s="600"/>
      <c r="J205" s="600"/>
      <c r="K205" s="600"/>
      <c r="L205" s="600"/>
      <c r="M205" s="600"/>
      <c r="N205" s="600"/>
      <c r="O205" s="600"/>
      <c r="P205" s="600"/>
      <c r="Q205" s="600"/>
      <c r="R205" s="600"/>
      <c r="S205" s="600"/>
      <c r="T205" s="600"/>
      <c r="U205" s="600"/>
      <c r="V205" s="600"/>
      <c r="W205" s="600"/>
      <c r="X205" s="600"/>
      <c r="Y205" s="600"/>
      <c r="Z205" s="600"/>
      <c r="AA205" s="600"/>
      <c r="AB205" s="600"/>
      <c r="AC205" s="600"/>
      <c r="AD205" s="600"/>
      <c r="AE205" s="600"/>
      <c r="AF205" s="600"/>
      <c r="AG205" s="600"/>
      <c r="AH205" s="600"/>
      <c r="AI205" s="600"/>
      <c r="AJ205" s="600"/>
      <c r="AK205" s="600"/>
      <c r="AL205" s="600"/>
      <c r="AM205" s="600"/>
      <c r="AN205" s="600"/>
      <c r="AO205" s="600"/>
      <c r="AP205" s="600"/>
      <c r="AQ205" s="601"/>
      <c r="AR205" s="601"/>
      <c r="AS205" s="601"/>
      <c r="AT205" s="357"/>
      <c r="AU205" s="357"/>
      <c r="AV205" s="357"/>
      <c r="AW205" s="357"/>
      <c r="AX205" s="357"/>
      <c r="AY205" s="357"/>
      <c r="AZ205" s="357"/>
      <c r="BA205" s="357"/>
      <c r="BB205" s="357"/>
      <c r="BC205" s="357"/>
      <c r="BD205" s="357"/>
      <c r="BE205" s="357"/>
      <c r="BF205" s="357"/>
      <c r="BG205" s="357"/>
      <c r="BH205" s="357"/>
      <c r="BI205" s="357"/>
      <c r="BJ205" s="357"/>
      <c r="BK205" s="357"/>
      <c r="BL205" s="357"/>
      <c r="BM205" s="357"/>
      <c r="BN205" s="357"/>
      <c r="BO205" s="357"/>
      <c r="BP205" s="357"/>
      <c r="BQ205" s="357"/>
      <c r="BR205" s="357"/>
      <c r="BS205" s="357"/>
      <c r="BT205" s="357"/>
      <c r="BU205" s="357"/>
      <c r="BV205" s="357"/>
      <c r="BW205" s="357"/>
      <c r="BX205" s="357"/>
      <c r="BY205" s="357"/>
      <c r="BZ205" s="357"/>
      <c r="CA205" s="357"/>
      <c r="CB205" s="357"/>
      <c r="CC205" s="357"/>
      <c r="CD205" s="357"/>
      <c r="CE205" s="357"/>
      <c r="CF205" s="357"/>
      <c r="CG205" s="357"/>
      <c r="CH205" s="357"/>
      <c r="CI205" s="357"/>
      <c r="CJ205" s="357"/>
      <c r="CK205" s="357"/>
      <c r="CL205" s="357"/>
      <c r="CM205" s="357"/>
      <c r="CN205" s="357"/>
      <c r="CO205" s="357"/>
      <c r="CP205" s="357"/>
      <c r="CQ205" s="357"/>
      <c r="CR205" s="357"/>
      <c r="CS205" s="357"/>
      <c r="CT205" s="357"/>
      <c r="CU205" s="357"/>
      <c r="CV205" s="357"/>
      <c r="CW205" s="357"/>
      <c r="CX205" s="357"/>
    </row>
    <row r="206" spans="1:102" s="91" customFormat="1" ht="12.75">
      <c r="A206" s="602"/>
      <c r="B206" s="600"/>
      <c r="C206" s="600"/>
      <c r="D206" s="600"/>
      <c r="E206" s="600"/>
      <c r="F206" s="600"/>
      <c r="G206" s="600"/>
      <c r="H206" s="600"/>
      <c r="I206" s="600"/>
      <c r="J206" s="600"/>
      <c r="K206" s="600"/>
      <c r="L206" s="600"/>
      <c r="M206" s="600"/>
      <c r="N206" s="600"/>
      <c r="O206" s="600"/>
      <c r="P206" s="600"/>
      <c r="Q206" s="600"/>
      <c r="R206" s="600"/>
      <c r="S206" s="600"/>
      <c r="T206" s="600"/>
      <c r="U206" s="600"/>
      <c r="V206" s="600"/>
      <c r="W206" s="600"/>
      <c r="X206" s="600"/>
      <c r="Y206" s="600"/>
      <c r="Z206" s="600"/>
      <c r="AA206" s="600"/>
      <c r="AB206" s="600"/>
      <c r="AC206" s="600"/>
      <c r="AD206" s="600"/>
      <c r="AE206" s="600"/>
      <c r="AF206" s="600"/>
      <c r="AG206" s="600"/>
      <c r="AH206" s="600"/>
      <c r="AI206" s="600"/>
      <c r="AJ206" s="600"/>
      <c r="AK206" s="600"/>
      <c r="AL206" s="600"/>
      <c r="AM206" s="600"/>
      <c r="AN206" s="600"/>
      <c r="AO206" s="600"/>
      <c r="AP206" s="600"/>
      <c r="AQ206" s="601"/>
      <c r="AR206" s="601"/>
      <c r="AS206" s="601"/>
      <c r="AT206" s="357"/>
      <c r="AU206" s="357"/>
      <c r="AV206" s="357"/>
      <c r="AW206" s="357"/>
      <c r="AX206" s="357"/>
      <c r="AY206" s="357"/>
      <c r="AZ206" s="357"/>
      <c r="BA206" s="357"/>
      <c r="BB206" s="357"/>
      <c r="BC206" s="357"/>
      <c r="BD206" s="357"/>
      <c r="BE206" s="357"/>
      <c r="BF206" s="357"/>
      <c r="BG206" s="357"/>
      <c r="BH206" s="357"/>
      <c r="BI206" s="357"/>
      <c r="BJ206" s="357"/>
      <c r="BK206" s="357"/>
      <c r="BL206" s="357"/>
      <c r="BM206" s="357"/>
      <c r="BN206" s="357"/>
      <c r="BO206" s="357"/>
      <c r="BP206" s="357"/>
      <c r="BQ206" s="357"/>
      <c r="BR206" s="357"/>
      <c r="BS206" s="357"/>
      <c r="BT206" s="357"/>
      <c r="BU206" s="357"/>
      <c r="BV206" s="357"/>
      <c r="BW206" s="357"/>
      <c r="BX206" s="357"/>
      <c r="BY206" s="357"/>
      <c r="BZ206" s="357"/>
      <c r="CA206" s="357"/>
      <c r="CB206" s="357"/>
      <c r="CC206" s="357"/>
      <c r="CD206" s="357"/>
      <c r="CE206" s="357"/>
      <c r="CF206" s="357"/>
      <c r="CG206" s="357"/>
      <c r="CH206" s="357"/>
      <c r="CI206" s="357"/>
      <c r="CJ206" s="357"/>
      <c r="CK206" s="357"/>
      <c r="CL206" s="357"/>
      <c r="CM206" s="357"/>
      <c r="CN206" s="357"/>
      <c r="CO206" s="357"/>
      <c r="CP206" s="357"/>
      <c r="CQ206" s="357"/>
      <c r="CR206" s="357"/>
      <c r="CS206" s="357"/>
      <c r="CT206" s="357"/>
      <c r="CU206" s="357"/>
      <c r="CV206" s="357"/>
      <c r="CW206" s="357"/>
      <c r="CX206" s="357"/>
    </row>
    <row r="207" spans="1:102" s="91" customFormat="1" ht="12.75">
      <c r="A207" s="602"/>
      <c r="B207" s="600"/>
      <c r="C207" s="600"/>
      <c r="D207" s="600"/>
      <c r="E207" s="600"/>
      <c r="F207" s="600"/>
      <c r="G207" s="600"/>
      <c r="H207" s="600"/>
      <c r="I207" s="600"/>
      <c r="J207" s="600"/>
      <c r="K207" s="600"/>
      <c r="L207" s="600"/>
      <c r="M207" s="600"/>
      <c r="N207" s="600"/>
      <c r="O207" s="600"/>
      <c r="P207" s="600"/>
      <c r="Q207" s="600"/>
      <c r="R207" s="600"/>
      <c r="S207" s="600"/>
      <c r="T207" s="600"/>
      <c r="U207" s="600"/>
      <c r="V207" s="600"/>
      <c r="W207" s="600"/>
      <c r="X207" s="600"/>
      <c r="Y207" s="600"/>
      <c r="Z207" s="600"/>
      <c r="AA207" s="600"/>
      <c r="AB207" s="600"/>
      <c r="AC207" s="600"/>
      <c r="AD207" s="600"/>
      <c r="AE207" s="600"/>
      <c r="AF207" s="600"/>
      <c r="AG207" s="600"/>
      <c r="AH207" s="600"/>
      <c r="AI207" s="600"/>
      <c r="AJ207" s="600"/>
      <c r="AK207" s="600"/>
      <c r="AL207" s="600"/>
      <c r="AM207" s="600"/>
      <c r="AN207" s="600"/>
      <c r="AO207" s="600"/>
      <c r="AP207" s="600"/>
      <c r="AQ207" s="601"/>
      <c r="AR207" s="601"/>
      <c r="AS207" s="601"/>
      <c r="AT207" s="357"/>
      <c r="AU207" s="357"/>
      <c r="AV207" s="357"/>
      <c r="AW207" s="357"/>
      <c r="AX207" s="357"/>
      <c r="AY207" s="357"/>
      <c r="AZ207" s="357"/>
      <c r="BA207" s="357"/>
      <c r="BB207" s="357"/>
      <c r="BC207" s="357"/>
      <c r="BD207" s="357"/>
      <c r="BE207" s="357"/>
      <c r="BF207" s="357"/>
      <c r="BG207" s="357"/>
      <c r="BH207" s="357"/>
      <c r="BI207" s="357"/>
      <c r="BJ207" s="357"/>
      <c r="BK207" s="357"/>
      <c r="BL207" s="357"/>
      <c r="BM207" s="357"/>
      <c r="BN207" s="357"/>
      <c r="BO207" s="357"/>
      <c r="BP207" s="357"/>
      <c r="BQ207" s="357"/>
      <c r="BR207" s="357"/>
      <c r="BS207" s="357"/>
      <c r="BT207" s="357"/>
      <c r="BU207" s="357"/>
      <c r="BV207" s="357"/>
      <c r="BW207" s="357"/>
      <c r="BX207" s="357"/>
      <c r="BY207" s="357"/>
      <c r="BZ207" s="357"/>
      <c r="CA207" s="357"/>
      <c r="CB207" s="357"/>
      <c r="CC207" s="357"/>
      <c r="CD207" s="357"/>
      <c r="CE207" s="357"/>
      <c r="CF207" s="357"/>
      <c r="CG207" s="357"/>
      <c r="CH207" s="357"/>
      <c r="CI207" s="357"/>
      <c r="CJ207" s="357"/>
      <c r="CK207" s="357"/>
      <c r="CL207" s="357"/>
      <c r="CM207" s="357"/>
      <c r="CN207" s="357"/>
      <c r="CO207" s="357"/>
      <c r="CP207" s="357"/>
      <c r="CQ207" s="357"/>
      <c r="CR207" s="357"/>
      <c r="CS207" s="357"/>
      <c r="CT207" s="357"/>
      <c r="CU207" s="357"/>
      <c r="CV207" s="357"/>
      <c r="CW207" s="357"/>
      <c r="CX207" s="357"/>
    </row>
    <row r="208" spans="2:10" ht="18.75">
      <c r="B208" s="630" t="s">
        <v>294</v>
      </c>
      <c r="C208" s="630"/>
      <c r="D208" s="630"/>
      <c r="E208" s="630"/>
      <c r="F208" s="630"/>
      <c r="G208" s="630"/>
      <c r="H208" s="630"/>
      <c r="I208" s="631"/>
      <c r="J208" s="630"/>
    </row>
    <row r="209" spans="2:10" ht="18">
      <c r="B209" s="222" t="s">
        <v>56</v>
      </c>
      <c r="C209" s="606" t="s">
        <v>277</v>
      </c>
      <c r="D209" s="607"/>
      <c r="E209" s="607"/>
      <c r="F209" s="607"/>
      <c r="G209" s="607"/>
      <c r="H209" s="607"/>
      <c r="I209" s="607"/>
      <c r="J209" s="607"/>
    </row>
    <row r="210" spans="2:10" ht="18" customHeight="1">
      <c r="B210" s="223" t="s">
        <v>261</v>
      </c>
      <c r="C210" s="633" t="s">
        <v>262</v>
      </c>
      <c r="D210" s="633"/>
      <c r="E210" s="633"/>
      <c r="F210" s="633"/>
      <c r="G210" s="633"/>
      <c r="H210" s="633"/>
      <c r="I210" s="633"/>
      <c r="J210" s="633"/>
    </row>
    <row r="211" spans="2:10" ht="18">
      <c r="B211" s="224" t="s">
        <v>223</v>
      </c>
      <c r="C211" s="591" t="s">
        <v>276</v>
      </c>
      <c r="D211" s="592"/>
      <c r="E211" s="592"/>
      <c r="F211" s="592"/>
      <c r="G211" s="592"/>
      <c r="H211" s="592"/>
      <c r="I211" s="592"/>
      <c r="J211" s="592"/>
    </row>
    <row r="212" spans="2:10" ht="18" customHeight="1">
      <c r="B212" s="225">
        <v>3</v>
      </c>
      <c r="C212" s="590" t="s">
        <v>265</v>
      </c>
      <c r="D212" s="590"/>
      <c r="E212" s="590"/>
      <c r="F212" s="590"/>
      <c r="G212" s="590"/>
      <c r="H212" s="590"/>
      <c r="I212" s="590"/>
      <c r="J212" s="590"/>
    </row>
    <row r="213" spans="2:10" ht="18" customHeight="1">
      <c r="B213" s="206">
        <v>2</v>
      </c>
      <c r="C213" s="632" t="s">
        <v>306</v>
      </c>
      <c r="D213" s="632"/>
      <c r="E213" s="632"/>
      <c r="F213" s="632"/>
      <c r="G213" s="632"/>
      <c r="H213" s="632"/>
      <c r="I213" s="632"/>
      <c r="J213" s="632"/>
    </row>
    <row r="214" spans="2:10" ht="18" customHeight="1">
      <c r="B214" s="226" t="s">
        <v>292</v>
      </c>
      <c r="C214" s="629" t="s">
        <v>293</v>
      </c>
      <c r="D214" s="629"/>
      <c r="E214" s="629"/>
      <c r="F214" s="629"/>
      <c r="G214" s="629"/>
      <c r="H214" s="629"/>
      <c r="I214" s="629"/>
      <c r="J214" s="629"/>
    </row>
    <row r="215" spans="2:10" ht="18" customHeight="1">
      <c r="B215" s="227" t="s">
        <v>55</v>
      </c>
      <c r="C215" s="588" t="s">
        <v>263</v>
      </c>
      <c r="D215" s="588"/>
      <c r="E215" s="588"/>
      <c r="F215" s="588"/>
      <c r="G215" s="588"/>
      <c r="H215" s="588"/>
      <c r="I215" s="588"/>
      <c r="J215" s="588"/>
    </row>
    <row r="216" spans="2:10" ht="18" customHeight="1">
      <c r="B216" s="228" t="s">
        <v>54</v>
      </c>
      <c r="C216" s="589" t="s">
        <v>264</v>
      </c>
      <c r="D216" s="589"/>
      <c r="E216" s="589"/>
      <c r="F216" s="589"/>
      <c r="G216" s="589"/>
      <c r="H216" s="589"/>
      <c r="I216" s="589"/>
      <c r="J216" s="589"/>
    </row>
  </sheetData>
  <sheetProtection formatCells="0" formatColumns="0" formatRows="0" insertColumns="0" insertRows="0" insertHyperlinks="0" deleteColumns="0" deleteRows="0" sort="0" autoFilter="0" pivotTables="0"/>
  <mergeCells count="60">
    <mergeCell ref="B10:I10"/>
    <mergeCell ref="B8:I8"/>
    <mergeCell ref="C214:J214"/>
    <mergeCell ref="B208:J208"/>
    <mergeCell ref="C213:J213"/>
    <mergeCell ref="AO7:AP7"/>
    <mergeCell ref="AM9:AN9"/>
    <mergeCell ref="C210:J210"/>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209:J209"/>
    <mergeCell ref="X1:AS1"/>
    <mergeCell ref="X2:X3"/>
    <mergeCell ref="W4:W5"/>
    <mergeCell ref="AO2:AP3"/>
    <mergeCell ref="A4:N5"/>
    <mergeCell ref="V2:V5"/>
    <mergeCell ref="Y2:AD2"/>
    <mergeCell ref="Y3:AD3"/>
    <mergeCell ref="W2:W3"/>
    <mergeCell ref="W9:X9"/>
    <mergeCell ref="C215:J215"/>
    <mergeCell ref="C216:J216"/>
    <mergeCell ref="C212:J212"/>
    <mergeCell ref="C211:J211"/>
    <mergeCell ref="A1:R1"/>
    <mergeCell ref="A2:R2"/>
    <mergeCell ref="A3:R3"/>
    <mergeCell ref="A202:AS207"/>
    <mergeCell ref="AO6:AS6"/>
  </mergeCells>
  <hyperlinks>
    <hyperlink ref="A3" r:id="rId1" display="http://www.antraktsinema.com"/>
  </hyperlinks>
  <printOptions/>
  <pageMargins left="0.3" right="0.13" top="0.18" bottom="0.21" header="0.13" footer="0.16"/>
  <pageSetup orientation="landscape" paperSize="9" scale="40" r:id="rId3"/>
  <ignoredErrors>
    <ignoredError sqref="AT25:AT33 AT40:AT42 AT53 AT16:AT23 AT38 AT104:AT145 AT86:AT100 AT14 AT46:AT51 AT60:AT69 AT71:AT81 AT83:AT84 A12:A15 AT35:AT36 A16:A68 AS12:AS50 AO51:AS55 AO68:AS68 AQ56:AS67" numberStoredAsText="1"/>
    <ignoredError sqref="AO56:AP67" numberStoredAsText="1" unlockedFormula="1"/>
    <ignoredError sqref="AO11:AP50"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50.00390625" style="14" bestFit="1" customWidth="1"/>
    <col min="3" max="3" width="18.57421875" style="14" bestFit="1" customWidth="1"/>
    <col min="4" max="4" width="18.140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50" t="s">
        <v>47</v>
      </c>
      <c r="B1" s="651"/>
      <c r="C1" s="651"/>
      <c r="D1" s="651"/>
      <c r="E1" s="643">
        <v>20</v>
      </c>
      <c r="F1" s="643"/>
    </row>
    <row r="2" spans="1:6" s="2" customFormat="1" ht="24" customHeight="1">
      <c r="A2" s="652" t="s">
        <v>48</v>
      </c>
      <c r="B2" s="653"/>
      <c r="C2" s="653"/>
      <c r="D2" s="653"/>
      <c r="E2" s="644"/>
      <c r="F2" s="644"/>
    </row>
    <row r="3" spans="1:6" s="2" customFormat="1" ht="27" thickBot="1">
      <c r="A3" s="597" t="s">
        <v>46</v>
      </c>
      <c r="B3" s="598"/>
      <c r="C3" s="598"/>
      <c r="D3" s="598"/>
      <c r="E3" s="645"/>
      <c r="F3" s="645"/>
    </row>
    <row r="4" spans="1:6" s="2" customFormat="1" ht="32.25" customHeight="1">
      <c r="A4" s="654" t="s">
        <v>718</v>
      </c>
      <c r="B4" s="655"/>
      <c r="C4" s="655"/>
      <c r="D4" s="655"/>
      <c r="E4" s="3"/>
      <c r="F4" s="3"/>
    </row>
    <row r="5" spans="1:6" s="2" customFormat="1" ht="33" customHeight="1" thickBot="1">
      <c r="A5" s="656"/>
      <c r="B5" s="656"/>
      <c r="C5" s="656"/>
      <c r="D5" s="656"/>
      <c r="E5" s="4"/>
      <c r="F5" s="4"/>
    </row>
    <row r="6" spans="1:6" s="5" customFormat="1" ht="15.75" customHeight="1" thickBot="1">
      <c r="A6" s="38"/>
      <c r="B6" s="657" t="s">
        <v>236</v>
      </c>
      <c r="C6" s="657"/>
      <c r="D6" s="657"/>
      <c r="E6" s="657"/>
      <c r="F6" s="658"/>
    </row>
    <row r="7" spans="1:6" s="6" customFormat="1" ht="12.75" customHeight="1">
      <c r="A7" s="39"/>
      <c r="B7" s="1"/>
      <c r="C7" s="1"/>
      <c r="D7" s="1"/>
      <c r="E7" s="648" t="s">
        <v>11</v>
      </c>
      <c r="F7" s="649"/>
    </row>
    <row r="8" spans="1:6" s="6" customFormat="1" ht="13.5" thickBot="1">
      <c r="A8" s="40"/>
      <c r="B8" s="8" t="s">
        <v>9</v>
      </c>
      <c r="C8" s="59" t="s">
        <v>76</v>
      </c>
      <c r="D8" s="59" t="s">
        <v>62</v>
      </c>
      <c r="E8" s="7" t="s">
        <v>7</v>
      </c>
      <c r="F8" s="440" t="s">
        <v>6</v>
      </c>
    </row>
    <row r="9" spans="1:6" s="9" customFormat="1" ht="12.75" customHeight="1">
      <c r="A9" s="79"/>
      <c r="B9" s="93"/>
      <c r="C9" s="94"/>
      <c r="D9" s="94"/>
      <c r="E9" s="646" t="s">
        <v>43</v>
      </c>
      <c r="F9" s="647"/>
    </row>
    <row r="10" spans="1:6" s="9" customFormat="1" ht="13.5" thickBot="1">
      <c r="A10" s="88"/>
      <c r="B10" s="8" t="s">
        <v>21</v>
      </c>
      <c r="C10" s="59" t="s">
        <v>75</v>
      </c>
      <c r="D10" s="59" t="s">
        <v>63</v>
      </c>
      <c r="E10" s="7" t="s">
        <v>38</v>
      </c>
      <c r="F10" s="440" t="s">
        <v>35</v>
      </c>
    </row>
    <row r="11" spans="1:6" s="10" customFormat="1" ht="13.5" customHeight="1">
      <c r="A11" s="437">
        <v>1</v>
      </c>
      <c r="B11" s="583" t="s">
        <v>643</v>
      </c>
      <c r="C11" s="584" t="s">
        <v>644</v>
      </c>
      <c r="D11" s="585" t="s">
        <v>643</v>
      </c>
      <c r="E11" s="438">
        <v>3454657.56</v>
      </c>
      <c r="F11" s="439">
        <v>382088</v>
      </c>
    </row>
    <row r="12" spans="1:6" s="10" customFormat="1" ht="13.5" customHeight="1">
      <c r="A12" s="95">
        <v>2</v>
      </c>
      <c r="B12" s="474" t="s">
        <v>697</v>
      </c>
      <c r="C12" s="475" t="s">
        <v>348</v>
      </c>
      <c r="D12" s="476" t="s">
        <v>697</v>
      </c>
      <c r="E12" s="89">
        <v>2787992</v>
      </c>
      <c r="F12" s="97">
        <v>320334</v>
      </c>
    </row>
    <row r="13" spans="1:6" s="10" customFormat="1" ht="13.5" customHeight="1">
      <c r="A13" s="95">
        <v>3</v>
      </c>
      <c r="B13" s="210" t="s">
        <v>728</v>
      </c>
      <c r="C13" s="461" t="s">
        <v>725</v>
      </c>
      <c r="D13" s="463" t="s">
        <v>727</v>
      </c>
      <c r="E13" s="89">
        <v>1018689.8200000001</v>
      </c>
      <c r="F13" s="97">
        <v>105786</v>
      </c>
    </row>
    <row r="14" spans="1:6" s="10" customFormat="1" ht="13.5" customHeight="1">
      <c r="A14" s="95">
        <v>4</v>
      </c>
      <c r="B14" s="207" t="s">
        <v>735</v>
      </c>
      <c r="C14" s="462" t="s">
        <v>92</v>
      </c>
      <c r="D14" s="466" t="s">
        <v>736</v>
      </c>
      <c r="E14" s="89">
        <v>596664</v>
      </c>
      <c r="F14" s="97">
        <v>48527</v>
      </c>
    </row>
    <row r="15" spans="1:6" s="10" customFormat="1" ht="13.5" customHeight="1">
      <c r="A15" s="95">
        <v>5</v>
      </c>
      <c r="B15" s="205" t="s">
        <v>714</v>
      </c>
      <c r="C15" s="462" t="s">
        <v>651</v>
      </c>
      <c r="D15" s="465" t="s">
        <v>715</v>
      </c>
      <c r="E15" s="89">
        <v>576842</v>
      </c>
      <c r="F15" s="97">
        <v>47573</v>
      </c>
    </row>
    <row r="16" spans="1:6" s="10" customFormat="1" ht="13.5" customHeight="1">
      <c r="A16" s="95">
        <v>6</v>
      </c>
      <c r="B16" s="203" t="s">
        <v>722</v>
      </c>
      <c r="C16" s="463" t="s">
        <v>132</v>
      </c>
      <c r="D16" s="463" t="s">
        <v>723</v>
      </c>
      <c r="E16" s="89">
        <v>247672</v>
      </c>
      <c r="F16" s="97">
        <v>20264</v>
      </c>
    </row>
    <row r="17" spans="1:6" s="10" customFormat="1" ht="13.5" customHeight="1">
      <c r="A17" s="95">
        <v>7</v>
      </c>
      <c r="B17" s="210" t="s">
        <v>694</v>
      </c>
      <c r="C17" s="461" t="s">
        <v>696</v>
      </c>
      <c r="D17" s="463" t="s">
        <v>695</v>
      </c>
      <c r="E17" s="89">
        <v>233884.64</v>
      </c>
      <c r="F17" s="97">
        <v>20352</v>
      </c>
    </row>
    <row r="18" spans="1:6" s="10" customFormat="1" ht="13.5" customHeight="1">
      <c r="A18" s="95">
        <v>8</v>
      </c>
      <c r="B18" s="211" t="s">
        <v>698</v>
      </c>
      <c r="C18" s="462" t="s">
        <v>699</v>
      </c>
      <c r="D18" s="465" t="s">
        <v>698</v>
      </c>
      <c r="E18" s="89">
        <v>91333</v>
      </c>
      <c r="F18" s="97">
        <v>6449</v>
      </c>
    </row>
    <row r="19" spans="1:6" s="10" customFormat="1" ht="13.5" customHeight="1">
      <c r="A19" s="95">
        <v>9</v>
      </c>
      <c r="B19" s="203" t="s">
        <v>641</v>
      </c>
      <c r="C19" s="462" t="s">
        <v>92</v>
      </c>
      <c r="D19" s="463" t="s">
        <v>642</v>
      </c>
      <c r="E19" s="89">
        <v>77460</v>
      </c>
      <c r="F19" s="97">
        <v>6699</v>
      </c>
    </row>
    <row r="20" spans="1:6" s="10" customFormat="1" ht="13.5" customHeight="1">
      <c r="A20" s="95">
        <v>10</v>
      </c>
      <c r="B20" s="210" t="s">
        <v>673</v>
      </c>
      <c r="C20" s="461" t="s">
        <v>126</v>
      </c>
      <c r="D20" s="463" t="s">
        <v>674</v>
      </c>
      <c r="E20" s="89">
        <v>66012.5</v>
      </c>
      <c r="F20" s="97">
        <v>4677</v>
      </c>
    </row>
    <row r="21" spans="1:6" s="10" customFormat="1" ht="13.5" customHeight="1">
      <c r="A21" s="95">
        <v>11</v>
      </c>
      <c r="B21" s="478" t="s">
        <v>721</v>
      </c>
      <c r="C21" s="479" t="s">
        <v>724</v>
      </c>
      <c r="D21" s="479" t="s">
        <v>721</v>
      </c>
      <c r="E21" s="89">
        <v>43805.19</v>
      </c>
      <c r="F21" s="97">
        <v>5301</v>
      </c>
    </row>
    <row r="22" spans="1:6" s="10" customFormat="1" ht="13.5" customHeight="1">
      <c r="A22" s="95">
        <v>12</v>
      </c>
      <c r="B22" s="210" t="s">
        <v>729</v>
      </c>
      <c r="C22" s="461" t="s">
        <v>731</v>
      </c>
      <c r="D22" s="463" t="s">
        <v>730</v>
      </c>
      <c r="E22" s="89">
        <v>26659.84</v>
      </c>
      <c r="F22" s="97">
        <v>2292</v>
      </c>
    </row>
    <row r="23" spans="1:6" s="10" customFormat="1" ht="13.5" customHeight="1">
      <c r="A23" s="95">
        <v>13</v>
      </c>
      <c r="B23" s="207" t="s">
        <v>561</v>
      </c>
      <c r="C23" s="466" t="s">
        <v>563</v>
      </c>
      <c r="D23" s="466" t="s">
        <v>562</v>
      </c>
      <c r="E23" s="89">
        <v>14715.5</v>
      </c>
      <c r="F23" s="97">
        <v>1214</v>
      </c>
    </row>
    <row r="24" spans="1:6" s="10" customFormat="1" ht="13.5" customHeight="1">
      <c r="A24" s="95">
        <v>14</v>
      </c>
      <c r="B24" s="477" t="s">
        <v>564</v>
      </c>
      <c r="C24" s="475" t="s">
        <v>348</v>
      </c>
      <c r="D24" s="473" t="s">
        <v>564</v>
      </c>
      <c r="E24" s="89">
        <v>13602</v>
      </c>
      <c r="F24" s="97">
        <v>2162</v>
      </c>
    </row>
    <row r="25" spans="1:6" s="10" customFormat="1" ht="13.5" customHeight="1">
      <c r="A25" s="95">
        <v>15</v>
      </c>
      <c r="B25" s="474" t="s">
        <v>107</v>
      </c>
      <c r="C25" s="476" t="s">
        <v>123</v>
      </c>
      <c r="D25" s="476" t="s">
        <v>107</v>
      </c>
      <c r="E25" s="89">
        <v>12314</v>
      </c>
      <c r="F25" s="97">
        <v>3136</v>
      </c>
    </row>
    <row r="26" spans="1:6" s="10" customFormat="1" ht="13.5" customHeight="1">
      <c r="A26" s="95">
        <v>16</v>
      </c>
      <c r="B26" s="211" t="s">
        <v>393</v>
      </c>
      <c r="C26" s="462" t="s">
        <v>396</v>
      </c>
      <c r="D26" s="465" t="s">
        <v>395</v>
      </c>
      <c r="E26" s="89">
        <v>8158.5</v>
      </c>
      <c r="F26" s="97">
        <v>509</v>
      </c>
    </row>
    <row r="27" spans="1:6" s="10" customFormat="1" ht="13.5" customHeight="1">
      <c r="A27" s="95">
        <v>17</v>
      </c>
      <c r="B27" s="211" t="s">
        <v>430</v>
      </c>
      <c r="C27" s="462" t="s">
        <v>432</v>
      </c>
      <c r="D27" s="465" t="s">
        <v>431</v>
      </c>
      <c r="E27" s="89">
        <v>6236</v>
      </c>
      <c r="F27" s="97">
        <v>1167</v>
      </c>
    </row>
    <row r="28" spans="1:6" s="10" customFormat="1" ht="13.5" customHeight="1">
      <c r="A28" s="95">
        <v>18</v>
      </c>
      <c r="B28" s="211" t="s">
        <v>719</v>
      </c>
      <c r="C28" s="462" t="s">
        <v>377</v>
      </c>
      <c r="D28" s="465" t="s">
        <v>720</v>
      </c>
      <c r="E28" s="89">
        <v>5564</v>
      </c>
      <c r="F28" s="97">
        <v>452</v>
      </c>
    </row>
    <row r="29" spans="1:6" s="10" customFormat="1" ht="13.5" customHeight="1">
      <c r="A29" s="95">
        <v>19</v>
      </c>
      <c r="B29" s="207" t="s">
        <v>383</v>
      </c>
      <c r="C29" s="462" t="s">
        <v>217</v>
      </c>
      <c r="D29" s="466" t="s">
        <v>384</v>
      </c>
      <c r="E29" s="89">
        <v>4978</v>
      </c>
      <c r="F29" s="97">
        <v>792</v>
      </c>
    </row>
    <row r="30" spans="1:6" s="10" customFormat="1" ht="13.5" customHeight="1" thickBot="1">
      <c r="A30" s="96">
        <v>20</v>
      </c>
      <c r="B30" s="478" t="s">
        <v>579</v>
      </c>
      <c r="C30" s="475" t="s">
        <v>587</v>
      </c>
      <c r="D30" s="479" t="s">
        <v>579</v>
      </c>
      <c r="E30" s="90">
        <v>3906</v>
      </c>
      <c r="F30" s="98">
        <v>671</v>
      </c>
    </row>
    <row r="31" spans="1:6" ht="18">
      <c r="A31" s="634" t="s">
        <v>14</v>
      </c>
      <c r="B31" s="635"/>
      <c r="C31" s="635"/>
      <c r="D31" s="635"/>
      <c r="E31" s="635"/>
      <c r="F31" s="636"/>
    </row>
    <row r="32" spans="1:6" ht="18">
      <c r="A32" s="637"/>
      <c r="B32" s="638"/>
      <c r="C32" s="638"/>
      <c r="D32" s="638"/>
      <c r="E32" s="638"/>
      <c r="F32" s="639"/>
    </row>
    <row r="33" spans="1:6" ht="18">
      <c r="A33" s="637"/>
      <c r="B33" s="638"/>
      <c r="C33" s="638"/>
      <c r="D33" s="638"/>
      <c r="E33" s="638"/>
      <c r="F33" s="639"/>
    </row>
    <row r="34" spans="1:6" ht="18">
      <c r="A34" s="637"/>
      <c r="B34" s="638"/>
      <c r="C34" s="638"/>
      <c r="D34" s="638"/>
      <c r="E34" s="638"/>
      <c r="F34" s="639"/>
    </row>
    <row r="35" spans="1:6" ht="18">
      <c r="A35" s="637"/>
      <c r="B35" s="638"/>
      <c r="C35" s="638"/>
      <c r="D35" s="638"/>
      <c r="E35" s="638"/>
      <c r="F35" s="639"/>
    </row>
    <row r="36" spans="1:6" ht="18.75" thickBot="1">
      <c r="A36" s="640"/>
      <c r="B36" s="641"/>
      <c r="C36" s="641"/>
      <c r="D36" s="641"/>
      <c r="E36" s="641"/>
      <c r="F36" s="642"/>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9.421875" style="14" bestFit="1" customWidth="1"/>
    <col min="3" max="3" width="21.421875" style="14" bestFit="1" customWidth="1"/>
    <col min="4" max="4" width="34.7109375" style="14" bestFit="1" customWidth="1"/>
    <col min="5" max="5" width="14.28125" style="20" bestFit="1" customWidth="1"/>
    <col min="6" max="6" width="10.140625" style="21" bestFit="1" customWidth="1"/>
    <col min="7" max="16384" width="4.421875" style="14" customWidth="1"/>
  </cols>
  <sheetData>
    <row r="1" spans="1:6" s="2" customFormat="1" ht="35.25" customHeight="1" thickBot="1">
      <c r="A1" s="650" t="s">
        <v>305</v>
      </c>
      <c r="B1" s="651"/>
      <c r="C1" s="651"/>
      <c r="D1" s="651"/>
      <c r="E1" s="643">
        <v>20</v>
      </c>
      <c r="F1" s="643"/>
    </row>
    <row r="2" spans="1:6" s="2" customFormat="1" ht="24" customHeight="1">
      <c r="A2" s="652" t="s">
        <v>48</v>
      </c>
      <c r="B2" s="653"/>
      <c r="C2" s="653"/>
      <c r="D2" s="653"/>
      <c r="E2" s="644"/>
      <c r="F2" s="644"/>
    </row>
    <row r="3" spans="1:6" s="2" customFormat="1" ht="27" thickBot="1">
      <c r="A3" s="597" t="s">
        <v>46</v>
      </c>
      <c r="B3" s="598"/>
      <c r="C3" s="598"/>
      <c r="D3" s="598"/>
      <c r="E3" s="645"/>
      <c r="F3" s="645"/>
    </row>
    <row r="4" spans="1:6" s="2" customFormat="1" ht="32.25" customHeight="1">
      <c r="A4" s="654" t="s">
        <v>739</v>
      </c>
      <c r="B4" s="655"/>
      <c r="C4" s="655"/>
      <c r="D4" s="655"/>
      <c r="E4" s="3"/>
      <c r="F4" s="3"/>
    </row>
    <row r="5" spans="1:6" s="2" customFormat="1" ht="33" customHeight="1" thickBot="1">
      <c r="A5" s="656"/>
      <c r="B5" s="656"/>
      <c r="C5" s="656"/>
      <c r="D5" s="656"/>
      <c r="E5" s="4"/>
      <c r="F5" s="4"/>
    </row>
    <row r="6" spans="1:6" s="5" customFormat="1" ht="15.75" customHeight="1" thickBot="1">
      <c r="A6" s="38"/>
      <c r="B6" s="657" t="s">
        <v>236</v>
      </c>
      <c r="C6" s="657"/>
      <c r="D6" s="657"/>
      <c r="E6" s="657"/>
      <c r="F6" s="658"/>
    </row>
    <row r="7" spans="1:6" s="6" customFormat="1" ht="12.75" customHeight="1">
      <c r="A7" s="39"/>
      <c r="B7" s="1"/>
      <c r="C7" s="1"/>
      <c r="D7" s="1"/>
      <c r="E7" s="648" t="s">
        <v>11</v>
      </c>
      <c r="F7" s="649"/>
    </row>
    <row r="8" spans="1:6" s="6" customFormat="1" ht="13.5" thickBot="1">
      <c r="A8" s="40"/>
      <c r="B8" s="8" t="s">
        <v>9</v>
      </c>
      <c r="C8" s="59" t="s">
        <v>76</v>
      </c>
      <c r="D8" s="59" t="s">
        <v>62</v>
      </c>
      <c r="E8" s="7" t="s">
        <v>7</v>
      </c>
      <c r="F8" s="440" t="s">
        <v>6</v>
      </c>
    </row>
    <row r="9" spans="1:6" s="9" customFormat="1" ht="12.75" customHeight="1">
      <c r="A9" s="79"/>
      <c r="B9" s="93"/>
      <c r="C9" s="94"/>
      <c r="D9" s="94"/>
      <c r="E9" s="646" t="s">
        <v>43</v>
      </c>
      <c r="F9" s="647"/>
    </row>
    <row r="10" spans="1:6" s="9" customFormat="1" ht="13.5" thickBot="1">
      <c r="A10" s="88"/>
      <c r="B10" s="8" t="s">
        <v>21</v>
      </c>
      <c r="C10" s="59" t="s">
        <v>75</v>
      </c>
      <c r="D10" s="59" t="s">
        <v>63</v>
      </c>
      <c r="E10" s="7" t="s">
        <v>38</v>
      </c>
      <c r="F10" s="440" t="s">
        <v>35</v>
      </c>
    </row>
    <row r="11" spans="1:6" s="10" customFormat="1" ht="13.5" customHeight="1">
      <c r="A11" s="437">
        <v>1</v>
      </c>
      <c r="B11" s="739" t="s">
        <v>643</v>
      </c>
      <c r="C11" s="740" t="s">
        <v>644</v>
      </c>
      <c r="D11" s="741" t="s">
        <v>643</v>
      </c>
      <c r="E11" s="737">
        <v>5223359.88</v>
      </c>
      <c r="F11" s="738">
        <v>623396</v>
      </c>
    </row>
    <row r="12" spans="1:6" s="10" customFormat="1" ht="13.5" customHeight="1">
      <c r="A12" s="95">
        <v>2</v>
      </c>
      <c r="B12" s="742" t="s">
        <v>697</v>
      </c>
      <c r="C12" s="743" t="s">
        <v>348</v>
      </c>
      <c r="D12" s="744" t="s">
        <v>697</v>
      </c>
      <c r="E12" s="334">
        <v>4089156</v>
      </c>
      <c r="F12" s="441">
        <v>451806</v>
      </c>
    </row>
    <row r="13" spans="1:6" s="10" customFormat="1" ht="13.5" customHeight="1">
      <c r="A13" s="95">
        <v>3</v>
      </c>
      <c r="B13" s="210" t="s">
        <v>728</v>
      </c>
      <c r="C13" s="461" t="s">
        <v>725</v>
      </c>
      <c r="D13" s="463" t="s">
        <v>727</v>
      </c>
      <c r="E13" s="334">
        <v>1278312.83</v>
      </c>
      <c r="F13" s="441">
        <v>140325</v>
      </c>
    </row>
    <row r="14" spans="1:6" s="10" customFormat="1" ht="13.5" customHeight="1">
      <c r="A14" s="95">
        <v>4</v>
      </c>
      <c r="B14" s="207" t="s">
        <v>735</v>
      </c>
      <c r="C14" s="462" t="s">
        <v>92</v>
      </c>
      <c r="D14" s="466" t="s">
        <v>736</v>
      </c>
      <c r="E14" s="335">
        <v>891100</v>
      </c>
      <c r="F14" s="442">
        <v>77619</v>
      </c>
    </row>
    <row r="15" spans="1:6" s="10" customFormat="1" ht="13.5" customHeight="1">
      <c r="A15" s="95">
        <v>5</v>
      </c>
      <c r="B15" s="205" t="s">
        <v>714</v>
      </c>
      <c r="C15" s="462" t="s">
        <v>651</v>
      </c>
      <c r="D15" s="465" t="s">
        <v>715</v>
      </c>
      <c r="E15" s="334">
        <v>801122</v>
      </c>
      <c r="F15" s="441">
        <v>70458</v>
      </c>
    </row>
    <row r="16" spans="1:6" s="10" customFormat="1" ht="13.5" customHeight="1">
      <c r="A16" s="95">
        <v>6</v>
      </c>
      <c r="B16" s="210" t="s">
        <v>694</v>
      </c>
      <c r="C16" s="461" t="s">
        <v>696</v>
      </c>
      <c r="D16" s="463" t="s">
        <v>695</v>
      </c>
      <c r="E16" s="335">
        <v>390671.63</v>
      </c>
      <c r="F16" s="442">
        <v>38385</v>
      </c>
    </row>
    <row r="17" spans="1:6" s="10" customFormat="1" ht="13.5" customHeight="1">
      <c r="A17" s="95">
        <v>7</v>
      </c>
      <c r="B17" s="203" t="s">
        <v>722</v>
      </c>
      <c r="C17" s="463" t="s">
        <v>132</v>
      </c>
      <c r="D17" s="463" t="s">
        <v>723</v>
      </c>
      <c r="E17" s="335">
        <v>384292</v>
      </c>
      <c r="F17" s="442">
        <v>34812</v>
      </c>
    </row>
    <row r="18" spans="1:6" s="10" customFormat="1" ht="13.5" customHeight="1">
      <c r="A18" s="95">
        <v>8</v>
      </c>
      <c r="B18" s="211" t="s">
        <v>698</v>
      </c>
      <c r="C18" s="462" t="s">
        <v>699</v>
      </c>
      <c r="D18" s="465" t="s">
        <v>698</v>
      </c>
      <c r="E18" s="334">
        <v>143744</v>
      </c>
      <c r="F18" s="441">
        <v>11309</v>
      </c>
    </row>
    <row r="19" spans="1:6" s="10" customFormat="1" ht="13.5" customHeight="1">
      <c r="A19" s="95">
        <v>9</v>
      </c>
      <c r="B19" s="210" t="s">
        <v>673</v>
      </c>
      <c r="C19" s="461" t="s">
        <v>126</v>
      </c>
      <c r="D19" s="463" t="s">
        <v>674</v>
      </c>
      <c r="E19" s="336">
        <v>100425.5</v>
      </c>
      <c r="F19" s="443">
        <v>7678</v>
      </c>
    </row>
    <row r="20" spans="1:6" s="10" customFormat="1" ht="13.5" customHeight="1">
      <c r="A20" s="95">
        <v>10</v>
      </c>
      <c r="B20" s="203" t="s">
        <v>641</v>
      </c>
      <c r="C20" s="462" t="s">
        <v>92</v>
      </c>
      <c r="D20" s="463" t="s">
        <v>642</v>
      </c>
      <c r="E20" s="337">
        <v>95173</v>
      </c>
      <c r="F20" s="444">
        <v>9084</v>
      </c>
    </row>
    <row r="21" spans="1:6" s="10" customFormat="1" ht="13.5" customHeight="1">
      <c r="A21" s="95">
        <v>11</v>
      </c>
      <c r="B21" s="745" t="s">
        <v>721</v>
      </c>
      <c r="C21" s="746" t="s">
        <v>724</v>
      </c>
      <c r="D21" s="746" t="s">
        <v>721</v>
      </c>
      <c r="E21" s="337">
        <v>70303.72</v>
      </c>
      <c r="F21" s="444">
        <v>9206</v>
      </c>
    </row>
    <row r="22" spans="1:6" s="10" customFormat="1" ht="13.5" customHeight="1">
      <c r="A22" s="95">
        <v>12</v>
      </c>
      <c r="B22" s="210" t="s">
        <v>729</v>
      </c>
      <c r="C22" s="461" t="s">
        <v>731</v>
      </c>
      <c r="D22" s="463" t="s">
        <v>730</v>
      </c>
      <c r="E22" s="337">
        <v>44155.29</v>
      </c>
      <c r="F22" s="444">
        <v>4205</v>
      </c>
    </row>
    <row r="23" spans="1:6" s="10" customFormat="1" ht="13.5" customHeight="1">
      <c r="A23" s="95">
        <v>13</v>
      </c>
      <c r="B23" s="203" t="s">
        <v>645</v>
      </c>
      <c r="C23" s="463" t="s">
        <v>440</v>
      </c>
      <c r="D23" s="463" t="s">
        <v>646</v>
      </c>
      <c r="E23" s="338">
        <v>43657</v>
      </c>
      <c r="F23" s="445">
        <v>4991</v>
      </c>
    </row>
    <row r="24" spans="1:6" s="10" customFormat="1" ht="13.5" customHeight="1">
      <c r="A24" s="95">
        <v>14</v>
      </c>
      <c r="B24" s="207" t="s">
        <v>561</v>
      </c>
      <c r="C24" s="466" t="s">
        <v>563</v>
      </c>
      <c r="D24" s="466" t="s">
        <v>562</v>
      </c>
      <c r="E24" s="335">
        <v>23655.5</v>
      </c>
      <c r="F24" s="442">
        <v>2126</v>
      </c>
    </row>
    <row r="25" spans="1:6" s="10" customFormat="1" ht="13.5" customHeight="1">
      <c r="A25" s="95">
        <v>15</v>
      </c>
      <c r="B25" s="747" t="s">
        <v>564</v>
      </c>
      <c r="C25" s="743" t="s">
        <v>348</v>
      </c>
      <c r="D25" s="748" t="s">
        <v>564</v>
      </c>
      <c r="E25" s="337">
        <v>21582</v>
      </c>
      <c r="F25" s="444">
        <v>3600</v>
      </c>
    </row>
    <row r="26" spans="1:6" s="10" customFormat="1" ht="13.5" customHeight="1">
      <c r="A26" s="95">
        <v>16</v>
      </c>
      <c r="B26" s="742" t="s">
        <v>107</v>
      </c>
      <c r="C26" s="744" t="s">
        <v>123</v>
      </c>
      <c r="D26" s="744" t="s">
        <v>107</v>
      </c>
      <c r="E26" s="337">
        <v>21051.01</v>
      </c>
      <c r="F26" s="444">
        <v>5321</v>
      </c>
    </row>
    <row r="27" spans="1:6" s="10" customFormat="1" ht="13.5" customHeight="1">
      <c r="A27" s="95">
        <v>17</v>
      </c>
      <c r="B27" s="203" t="s">
        <v>672</v>
      </c>
      <c r="C27" s="463" t="s">
        <v>342</v>
      </c>
      <c r="D27" s="463" t="s">
        <v>671</v>
      </c>
      <c r="E27" s="337">
        <v>19569</v>
      </c>
      <c r="F27" s="444">
        <v>1214</v>
      </c>
    </row>
    <row r="28" spans="1:6" s="10" customFormat="1" ht="13.5" customHeight="1">
      <c r="A28" s="95">
        <v>18</v>
      </c>
      <c r="B28" s="211" t="s">
        <v>393</v>
      </c>
      <c r="C28" s="462" t="s">
        <v>396</v>
      </c>
      <c r="D28" s="465" t="s">
        <v>395</v>
      </c>
      <c r="E28" s="335">
        <v>10342.5</v>
      </c>
      <c r="F28" s="442">
        <v>689</v>
      </c>
    </row>
    <row r="29" spans="1:6" s="10" customFormat="1" ht="13.5" customHeight="1">
      <c r="A29" s="95">
        <v>19</v>
      </c>
      <c r="B29" s="211" t="s">
        <v>430</v>
      </c>
      <c r="C29" s="462" t="s">
        <v>432</v>
      </c>
      <c r="D29" s="465" t="s">
        <v>431</v>
      </c>
      <c r="E29" s="334">
        <v>8613</v>
      </c>
      <c r="F29" s="441">
        <v>1631</v>
      </c>
    </row>
    <row r="30" spans="1:6" s="10" customFormat="1" ht="13.5" customHeight="1" thickBot="1">
      <c r="A30" s="96">
        <v>20</v>
      </c>
      <c r="B30" s="211" t="s">
        <v>744</v>
      </c>
      <c r="C30" s="462" t="s">
        <v>377</v>
      </c>
      <c r="D30" s="465" t="s">
        <v>720</v>
      </c>
      <c r="E30" s="446">
        <v>8523</v>
      </c>
      <c r="F30" s="447">
        <v>758</v>
      </c>
    </row>
    <row r="31" spans="1:6" ht="18">
      <c r="A31" s="634" t="s">
        <v>14</v>
      </c>
      <c r="B31" s="635"/>
      <c r="C31" s="635"/>
      <c r="D31" s="635"/>
      <c r="E31" s="635"/>
      <c r="F31" s="636"/>
    </row>
    <row r="32" spans="1:6" ht="18">
      <c r="A32" s="637"/>
      <c r="B32" s="638"/>
      <c r="C32" s="638"/>
      <c r="D32" s="638"/>
      <c r="E32" s="638"/>
      <c r="F32" s="639"/>
    </row>
    <row r="33" spans="1:6" ht="18">
      <c r="A33" s="637"/>
      <c r="B33" s="638"/>
      <c r="C33" s="638"/>
      <c r="D33" s="638"/>
      <c r="E33" s="638"/>
      <c r="F33" s="639"/>
    </row>
    <row r="34" spans="1:6" ht="18">
      <c r="A34" s="637"/>
      <c r="B34" s="638"/>
      <c r="C34" s="638"/>
      <c r="D34" s="638"/>
      <c r="E34" s="638"/>
      <c r="F34" s="639"/>
    </row>
    <row r="35" spans="1:6" ht="18">
      <c r="A35" s="637"/>
      <c r="B35" s="638"/>
      <c r="C35" s="638"/>
      <c r="D35" s="638"/>
      <c r="E35" s="638"/>
      <c r="F35" s="639"/>
    </row>
    <row r="36" spans="1:6" ht="18.75" thickBot="1">
      <c r="A36" s="640"/>
      <c r="B36" s="641"/>
      <c r="C36" s="641"/>
      <c r="D36" s="641"/>
      <c r="E36" s="641"/>
      <c r="F36" s="642"/>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R490"/>
  <sheetViews>
    <sheetView zoomScale="80" zoomScaleNormal="80" zoomScalePageLayoutView="0" workbookViewId="0" topLeftCell="A1">
      <selection activeCell="A3" sqref="A3:F3"/>
    </sheetView>
  </sheetViews>
  <sheetFormatPr defaultColWidth="9.140625" defaultRowHeight="12.75"/>
  <cols>
    <col min="1" max="1" width="2.421875" style="146" bestFit="1" customWidth="1"/>
    <col min="2" max="3" width="2.28125" style="146" bestFit="1" customWidth="1"/>
    <col min="4" max="4" width="2.140625" style="146" bestFit="1" customWidth="1"/>
    <col min="5" max="5" width="2.28125" style="146" bestFit="1" customWidth="1"/>
    <col min="6" max="6" width="2.140625" style="146" bestFit="1" customWidth="1"/>
    <col min="7" max="7" width="55.28125" style="392" bestFit="1" customWidth="1"/>
    <col min="8" max="8" width="28.57421875" style="392" bestFit="1" customWidth="1"/>
    <col min="9" max="9" width="19.140625" style="392" bestFit="1" customWidth="1"/>
    <col min="10" max="10" width="45.00390625" style="392" bestFit="1" customWidth="1"/>
    <col min="11" max="11" width="8.7109375" style="392" bestFit="1" customWidth="1"/>
    <col min="12" max="12" width="20.8515625" style="392" bestFit="1" customWidth="1"/>
    <col min="13" max="13" width="8.421875" style="392" bestFit="1" customWidth="1"/>
    <col min="14" max="14" width="12.421875" style="392" customWidth="1"/>
    <col min="15" max="15" width="9.28125" style="392" bestFit="1" customWidth="1"/>
    <col min="16" max="16" width="13.57421875" style="392" bestFit="1" customWidth="1"/>
    <col min="17" max="17" width="12.8515625" style="392" bestFit="1" customWidth="1"/>
    <col min="18" max="18" width="9.8515625" style="785" bestFit="1" customWidth="1"/>
    <col min="19" max="16384" width="9.140625" style="392" customWidth="1"/>
  </cols>
  <sheetData>
    <row r="1" spans="1:18" ht="12.75">
      <c r="A1" s="659" t="s">
        <v>740</v>
      </c>
      <c r="B1" s="660"/>
      <c r="C1" s="660"/>
      <c r="D1" s="660"/>
      <c r="E1" s="660"/>
      <c r="F1" s="660"/>
      <c r="G1" s="660"/>
      <c r="H1" s="660"/>
      <c r="I1" s="660"/>
      <c r="J1" s="660"/>
      <c r="K1" s="660"/>
      <c r="L1" s="660"/>
      <c r="M1" s="660"/>
      <c r="N1" s="660"/>
      <c r="O1" s="660"/>
      <c r="P1" s="660"/>
      <c r="Q1" s="660"/>
      <c r="R1" s="661"/>
    </row>
    <row r="2" spans="1:18" ht="12.75">
      <c r="A2" s="393"/>
      <c r="B2" s="393"/>
      <c r="C2" s="393"/>
      <c r="D2" s="393"/>
      <c r="E2" s="393"/>
      <c r="F2" s="393"/>
      <c r="G2" s="393"/>
      <c r="H2" s="393"/>
      <c r="I2" s="393"/>
      <c r="J2" s="393"/>
      <c r="K2" s="393" t="s">
        <v>409</v>
      </c>
      <c r="L2" s="393"/>
      <c r="M2" s="393" t="s">
        <v>410</v>
      </c>
      <c r="N2" s="394" t="s">
        <v>423</v>
      </c>
      <c r="O2" s="394" t="s">
        <v>423</v>
      </c>
      <c r="P2" s="393" t="s">
        <v>314</v>
      </c>
      <c r="Q2" s="393" t="s">
        <v>314</v>
      </c>
      <c r="R2" s="393" t="s">
        <v>411</v>
      </c>
    </row>
    <row r="3" spans="1:18" ht="13.5" thickBot="1">
      <c r="A3" s="662" t="s">
        <v>412</v>
      </c>
      <c r="B3" s="663"/>
      <c r="C3" s="663"/>
      <c r="D3" s="663"/>
      <c r="E3" s="663"/>
      <c r="F3" s="664"/>
      <c r="G3" s="395" t="s">
        <v>413</v>
      </c>
      <c r="H3" s="395" t="s">
        <v>414</v>
      </c>
      <c r="I3" s="395" t="s">
        <v>415</v>
      </c>
      <c r="J3" s="395" t="s">
        <v>416</v>
      </c>
      <c r="K3" s="395" t="s">
        <v>417</v>
      </c>
      <c r="L3" s="395" t="s">
        <v>418</v>
      </c>
      <c r="M3" s="450" t="s">
        <v>419</v>
      </c>
      <c r="N3" s="451" t="s">
        <v>315</v>
      </c>
      <c r="O3" s="451" t="s">
        <v>316</v>
      </c>
      <c r="P3" s="450" t="s">
        <v>315</v>
      </c>
      <c r="Q3" s="450" t="s">
        <v>316</v>
      </c>
      <c r="R3" s="395" t="s">
        <v>421</v>
      </c>
    </row>
    <row r="4" spans="1:18" ht="9" customHeight="1">
      <c r="A4" s="530"/>
      <c r="B4" s="530"/>
      <c r="C4" s="753"/>
      <c r="D4" s="753"/>
      <c r="E4" s="753"/>
      <c r="F4" s="754" t="s">
        <v>54</v>
      </c>
      <c r="G4" s="531">
        <v>120</v>
      </c>
      <c r="H4" s="531" t="s">
        <v>690</v>
      </c>
      <c r="I4" s="532"/>
      <c r="J4" s="531">
        <v>120</v>
      </c>
      <c r="K4" s="533">
        <v>39488</v>
      </c>
      <c r="L4" s="534" t="s">
        <v>53</v>
      </c>
      <c r="M4" s="535">
        <v>179</v>
      </c>
      <c r="N4" s="536">
        <v>1201</v>
      </c>
      <c r="O4" s="537">
        <v>240</v>
      </c>
      <c r="P4" s="538">
        <f>5039812.5+1919+2402+2402+1201</f>
        <v>5047736.5</v>
      </c>
      <c r="Q4" s="539">
        <f>1038442+320+480+480+240</f>
        <v>1039962</v>
      </c>
      <c r="R4" s="540">
        <v>40970</v>
      </c>
    </row>
    <row r="5" spans="1:18" ht="9" customHeight="1">
      <c r="A5" s="755"/>
      <c r="B5" s="755"/>
      <c r="C5" s="755"/>
      <c r="D5" s="755"/>
      <c r="E5" s="756"/>
      <c r="F5" s="757" t="s">
        <v>54</v>
      </c>
      <c r="G5" s="486" t="s">
        <v>648</v>
      </c>
      <c r="H5" s="487" t="s">
        <v>653</v>
      </c>
      <c r="I5" s="487"/>
      <c r="J5" s="487" t="s">
        <v>648</v>
      </c>
      <c r="K5" s="488">
        <v>40606</v>
      </c>
      <c r="L5" s="487" t="s">
        <v>52</v>
      </c>
      <c r="M5" s="255">
        <v>152</v>
      </c>
      <c r="N5" s="489">
        <v>2970</v>
      </c>
      <c r="O5" s="490">
        <v>594</v>
      </c>
      <c r="P5" s="489">
        <f>1064857.25+602581.25+269086.5+86552+70688+40243.5+15124.5+5534.5+5248.5+1364+305+140+147+994+250+240+70+55+2970</f>
        <v>2166451</v>
      </c>
      <c r="Q5" s="490">
        <f>118954+67997+33243+12973+11521+6623+2561+922+800+239+45+20+21+199+36+34+14+11+594</f>
        <v>256807</v>
      </c>
      <c r="R5" s="218">
        <v>40956</v>
      </c>
    </row>
    <row r="6" spans="1:18" ht="9" customHeight="1">
      <c r="A6" s="755"/>
      <c r="B6" s="755"/>
      <c r="C6" s="755"/>
      <c r="D6" s="755"/>
      <c r="E6" s="756"/>
      <c r="F6" s="758"/>
      <c r="G6" s="491" t="s">
        <v>100</v>
      </c>
      <c r="H6" s="492" t="s">
        <v>102</v>
      </c>
      <c r="I6" s="493" t="s">
        <v>79</v>
      </c>
      <c r="J6" s="491" t="s">
        <v>101</v>
      </c>
      <c r="K6" s="488">
        <v>40872</v>
      </c>
      <c r="L6" s="487" t="s">
        <v>68</v>
      </c>
      <c r="M6" s="254">
        <v>20</v>
      </c>
      <c r="N6" s="295">
        <v>5123.5</v>
      </c>
      <c r="O6" s="296">
        <v>724</v>
      </c>
      <c r="P6" s="295">
        <f>176767+122916.5+61599.5+22558.5+2646.5+4568+385+2545+1731+2348+5123.5</f>
        <v>403188.5</v>
      </c>
      <c r="Q6" s="296">
        <f>14023+9525+5052+1961+507+655+55+406+298+346+724</f>
        <v>33552</v>
      </c>
      <c r="R6" s="218">
        <v>40949</v>
      </c>
    </row>
    <row r="7" spans="1:18" ht="9" customHeight="1">
      <c r="A7" s="759"/>
      <c r="B7" s="759"/>
      <c r="C7" s="759"/>
      <c r="D7" s="759"/>
      <c r="E7" s="758"/>
      <c r="F7" s="758"/>
      <c r="G7" s="494" t="s">
        <v>100</v>
      </c>
      <c r="H7" s="492" t="s">
        <v>102</v>
      </c>
      <c r="I7" s="493" t="s">
        <v>79</v>
      </c>
      <c r="J7" s="491" t="s">
        <v>101</v>
      </c>
      <c r="K7" s="488">
        <v>40872</v>
      </c>
      <c r="L7" s="487" t="s">
        <v>68</v>
      </c>
      <c r="M7" s="254">
        <v>20</v>
      </c>
      <c r="N7" s="458">
        <v>4568</v>
      </c>
      <c r="O7" s="459">
        <v>655</v>
      </c>
      <c r="P7" s="458">
        <f>176767+122916.5+61599.5+22558.5+2646.5+4568</f>
        <v>391056</v>
      </c>
      <c r="Q7" s="459">
        <f>14023+9525+5052+1961+507+655</f>
        <v>31723</v>
      </c>
      <c r="R7" s="297">
        <v>40907</v>
      </c>
    </row>
    <row r="8" spans="1:18" ht="9" customHeight="1">
      <c r="A8" s="760"/>
      <c r="B8" s="760"/>
      <c r="C8" s="760"/>
      <c r="D8" s="760"/>
      <c r="E8" s="761"/>
      <c r="F8" s="762"/>
      <c r="G8" s="528" t="s">
        <v>100</v>
      </c>
      <c r="H8" s="258" t="s">
        <v>102</v>
      </c>
      <c r="I8" s="527" t="s">
        <v>79</v>
      </c>
      <c r="J8" s="528" t="s">
        <v>101</v>
      </c>
      <c r="K8" s="488">
        <v>40872</v>
      </c>
      <c r="L8" s="526" t="s">
        <v>68</v>
      </c>
      <c r="M8" s="254">
        <v>20</v>
      </c>
      <c r="N8" s="270">
        <v>3801.5</v>
      </c>
      <c r="O8" s="272">
        <v>761</v>
      </c>
      <c r="P8" s="270">
        <f>176767+122916.5+61599.5+22558.5+2646.5+4568+385+2545+1731+2348+5123.5+1188+3801.5</f>
        <v>408178</v>
      </c>
      <c r="Q8" s="272">
        <f>14023+9525+5052+1961+507+655+55+406+298+346+724+238+761</f>
        <v>34551</v>
      </c>
      <c r="R8" s="297">
        <v>40970</v>
      </c>
    </row>
    <row r="9" spans="1:18" ht="9" customHeight="1">
      <c r="A9" s="755"/>
      <c r="B9" s="755"/>
      <c r="C9" s="755"/>
      <c r="D9" s="755"/>
      <c r="E9" s="756"/>
      <c r="F9" s="758"/>
      <c r="G9" s="494" t="s">
        <v>100</v>
      </c>
      <c r="H9" s="492" t="s">
        <v>102</v>
      </c>
      <c r="I9" s="493" t="s">
        <v>79</v>
      </c>
      <c r="J9" s="491" t="s">
        <v>101</v>
      </c>
      <c r="K9" s="488">
        <v>40872</v>
      </c>
      <c r="L9" s="487" t="s">
        <v>68</v>
      </c>
      <c r="M9" s="254">
        <v>20</v>
      </c>
      <c r="N9" s="458">
        <v>2545</v>
      </c>
      <c r="O9" s="459">
        <v>406</v>
      </c>
      <c r="P9" s="458">
        <f>176767+122916.5+61599.5+22558.5+2646.5+4568+385+2545</f>
        <v>393986</v>
      </c>
      <c r="Q9" s="459">
        <f>14023+9525+5052+1961+507+655+55+406</f>
        <v>32184</v>
      </c>
      <c r="R9" s="218">
        <v>40921</v>
      </c>
    </row>
    <row r="10" spans="1:18" ht="9" customHeight="1">
      <c r="A10" s="755"/>
      <c r="B10" s="755"/>
      <c r="C10" s="755"/>
      <c r="D10" s="755"/>
      <c r="E10" s="756"/>
      <c r="F10" s="758"/>
      <c r="G10" s="494" t="s">
        <v>100</v>
      </c>
      <c r="H10" s="492" t="s">
        <v>102</v>
      </c>
      <c r="I10" s="493" t="s">
        <v>79</v>
      </c>
      <c r="J10" s="491" t="s">
        <v>101</v>
      </c>
      <c r="K10" s="488">
        <v>40872</v>
      </c>
      <c r="L10" s="487" t="s">
        <v>68</v>
      </c>
      <c r="M10" s="254">
        <v>20</v>
      </c>
      <c r="N10" s="458">
        <v>2348</v>
      </c>
      <c r="O10" s="459">
        <v>346</v>
      </c>
      <c r="P10" s="458">
        <f>176767+122916.5+61599.5+22558.5+2646.5+4568+385+2545+1731+2348</f>
        <v>398065</v>
      </c>
      <c r="Q10" s="459">
        <f>14023+9525+5052+1961+507+655+55+406+298+346</f>
        <v>32828</v>
      </c>
      <c r="R10" s="218">
        <v>40942</v>
      </c>
    </row>
    <row r="11" spans="1:18" ht="9" customHeight="1">
      <c r="A11" s="755"/>
      <c r="B11" s="755"/>
      <c r="C11" s="755"/>
      <c r="D11" s="755"/>
      <c r="E11" s="756"/>
      <c r="F11" s="758"/>
      <c r="G11" s="491" t="s">
        <v>100</v>
      </c>
      <c r="H11" s="492" t="s">
        <v>102</v>
      </c>
      <c r="I11" s="493" t="s">
        <v>79</v>
      </c>
      <c r="J11" s="491" t="s">
        <v>101</v>
      </c>
      <c r="K11" s="488">
        <v>40872</v>
      </c>
      <c r="L11" s="487" t="s">
        <v>68</v>
      </c>
      <c r="M11" s="254">
        <v>20</v>
      </c>
      <c r="N11" s="458">
        <v>1188</v>
      </c>
      <c r="O11" s="459">
        <v>238</v>
      </c>
      <c r="P11" s="458">
        <f>176767+122916.5+61599.5+22558.5+2646.5+4568+385+2545+1731+2348+5123.5+1188</f>
        <v>404376.5</v>
      </c>
      <c r="Q11" s="459">
        <f>14023+9525+5052+1961+507+655+55+406+298+346+724+238</f>
        <v>33790</v>
      </c>
      <c r="R11" s="297">
        <v>40963</v>
      </c>
    </row>
    <row r="12" spans="1:18" ht="9" customHeight="1">
      <c r="A12" s="760"/>
      <c r="B12" s="760"/>
      <c r="C12" s="760"/>
      <c r="D12" s="760"/>
      <c r="E12" s="761"/>
      <c r="F12" s="762"/>
      <c r="G12" s="63" t="s">
        <v>100</v>
      </c>
      <c r="H12" s="61" t="s">
        <v>102</v>
      </c>
      <c r="I12" s="65" t="s">
        <v>79</v>
      </c>
      <c r="J12" s="63" t="s">
        <v>101</v>
      </c>
      <c r="K12" s="220">
        <v>40872</v>
      </c>
      <c r="L12" s="64" t="s">
        <v>68</v>
      </c>
      <c r="M12" s="258">
        <v>20</v>
      </c>
      <c r="N12" s="270">
        <v>1188</v>
      </c>
      <c r="O12" s="272">
        <v>238</v>
      </c>
      <c r="P12" s="270">
        <f>176767+122916.5+61599.5+22558.5+2646.5+4568+385+2545+1731+2348+5123.5+1188+3801.5+1188</f>
        <v>409366</v>
      </c>
      <c r="Q12" s="272">
        <f>14023+9525+5052+1961+507+655+55+406+298+346+724+238+761+238</f>
        <v>34789</v>
      </c>
      <c r="R12" s="297">
        <v>40977</v>
      </c>
    </row>
    <row r="13" spans="1:18" ht="9" customHeight="1">
      <c r="A13" s="755"/>
      <c r="B13" s="755"/>
      <c r="C13" s="755"/>
      <c r="D13" s="755"/>
      <c r="E13" s="756"/>
      <c r="F13" s="758"/>
      <c r="G13" s="494" t="s">
        <v>100</v>
      </c>
      <c r="H13" s="492" t="s">
        <v>102</v>
      </c>
      <c r="I13" s="493" t="s">
        <v>79</v>
      </c>
      <c r="J13" s="491" t="s">
        <v>101</v>
      </c>
      <c r="K13" s="488">
        <v>40872</v>
      </c>
      <c r="L13" s="487" t="s">
        <v>68</v>
      </c>
      <c r="M13" s="254">
        <v>20</v>
      </c>
      <c r="N13" s="458">
        <v>995</v>
      </c>
      <c r="O13" s="459">
        <v>166</v>
      </c>
      <c r="P13" s="458">
        <f>176767+122916.5+61599.5+22558.5+2646.5+4568+385+2545+1731</f>
        <v>395717</v>
      </c>
      <c r="Q13" s="459">
        <f>14023+9525+5052+1961+507+655+55+406+298</f>
        <v>32482</v>
      </c>
      <c r="R13" s="218">
        <v>40928</v>
      </c>
    </row>
    <row r="14" spans="1:18" ht="9" customHeight="1">
      <c r="A14" s="755"/>
      <c r="B14" s="755"/>
      <c r="C14" s="755"/>
      <c r="D14" s="755"/>
      <c r="E14" s="756"/>
      <c r="F14" s="758"/>
      <c r="G14" s="494" t="s">
        <v>100</v>
      </c>
      <c r="H14" s="492" t="s">
        <v>102</v>
      </c>
      <c r="I14" s="493" t="s">
        <v>79</v>
      </c>
      <c r="J14" s="491" t="s">
        <v>101</v>
      </c>
      <c r="K14" s="488">
        <v>40872</v>
      </c>
      <c r="L14" s="487" t="s">
        <v>68</v>
      </c>
      <c r="M14" s="254">
        <v>20</v>
      </c>
      <c r="N14" s="458">
        <v>385</v>
      </c>
      <c r="O14" s="459">
        <v>55</v>
      </c>
      <c r="P14" s="458">
        <f>176767+122916.5+61599.5+22558.5+2646.5+4568+385</f>
        <v>391441</v>
      </c>
      <c r="Q14" s="296">
        <f>14023+9525+5052+1961+507+655+55</f>
        <v>31778</v>
      </c>
      <c r="R14" s="218">
        <v>40914</v>
      </c>
    </row>
    <row r="15" spans="1:18" ht="9" customHeight="1">
      <c r="A15" s="759"/>
      <c r="B15" s="759"/>
      <c r="C15" s="759"/>
      <c r="D15" s="759"/>
      <c r="E15" s="758"/>
      <c r="F15" s="763"/>
      <c r="G15" s="495" t="s">
        <v>196</v>
      </c>
      <c r="H15" s="492" t="s">
        <v>212</v>
      </c>
      <c r="I15" s="496" t="s">
        <v>124</v>
      </c>
      <c r="J15" s="496" t="s">
        <v>203</v>
      </c>
      <c r="K15" s="488">
        <v>40907</v>
      </c>
      <c r="L15" s="487" t="s">
        <v>12</v>
      </c>
      <c r="M15" s="254">
        <v>60</v>
      </c>
      <c r="N15" s="214">
        <v>302499</v>
      </c>
      <c r="O15" s="217">
        <v>29010</v>
      </c>
      <c r="P15" s="214">
        <v>302499</v>
      </c>
      <c r="Q15" s="307">
        <v>29010</v>
      </c>
      <c r="R15" s="297">
        <v>40907</v>
      </c>
    </row>
    <row r="16" spans="1:18" ht="9" customHeight="1">
      <c r="A16" s="755"/>
      <c r="B16" s="755"/>
      <c r="C16" s="755"/>
      <c r="D16" s="755"/>
      <c r="E16" s="756"/>
      <c r="F16" s="756"/>
      <c r="G16" s="495" t="s">
        <v>196</v>
      </c>
      <c r="H16" s="492" t="s">
        <v>212</v>
      </c>
      <c r="I16" s="496" t="s">
        <v>124</v>
      </c>
      <c r="J16" s="496" t="s">
        <v>203</v>
      </c>
      <c r="K16" s="488">
        <v>40907</v>
      </c>
      <c r="L16" s="487" t="s">
        <v>12</v>
      </c>
      <c r="M16" s="254">
        <v>60</v>
      </c>
      <c r="N16" s="497">
        <v>246978</v>
      </c>
      <c r="O16" s="498">
        <v>22817</v>
      </c>
      <c r="P16" s="497">
        <v>549477</v>
      </c>
      <c r="Q16" s="298">
        <v>51827</v>
      </c>
      <c r="R16" s="218">
        <v>40914</v>
      </c>
    </row>
    <row r="17" spans="1:18" ht="9" customHeight="1">
      <c r="A17" s="755"/>
      <c r="B17" s="755"/>
      <c r="C17" s="755"/>
      <c r="D17" s="755"/>
      <c r="E17" s="756"/>
      <c r="F17" s="756"/>
      <c r="G17" s="495" t="s">
        <v>196</v>
      </c>
      <c r="H17" s="492" t="s">
        <v>212</v>
      </c>
      <c r="I17" s="496" t="s">
        <v>124</v>
      </c>
      <c r="J17" s="496" t="s">
        <v>203</v>
      </c>
      <c r="K17" s="488">
        <v>40907</v>
      </c>
      <c r="L17" s="487" t="s">
        <v>12</v>
      </c>
      <c r="M17" s="254">
        <v>60</v>
      </c>
      <c r="N17" s="214">
        <v>58983</v>
      </c>
      <c r="O17" s="217">
        <v>6637</v>
      </c>
      <c r="P17" s="214">
        <v>608460</v>
      </c>
      <c r="Q17" s="307">
        <v>58464</v>
      </c>
      <c r="R17" s="218">
        <v>40921</v>
      </c>
    </row>
    <row r="18" spans="1:18" ht="9" customHeight="1">
      <c r="A18" s="764"/>
      <c r="B18" s="764"/>
      <c r="C18" s="759"/>
      <c r="D18" s="764"/>
      <c r="E18" s="765" t="s">
        <v>55</v>
      </c>
      <c r="F18" s="757" t="s">
        <v>54</v>
      </c>
      <c r="G18" s="499" t="s">
        <v>74</v>
      </c>
      <c r="H18" s="486" t="s">
        <v>80</v>
      </c>
      <c r="I18" s="486"/>
      <c r="J18" s="486" t="s">
        <v>74</v>
      </c>
      <c r="K18" s="488">
        <v>40851</v>
      </c>
      <c r="L18" s="487" t="s">
        <v>53</v>
      </c>
      <c r="M18" s="257">
        <v>247</v>
      </c>
      <c r="N18" s="214">
        <v>184428</v>
      </c>
      <c r="O18" s="217">
        <v>33224</v>
      </c>
      <c r="P18" s="214">
        <f>2260223+2366876.75+3859638+3137342+1906742.5+252.25+1189485.5+474275+250512+184428</f>
        <v>15629775</v>
      </c>
      <c r="Q18" s="490">
        <f>286038+329194+554088+452220+278080+42+178270+68355+40409+33224</f>
        <v>2219920</v>
      </c>
      <c r="R18" s="297">
        <v>40907</v>
      </c>
    </row>
    <row r="19" spans="1:18" ht="9" customHeight="1">
      <c r="A19" s="766"/>
      <c r="B19" s="766"/>
      <c r="C19" s="755"/>
      <c r="D19" s="766"/>
      <c r="E19" s="765" t="s">
        <v>55</v>
      </c>
      <c r="F19" s="757" t="s">
        <v>54</v>
      </c>
      <c r="G19" s="499" t="s">
        <v>74</v>
      </c>
      <c r="H19" s="486" t="s">
        <v>80</v>
      </c>
      <c r="I19" s="486"/>
      <c r="J19" s="486" t="s">
        <v>74</v>
      </c>
      <c r="K19" s="488">
        <v>40851</v>
      </c>
      <c r="L19" s="487" t="s">
        <v>53</v>
      </c>
      <c r="M19" s="257">
        <v>247</v>
      </c>
      <c r="N19" s="500">
        <v>13126</v>
      </c>
      <c r="O19" s="498">
        <v>1975</v>
      </c>
      <c r="P19" s="500">
        <f>2260223+2366876.75+3859638+3137342+1906742.5+252.25+1189485.5+474275+250512+184428+13126</f>
        <v>15642901</v>
      </c>
      <c r="Q19" s="298">
        <f>286038+329194+554088+452220+278080+42+178270+68355+40409+33224+1975</f>
        <v>2221895</v>
      </c>
      <c r="R19" s="218">
        <v>40914</v>
      </c>
    </row>
    <row r="20" spans="1:18" ht="9" customHeight="1">
      <c r="A20" s="766"/>
      <c r="B20" s="766"/>
      <c r="C20" s="755"/>
      <c r="D20" s="766"/>
      <c r="E20" s="765" t="s">
        <v>55</v>
      </c>
      <c r="F20" s="757" t="s">
        <v>54</v>
      </c>
      <c r="G20" s="499" t="s">
        <v>74</v>
      </c>
      <c r="H20" s="486" t="s">
        <v>80</v>
      </c>
      <c r="I20" s="486"/>
      <c r="J20" s="486" t="s">
        <v>74</v>
      </c>
      <c r="K20" s="488">
        <v>40851</v>
      </c>
      <c r="L20" s="487" t="s">
        <v>53</v>
      </c>
      <c r="M20" s="257">
        <v>247</v>
      </c>
      <c r="N20" s="214">
        <v>5006</v>
      </c>
      <c r="O20" s="217">
        <v>988</v>
      </c>
      <c r="P20" s="214">
        <f>2260223+2366876.75+3859638+3137342+1906742.5+252.25+1189485.5+474275+250512+184428+13126+754+5006</f>
        <v>15648661</v>
      </c>
      <c r="Q20" s="217">
        <f>286038+329194+554088+452220+278080+42+178270+68355+40409+33224+1975+104+988</f>
        <v>2222987</v>
      </c>
      <c r="R20" s="218">
        <v>40928</v>
      </c>
    </row>
    <row r="21" spans="1:18" ht="9" customHeight="1">
      <c r="A21" s="766"/>
      <c r="B21" s="766"/>
      <c r="C21" s="755"/>
      <c r="D21" s="766"/>
      <c r="E21" s="765" t="s">
        <v>55</v>
      </c>
      <c r="F21" s="757" t="s">
        <v>54</v>
      </c>
      <c r="G21" s="486" t="s">
        <v>74</v>
      </c>
      <c r="H21" s="486" t="s">
        <v>80</v>
      </c>
      <c r="I21" s="486"/>
      <c r="J21" s="486" t="s">
        <v>74</v>
      </c>
      <c r="K21" s="488">
        <v>40851</v>
      </c>
      <c r="L21" s="487" t="s">
        <v>53</v>
      </c>
      <c r="M21" s="257">
        <v>247</v>
      </c>
      <c r="N21" s="214">
        <v>4804</v>
      </c>
      <c r="O21" s="217">
        <v>960</v>
      </c>
      <c r="P21" s="214">
        <f>2260223+2366876.75+3859638+3137342+1906742.5+252.25+1189485.5+474275+250512+184428+13126+754+5006+188+4804</f>
        <v>15653653</v>
      </c>
      <c r="Q21" s="307">
        <f>286038+329194+554088+452220+278080+42+178270+68355+40409+33224+1975+104+988+22+960</f>
        <v>2223969</v>
      </c>
      <c r="R21" s="218">
        <v>40949</v>
      </c>
    </row>
    <row r="22" spans="1:18" ht="9" customHeight="1">
      <c r="A22" s="766"/>
      <c r="B22" s="766"/>
      <c r="C22" s="755"/>
      <c r="D22" s="766"/>
      <c r="E22" s="765" t="s">
        <v>55</v>
      </c>
      <c r="F22" s="757" t="s">
        <v>54</v>
      </c>
      <c r="G22" s="486" t="s">
        <v>74</v>
      </c>
      <c r="H22" s="486" t="s">
        <v>80</v>
      </c>
      <c r="I22" s="486"/>
      <c r="J22" s="486" t="s">
        <v>74</v>
      </c>
      <c r="K22" s="488">
        <v>40851</v>
      </c>
      <c r="L22" s="487" t="s">
        <v>53</v>
      </c>
      <c r="M22" s="257">
        <v>247</v>
      </c>
      <c r="N22" s="214">
        <v>3604</v>
      </c>
      <c r="O22" s="217">
        <v>721</v>
      </c>
      <c r="P22" s="214">
        <f>2260223+2366876.75+3859638+3137342+1906742.5+252.25+1189485.5+474275+250512+184428+13126+754+5006+188+4804+3604</f>
        <v>15657257</v>
      </c>
      <c r="Q22" s="490">
        <f>286038+329194+554088+452220+278080+42+178270+68355+40409+33224+1975+104+988+22+960+721</f>
        <v>2224690</v>
      </c>
      <c r="R22" s="218">
        <v>40956</v>
      </c>
    </row>
    <row r="23" spans="1:18" ht="9" customHeight="1">
      <c r="A23" s="322"/>
      <c r="B23" s="322"/>
      <c r="C23" s="760"/>
      <c r="D23" s="322"/>
      <c r="E23" s="767" t="s">
        <v>55</v>
      </c>
      <c r="F23" s="768" t="s">
        <v>54</v>
      </c>
      <c r="G23" s="278" t="s">
        <v>74</v>
      </c>
      <c r="H23" s="278" t="s">
        <v>80</v>
      </c>
      <c r="I23" s="278"/>
      <c r="J23" s="278" t="s">
        <v>74</v>
      </c>
      <c r="K23" s="488">
        <v>40851</v>
      </c>
      <c r="L23" s="526" t="s">
        <v>53</v>
      </c>
      <c r="M23" s="266">
        <v>247</v>
      </c>
      <c r="N23" s="261">
        <v>2402</v>
      </c>
      <c r="O23" s="262">
        <v>480</v>
      </c>
      <c r="P23" s="276">
        <f>2260223+2366876.75+3859638+3137342+1906742.5+252.25+1189485.5+474275+250512+184428+13126+754+5006+188+4804+3604+350+2402</f>
        <v>15660009</v>
      </c>
      <c r="Q23" s="277">
        <f>286038+329194+554088+452220+278080+42+178270+68355+40409+33224+1975+104+988+22+960+721+70+480</f>
        <v>2225240</v>
      </c>
      <c r="R23" s="297">
        <v>40970</v>
      </c>
    </row>
    <row r="24" spans="1:18" ht="9" customHeight="1">
      <c r="A24" s="766"/>
      <c r="B24" s="766"/>
      <c r="C24" s="755"/>
      <c r="D24" s="766"/>
      <c r="E24" s="765" t="s">
        <v>55</v>
      </c>
      <c r="F24" s="757" t="s">
        <v>54</v>
      </c>
      <c r="G24" s="499" t="s">
        <v>74</v>
      </c>
      <c r="H24" s="486" t="s">
        <v>80</v>
      </c>
      <c r="I24" s="486"/>
      <c r="J24" s="486" t="s">
        <v>74</v>
      </c>
      <c r="K24" s="488">
        <v>40851</v>
      </c>
      <c r="L24" s="487" t="s">
        <v>53</v>
      </c>
      <c r="M24" s="257">
        <v>247</v>
      </c>
      <c r="N24" s="214">
        <v>754</v>
      </c>
      <c r="O24" s="217">
        <v>104</v>
      </c>
      <c r="P24" s="214">
        <f>2260223+2366876.75+3859638+3137342+1906742.5+252.25+1189485.5+474275+250512+184428+13126+754</f>
        <v>15643655</v>
      </c>
      <c r="Q24" s="490">
        <f>286038+329194+554088+452220+278080+42+178270+68355+40409+33224+1975+104</f>
        <v>2221999</v>
      </c>
      <c r="R24" s="218">
        <v>40921</v>
      </c>
    </row>
    <row r="25" spans="1:18" ht="9" customHeight="1">
      <c r="A25" s="766"/>
      <c r="B25" s="766"/>
      <c r="C25" s="755"/>
      <c r="D25" s="766"/>
      <c r="E25" s="765" t="s">
        <v>55</v>
      </c>
      <c r="F25" s="757" t="s">
        <v>54</v>
      </c>
      <c r="G25" s="499" t="s">
        <v>74</v>
      </c>
      <c r="H25" s="486" t="s">
        <v>80</v>
      </c>
      <c r="I25" s="486"/>
      <c r="J25" s="486" t="s">
        <v>74</v>
      </c>
      <c r="K25" s="488">
        <v>40851</v>
      </c>
      <c r="L25" s="487" t="s">
        <v>53</v>
      </c>
      <c r="M25" s="257">
        <v>247</v>
      </c>
      <c r="N25" s="214">
        <v>188</v>
      </c>
      <c r="O25" s="217">
        <v>22</v>
      </c>
      <c r="P25" s="214">
        <f>2260223+2366876.75+3859638+3137342+1906742.5+252.25+1189485.5+474275+250512+184428+13126+754+5006+188</f>
        <v>15648849</v>
      </c>
      <c r="Q25" s="217">
        <f>286038+329194+554088+452220+278080+42+178270+68355+40409+33224+1975+104+988+22</f>
        <v>2223009</v>
      </c>
      <c r="R25" s="218">
        <v>40935</v>
      </c>
    </row>
    <row r="26" spans="1:18" ht="9" customHeight="1">
      <c r="A26" s="769" t="s">
        <v>223</v>
      </c>
      <c r="B26" s="755"/>
      <c r="C26" s="755"/>
      <c r="D26" s="755"/>
      <c r="E26" s="765" t="s">
        <v>55</v>
      </c>
      <c r="F26" s="756"/>
      <c r="G26" s="494" t="s">
        <v>272</v>
      </c>
      <c r="H26" s="492" t="s">
        <v>289</v>
      </c>
      <c r="I26" s="493" t="s">
        <v>85</v>
      </c>
      <c r="J26" s="491" t="s">
        <v>288</v>
      </c>
      <c r="K26" s="488">
        <v>40655</v>
      </c>
      <c r="L26" s="487" t="s">
        <v>68</v>
      </c>
      <c r="M26" s="254">
        <v>156</v>
      </c>
      <c r="N26" s="458">
        <v>3121</v>
      </c>
      <c r="O26" s="459">
        <v>951</v>
      </c>
      <c r="P26" s="458">
        <f>633760.5+136320.5+35218.5+12632+4659.5+2946+8058+2678+3172+3399.5+598+564+1471+2243+357+860+1425.5+8382.5+1782+968+1958+1164+407.5+84+1917+3121</f>
        <v>870147</v>
      </c>
      <c r="Q26" s="459">
        <f>74640+17307+4811+1875+917+522+1372+426+632+730+116+93+159+384+67+172+356+2088+446+190+480+372+60+12+847+951</f>
        <v>110025</v>
      </c>
      <c r="R26" s="218">
        <v>40935</v>
      </c>
    </row>
    <row r="27" spans="1:18" ht="9" customHeight="1">
      <c r="A27" s="769" t="s">
        <v>223</v>
      </c>
      <c r="B27" s="755"/>
      <c r="C27" s="755"/>
      <c r="D27" s="755"/>
      <c r="E27" s="765" t="s">
        <v>55</v>
      </c>
      <c r="F27" s="756"/>
      <c r="G27" s="494" t="s">
        <v>272</v>
      </c>
      <c r="H27" s="492" t="s">
        <v>289</v>
      </c>
      <c r="I27" s="493" t="s">
        <v>85</v>
      </c>
      <c r="J27" s="491" t="s">
        <v>288</v>
      </c>
      <c r="K27" s="488">
        <v>40655</v>
      </c>
      <c r="L27" s="487" t="s">
        <v>68</v>
      </c>
      <c r="M27" s="254">
        <v>156</v>
      </c>
      <c r="N27" s="458">
        <v>1917</v>
      </c>
      <c r="O27" s="459">
        <v>847</v>
      </c>
      <c r="P27" s="458">
        <f>633760.5+136320.5+35218.5+12632+4659.5+2946+8058+2678+3172+3399.5+598+564+1471+2243+357+860+1425.5+8382.5+1782+968+1958+1164+407.5+84+1917</f>
        <v>867026</v>
      </c>
      <c r="Q27" s="459">
        <f>74640+17307+4811+1875+917+522+1372+426+632+730+116+93+159+384+67+172+356+2088+446+190+480+372+60+12+847</f>
        <v>109074</v>
      </c>
      <c r="R27" s="218">
        <v>40928</v>
      </c>
    </row>
    <row r="28" spans="1:18" ht="9" customHeight="1">
      <c r="A28" s="769" t="s">
        <v>223</v>
      </c>
      <c r="B28" s="759"/>
      <c r="C28" s="759"/>
      <c r="D28" s="759"/>
      <c r="E28" s="765" t="s">
        <v>55</v>
      </c>
      <c r="F28" s="758"/>
      <c r="G28" s="494" t="s">
        <v>272</v>
      </c>
      <c r="H28" s="492" t="s">
        <v>289</v>
      </c>
      <c r="I28" s="493" t="s">
        <v>85</v>
      </c>
      <c r="J28" s="491" t="s">
        <v>288</v>
      </c>
      <c r="K28" s="488">
        <v>40655</v>
      </c>
      <c r="L28" s="487" t="s">
        <v>68</v>
      </c>
      <c r="M28" s="254">
        <v>156</v>
      </c>
      <c r="N28" s="458">
        <v>84</v>
      </c>
      <c r="O28" s="459">
        <v>12</v>
      </c>
      <c r="P28" s="458">
        <f>633760.5+136320.5+35218.5+12632+4659.5+2946+8058+2678+3172+3399.5+598+564+1471+2243+357+860+1425.5+8382.5+1782+968+1958+1164+407.5+84</f>
        <v>865109</v>
      </c>
      <c r="Q28" s="459">
        <f>74640+17307+4811+1875+917+522+1372+426+632+730+116+93+159+384+67+172+356+2088+446+190+480+372+60+12</f>
        <v>108227</v>
      </c>
      <c r="R28" s="297">
        <v>40907</v>
      </c>
    </row>
    <row r="29" spans="1:18" ht="9" customHeight="1">
      <c r="A29" s="769" t="s">
        <v>223</v>
      </c>
      <c r="B29" s="755"/>
      <c r="C29" s="770"/>
      <c r="D29" s="771" t="s">
        <v>292</v>
      </c>
      <c r="E29" s="765" t="s">
        <v>55</v>
      </c>
      <c r="F29" s="758"/>
      <c r="G29" s="491" t="s">
        <v>357</v>
      </c>
      <c r="H29" s="491" t="s">
        <v>126</v>
      </c>
      <c r="I29" s="493" t="s">
        <v>89</v>
      </c>
      <c r="J29" s="491" t="s">
        <v>361</v>
      </c>
      <c r="K29" s="488">
        <v>40172</v>
      </c>
      <c r="L29" s="487" t="s">
        <v>68</v>
      </c>
      <c r="M29" s="254">
        <v>60</v>
      </c>
      <c r="N29" s="458">
        <v>2376</v>
      </c>
      <c r="O29" s="459">
        <v>475</v>
      </c>
      <c r="P29" s="458">
        <f>421775.5+397095.5+287050+215248.5+189819.5+180729.5+86816.5+23840+19148+14942.5+8798.5+9599+13618.5+4298+4028+3310+8547+6712.5+1803+1172+973+2291+380.5+3015+1103.5+65+2061.5+1262+1020+2232+2970+5074+2970+1188+250+200+70+4277+2138.5+1425.5+2376</f>
        <v>1935694.5</v>
      </c>
      <c r="Q29" s="296">
        <f>43739+40732+31780+27356+25902+24895+12153+4496+3179+3069+1650+2236+3335+954+829+540+1945+1297+429+261+173+594+53+613+200+10+480+240+102+533+743+1267+742+297+28+20+7+1068+534+356+475</f>
        <v>239312</v>
      </c>
      <c r="R29" s="218">
        <v>40949</v>
      </c>
    </row>
    <row r="30" spans="1:18" ht="9" customHeight="1">
      <c r="A30" s="769" t="s">
        <v>223</v>
      </c>
      <c r="B30" s="755"/>
      <c r="C30" s="485"/>
      <c r="D30" s="771" t="s">
        <v>292</v>
      </c>
      <c r="E30" s="765" t="s">
        <v>55</v>
      </c>
      <c r="F30" s="758"/>
      <c r="G30" s="494" t="s">
        <v>357</v>
      </c>
      <c r="H30" s="491" t="s">
        <v>126</v>
      </c>
      <c r="I30" s="493"/>
      <c r="J30" s="491" t="s">
        <v>361</v>
      </c>
      <c r="K30" s="488">
        <v>40172</v>
      </c>
      <c r="L30" s="487" t="s">
        <v>68</v>
      </c>
      <c r="M30" s="254">
        <v>60</v>
      </c>
      <c r="N30" s="458">
        <v>1425.5</v>
      </c>
      <c r="O30" s="459">
        <v>356</v>
      </c>
      <c r="P30" s="458">
        <f>421775.5+397095.5+287050+215248.5+189819.5+180729.5+86816.5+23840+19148+14942.5+8798.5+9599+13618.5+4298+4028+3310+8547+6712.5+1803+1172+973+2291+380.5+3015+1103.5+65+2061.5+1262+1020+2232+2970+5074+2970+1188+250+200+70+4277+2138.5+1425.5</f>
        <v>1933318.5</v>
      </c>
      <c r="Q30" s="296">
        <f>43739+40732+31780+27356+25902+24895+12153+4496+3179+3069+1650+2236+3335+954+829+540+1945+1297+429+261+173+594+53+613+200+10+480+240+102+533+743+1267+742+297+28+20+7+1068+534+356</f>
        <v>238837</v>
      </c>
      <c r="R30" s="218">
        <v>40914</v>
      </c>
    </row>
    <row r="31" spans="1:18" ht="9" customHeight="1">
      <c r="A31" s="772" t="s">
        <v>223</v>
      </c>
      <c r="B31" s="760"/>
      <c r="C31" s="308"/>
      <c r="D31" s="773" t="s">
        <v>292</v>
      </c>
      <c r="E31" s="767" t="s">
        <v>55</v>
      </c>
      <c r="F31" s="762"/>
      <c r="G31" s="528" t="s">
        <v>357</v>
      </c>
      <c r="H31" s="528" t="s">
        <v>126</v>
      </c>
      <c r="I31" s="527" t="s">
        <v>89</v>
      </c>
      <c r="J31" s="528" t="s">
        <v>361</v>
      </c>
      <c r="K31" s="488">
        <v>40172</v>
      </c>
      <c r="L31" s="526" t="s">
        <v>68</v>
      </c>
      <c r="M31" s="258">
        <v>60</v>
      </c>
      <c r="N31" s="270">
        <v>1425.5</v>
      </c>
      <c r="O31" s="272">
        <v>285</v>
      </c>
      <c r="P31" s="270">
        <f>421775.5+397095.5+287050+215248.5+189819.5+180729.5+86816.5+23840+19148+14942.5+8798.5+9599+13618.5+4298+4028+3310+8547+6712.5+1803+1172+973+2291+380.5+3015+1103.5+65+2061.5+1262+1020+2232+2970+5074+2970+1188+250+200+70+4277+2138.5+1425.5+2376+1425.5</f>
        <v>1937120</v>
      </c>
      <c r="Q31" s="272">
        <f>43739+40732+31780+27356+25902+24895+12153+4496+3179+3069+1650+2236+3335+954+829+540+1945+1297+429+261+173+594+53+613+200+10+480+240+102+533+743+1267+742+297+28+20+7+1068+534+356+475+285</f>
        <v>239597</v>
      </c>
      <c r="R31" s="297">
        <v>40970</v>
      </c>
    </row>
    <row r="32" spans="1:18" ht="9" customHeight="1">
      <c r="A32" s="769" t="s">
        <v>223</v>
      </c>
      <c r="B32" s="759"/>
      <c r="C32" s="774">
        <v>2</v>
      </c>
      <c r="D32" s="771" t="s">
        <v>292</v>
      </c>
      <c r="E32" s="765" t="s">
        <v>55</v>
      </c>
      <c r="F32" s="758"/>
      <c r="G32" s="494" t="s">
        <v>144</v>
      </c>
      <c r="H32" s="492" t="s">
        <v>126</v>
      </c>
      <c r="I32" s="493" t="s">
        <v>89</v>
      </c>
      <c r="J32" s="491" t="s">
        <v>145</v>
      </c>
      <c r="K32" s="488">
        <v>40893</v>
      </c>
      <c r="L32" s="487" t="s">
        <v>68</v>
      </c>
      <c r="M32" s="254">
        <v>131</v>
      </c>
      <c r="N32" s="458">
        <v>530345</v>
      </c>
      <c r="O32" s="459">
        <v>60063</v>
      </c>
      <c r="P32" s="458">
        <f>1320389+1047397.5+530345</f>
        <v>2898131.5</v>
      </c>
      <c r="Q32" s="459">
        <f>139659+113627+60063</f>
        <v>313349</v>
      </c>
      <c r="R32" s="297">
        <v>40907</v>
      </c>
    </row>
    <row r="33" spans="1:18" ht="9" customHeight="1">
      <c r="A33" s="769" t="s">
        <v>223</v>
      </c>
      <c r="B33" s="755"/>
      <c r="C33" s="774">
        <v>2</v>
      </c>
      <c r="D33" s="771" t="s">
        <v>292</v>
      </c>
      <c r="E33" s="765" t="s">
        <v>55</v>
      </c>
      <c r="F33" s="758"/>
      <c r="G33" s="494" t="s">
        <v>144</v>
      </c>
      <c r="H33" s="492" t="s">
        <v>126</v>
      </c>
      <c r="I33" s="493" t="s">
        <v>89</v>
      </c>
      <c r="J33" s="491" t="s">
        <v>145</v>
      </c>
      <c r="K33" s="488">
        <v>40893</v>
      </c>
      <c r="L33" s="487" t="s">
        <v>68</v>
      </c>
      <c r="M33" s="254">
        <v>131</v>
      </c>
      <c r="N33" s="458">
        <v>445722</v>
      </c>
      <c r="O33" s="459">
        <v>49146</v>
      </c>
      <c r="P33" s="458">
        <f>1320389+1047397.5+530759.5+445722</f>
        <v>3344268</v>
      </c>
      <c r="Q33" s="296">
        <f>139659+113627+60100+49146</f>
        <v>362532</v>
      </c>
      <c r="R33" s="218">
        <v>40914</v>
      </c>
    </row>
    <row r="34" spans="1:18" ht="9" customHeight="1">
      <c r="A34" s="769" t="s">
        <v>223</v>
      </c>
      <c r="B34" s="755"/>
      <c r="C34" s="774">
        <v>2</v>
      </c>
      <c r="D34" s="771" t="s">
        <v>292</v>
      </c>
      <c r="E34" s="765" t="s">
        <v>55</v>
      </c>
      <c r="F34" s="758"/>
      <c r="G34" s="494" t="s">
        <v>144</v>
      </c>
      <c r="H34" s="492" t="s">
        <v>126</v>
      </c>
      <c r="I34" s="493" t="s">
        <v>89</v>
      </c>
      <c r="J34" s="491" t="s">
        <v>145</v>
      </c>
      <c r="K34" s="488">
        <v>40893</v>
      </c>
      <c r="L34" s="487" t="s">
        <v>68</v>
      </c>
      <c r="M34" s="254">
        <v>131</v>
      </c>
      <c r="N34" s="458">
        <v>279760.5</v>
      </c>
      <c r="O34" s="459">
        <v>35564</v>
      </c>
      <c r="P34" s="458">
        <f>1320389+1047397.5+530759.5+445722+254656.5+279760.5</f>
        <v>3878685</v>
      </c>
      <c r="Q34" s="459">
        <f>139659+113627+60100+49146+32088+35564</f>
        <v>430184</v>
      </c>
      <c r="R34" s="218">
        <v>40928</v>
      </c>
    </row>
    <row r="35" spans="1:18" ht="9" customHeight="1">
      <c r="A35" s="769" t="s">
        <v>223</v>
      </c>
      <c r="B35" s="755"/>
      <c r="C35" s="774">
        <v>2</v>
      </c>
      <c r="D35" s="771" t="s">
        <v>292</v>
      </c>
      <c r="E35" s="765" t="s">
        <v>55</v>
      </c>
      <c r="F35" s="758"/>
      <c r="G35" s="494" t="s">
        <v>144</v>
      </c>
      <c r="H35" s="492" t="s">
        <v>126</v>
      </c>
      <c r="I35" s="493" t="s">
        <v>89</v>
      </c>
      <c r="J35" s="491" t="s">
        <v>145</v>
      </c>
      <c r="K35" s="488">
        <v>40893</v>
      </c>
      <c r="L35" s="487" t="s">
        <v>68</v>
      </c>
      <c r="M35" s="254">
        <v>131</v>
      </c>
      <c r="N35" s="458">
        <v>254766.5</v>
      </c>
      <c r="O35" s="459">
        <v>32088</v>
      </c>
      <c r="P35" s="458">
        <f>1320389+1047397.5+530759.5+445722+254766.5</f>
        <v>3599034.5</v>
      </c>
      <c r="Q35" s="459">
        <f>139659+113627+60100+49146+32088</f>
        <v>394620</v>
      </c>
      <c r="R35" s="218">
        <v>40921</v>
      </c>
    </row>
    <row r="36" spans="1:18" ht="9" customHeight="1">
      <c r="A36" s="769" t="s">
        <v>223</v>
      </c>
      <c r="B36" s="755"/>
      <c r="C36" s="774">
        <v>2</v>
      </c>
      <c r="D36" s="771" t="s">
        <v>292</v>
      </c>
      <c r="E36" s="765" t="s">
        <v>55</v>
      </c>
      <c r="F36" s="758"/>
      <c r="G36" s="494" t="s">
        <v>144</v>
      </c>
      <c r="H36" s="492" t="s">
        <v>126</v>
      </c>
      <c r="I36" s="493" t="s">
        <v>89</v>
      </c>
      <c r="J36" s="491" t="s">
        <v>145</v>
      </c>
      <c r="K36" s="488">
        <v>40893</v>
      </c>
      <c r="L36" s="487" t="s">
        <v>68</v>
      </c>
      <c r="M36" s="254">
        <v>131</v>
      </c>
      <c r="N36" s="458">
        <v>107391.5</v>
      </c>
      <c r="O36" s="459">
        <v>15150</v>
      </c>
      <c r="P36" s="458">
        <f>1320389+1047397.5+530759.5+445722+254656.5+279760.5+107391.5</f>
        <v>3986076.5</v>
      </c>
      <c r="Q36" s="459">
        <f>139659+113627+60100+49146+32088+35564+15150</f>
        <v>445334</v>
      </c>
      <c r="R36" s="218">
        <v>40935</v>
      </c>
    </row>
    <row r="37" spans="1:18" ht="9" customHeight="1">
      <c r="A37" s="769" t="s">
        <v>223</v>
      </c>
      <c r="B37" s="755"/>
      <c r="C37" s="774">
        <v>2</v>
      </c>
      <c r="D37" s="771" t="s">
        <v>292</v>
      </c>
      <c r="E37" s="765" t="s">
        <v>55</v>
      </c>
      <c r="F37" s="758"/>
      <c r="G37" s="494" t="s">
        <v>144</v>
      </c>
      <c r="H37" s="492" t="s">
        <v>126</v>
      </c>
      <c r="I37" s="493" t="s">
        <v>89</v>
      </c>
      <c r="J37" s="491" t="s">
        <v>145</v>
      </c>
      <c r="K37" s="488">
        <v>40893</v>
      </c>
      <c r="L37" s="487" t="s">
        <v>68</v>
      </c>
      <c r="M37" s="254">
        <v>131</v>
      </c>
      <c r="N37" s="458">
        <v>47477</v>
      </c>
      <c r="O37" s="459">
        <v>6705</v>
      </c>
      <c r="P37" s="458">
        <f>1320389+1047397.5+530759.5+445722+254656.5+279760.5+107391.5+47477</f>
        <v>4033553.5</v>
      </c>
      <c r="Q37" s="459">
        <f>139659+113627+60100+49146+32088+35564+15150+6705</f>
        <v>452039</v>
      </c>
      <c r="R37" s="218">
        <v>40942</v>
      </c>
    </row>
    <row r="38" spans="1:18" ht="9" customHeight="1">
      <c r="A38" s="769" t="s">
        <v>223</v>
      </c>
      <c r="B38" s="755"/>
      <c r="C38" s="774">
        <v>2</v>
      </c>
      <c r="D38" s="771" t="s">
        <v>292</v>
      </c>
      <c r="E38" s="765" t="s">
        <v>55</v>
      </c>
      <c r="F38" s="758"/>
      <c r="G38" s="491" t="s">
        <v>144</v>
      </c>
      <c r="H38" s="492" t="s">
        <v>126</v>
      </c>
      <c r="I38" s="493" t="s">
        <v>89</v>
      </c>
      <c r="J38" s="491" t="s">
        <v>145</v>
      </c>
      <c r="K38" s="488">
        <v>40893</v>
      </c>
      <c r="L38" s="487" t="s">
        <v>68</v>
      </c>
      <c r="M38" s="254">
        <v>131</v>
      </c>
      <c r="N38" s="458">
        <v>25083</v>
      </c>
      <c r="O38" s="459">
        <v>3664</v>
      </c>
      <c r="P38" s="458">
        <f>1320389+1047397.5+530759.5+445722+254656.5+279760.5+107391.5+47477+25083</f>
        <v>4058636.5</v>
      </c>
      <c r="Q38" s="296">
        <f>139659+113627+60100+49146+32088+35564+15150+6705+3664</f>
        <v>455703</v>
      </c>
      <c r="R38" s="218">
        <v>40949</v>
      </c>
    </row>
    <row r="39" spans="1:18" ht="9" customHeight="1">
      <c r="A39" s="769" t="s">
        <v>223</v>
      </c>
      <c r="B39" s="755"/>
      <c r="C39" s="774">
        <v>2</v>
      </c>
      <c r="D39" s="771" t="s">
        <v>292</v>
      </c>
      <c r="E39" s="765" t="s">
        <v>55</v>
      </c>
      <c r="F39" s="758"/>
      <c r="G39" s="491" t="s">
        <v>144</v>
      </c>
      <c r="H39" s="492" t="s">
        <v>126</v>
      </c>
      <c r="I39" s="493" t="s">
        <v>89</v>
      </c>
      <c r="J39" s="491" t="s">
        <v>145</v>
      </c>
      <c r="K39" s="488">
        <v>40893</v>
      </c>
      <c r="L39" s="487" t="s">
        <v>68</v>
      </c>
      <c r="M39" s="254">
        <v>131</v>
      </c>
      <c r="N39" s="458">
        <v>19078.5</v>
      </c>
      <c r="O39" s="459">
        <v>4389</v>
      </c>
      <c r="P39" s="458">
        <f>1320389+1047397.5+530759.5+445722+254656.5+279760.5+107391.5+47477+25130+6341+19078.5</f>
        <v>4084103</v>
      </c>
      <c r="Q39" s="459">
        <f>139659+113627+60100+49146+32088+35564+15150+6705+3672+1942+4389</f>
        <v>462042</v>
      </c>
      <c r="R39" s="297">
        <v>40963</v>
      </c>
    </row>
    <row r="40" spans="1:18" ht="9" customHeight="1">
      <c r="A40" s="772" t="s">
        <v>223</v>
      </c>
      <c r="B40" s="760"/>
      <c r="C40" s="774">
        <v>2</v>
      </c>
      <c r="D40" s="773" t="s">
        <v>292</v>
      </c>
      <c r="E40" s="767" t="s">
        <v>55</v>
      </c>
      <c r="F40" s="762"/>
      <c r="G40" s="528" t="s">
        <v>144</v>
      </c>
      <c r="H40" s="258" t="s">
        <v>126</v>
      </c>
      <c r="I40" s="527" t="s">
        <v>89</v>
      </c>
      <c r="J40" s="528" t="s">
        <v>145</v>
      </c>
      <c r="K40" s="488">
        <v>40893</v>
      </c>
      <c r="L40" s="526" t="s">
        <v>68</v>
      </c>
      <c r="M40" s="254">
        <v>131</v>
      </c>
      <c r="N40" s="270">
        <v>7416</v>
      </c>
      <c r="O40" s="272">
        <v>1420</v>
      </c>
      <c r="P40" s="270">
        <f>1320389+1047397.5+530759.5+445722+254656.5+279760.5+107391.5+47477+25130+6341+19078.5+7416</f>
        <v>4091519</v>
      </c>
      <c r="Q40" s="272">
        <f>139659+113627+60100+49146+32088+35564+15150+6705+3672+1942+4389+1420</f>
        <v>463462</v>
      </c>
      <c r="R40" s="297">
        <v>40970</v>
      </c>
    </row>
    <row r="41" spans="1:18" ht="9" customHeight="1">
      <c r="A41" s="769" t="s">
        <v>223</v>
      </c>
      <c r="B41" s="755"/>
      <c r="C41" s="774">
        <v>2</v>
      </c>
      <c r="D41" s="771" t="s">
        <v>292</v>
      </c>
      <c r="E41" s="765" t="s">
        <v>55</v>
      </c>
      <c r="F41" s="758"/>
      <c r="G41" s="491" t="s">
        <v>144</v>
      </c>
      <c r="H41" s="492" t="s">
        <v>126</v>
      </c>
      <c r="I41" s="493" t="s">
        <v>89</v>
      </c>
      <c r="J41" s="491" t="s">
        <v>145</v>
      </c>
      <c r="K41" s="488">
        <v>40893</v>
      </c>
      <c r="L41" s="487" t="s">
        <v>68</v>
      </c>
      <c r="M41" s="254">
        <v>131</v>
      </c>
      <c r="N41" s="458">
        <v>6341</v>
      </c>
      <c r="O41" s="459">
        <v>1942</v>
      </c>
      <c r="P41" s="458">
        <f>1320389+1047397.5+530759.5+445722+254656.5+279760.5+107391.5+47477+25130+6341</f>
        <v>4065024.5</v>
      </c>
      <c r="Q41" s="459">
        <f>139659+113627+60100+49146+32088+35564+15150+6705+3672+1942</f>
        <v>457653</v>
      </c>
      <c r="R41" s="218">
        <v>40956</v>
      </c>
    </row>
    <row r="42" spans="1:18" ht="9" customHeight="1">
      <c r="A42" s="772" t="s">
        <v>223</v>
      </c>
      <c r="B42" s="760"/>
      <c r="C42" s="774">
        <v>2</v>
      </c>
      <c r="D42" s="773" t="s">
        <v>292</v>
      </c>
      <c r="E42" s="767" t="s">
        <v>55</v>
      </c>
      <c r="F42" s="762"/>
      <c r="G42" s="63" t="s">
        <v>144</v>
      </c>
      <c r="H42" s="61" t="s">
        <v>126</v>
      </c>
      <c r="I42" s="65" t="s">
        <v>89</v>
      </c>
      <c r="J42" s="63" t="s">
        <v>145</v>
      </c>
      <c r="K42" s="220">
        <v>40893</v>
      </c>
      <c r="L42" s="64" t="s">
        <v>68</v>
      </c>
      <c r="M42" s="258">
        <v>131</v>
      </c>
      <c r="N42" s="270">
        <v>6006</v>
      </c>
      <c r="O42" s="272">
        <v>1179</v>
      </c>
      <c r="P42" s="270">
        <f>1320389+1047397.5+530759.5+445722+254656.5+279760.5+107391.5+47477+25130+6341+19078.5+7416+6006</f>
        <v>4097525</v>
      </c>
      <c r="Q42" s="272">
        <f>139659+113627+60100+49146+32088+35564+15150+6705+3672+1942+4389+1420+1179</f>
        <v>464641</v>
      </c>
      <c r="R42" s="297">
        <v>40977</v>
      </c>
    </row>
    <row r="43" spans="1:18" ht="9" customHeight="1">
      <c r="A43" s="755"/>
      <c r="B43" s="755"/>
      <c r="C43" s="755"/>
      <c r="D43" s="755"/>
      <c r="E43" s="756"/>
      <c r="F43" s="757" t="s">
        <v>54</v>
      </c>
      <c r="G43" s="494" t="s">
        <v>67</v>
      </c>
      <c r="H43" s="491" t="s">
        <v>85</v>
      </c>
      <c r="I43" s="491"/>
      <c r="J43" s="491" t="s">
        <v>67</v>
      </c>
      <c r="K43" s="488">
        <v>40844</v>
      </c>
      <c r="L43" s="487" t="s">
        <v>68</v>
      </c>
      <c r="M43" s="254">
        <v>278</v>
      </c>
      <c r="N43" s="458">
        <v>17226.5</v>
      </c>
      <c r="O43" s="459">
        <v>2090</v>
      </c>
      <c r="P43" s="458">
        <f>2021467.25+4147826.75+1641146.5+1086471.5+837723.5+353523.5+115157+12431.5+1554+13261.5+3397.5+17222.5+17226.5</f>
        <v>10268409.5</v>
      </c>
      <c r="Q43" s="459">
        <f>231121+459388+190384+130345+104513+46481+14878+1830+250+1860+737+1888+2090</f>
        <v>1185765</v>
      </c>
      <c r="R43" s="218">
        <v>40928</v>
      </c>
    </row>
    <row r="44" spans="1:18" ht="9" customHeight="1">
      <c r="A44" s="755"/>
      <c r="B44" s="755"/>
      <c r="C44" s="755"/>
      <c r="D44" s="755"/>
      <c r="E44" s="756"/>
      <c r="F44" s="757" t="s">
        <v>54</v>
      </c>
      <c r="G44" s="494" t="s">
        <v>67</v>
      </c>
      <c r="H44" s="491" t="s">
        <v>85</v>
      </c>
      <c r="I44" s="491"/>
      <c r="J44" s="491" t="s">
        <v>67</v>
      </c>
      <c r="K44" s="488">
        <v>40844</v>
      </c>
      <c r="L44" s="487" t="s">
        <v>68</v>
      </c>
      <c r="M44" s="254">
        <v>278</v>
      </c>
      <c r="N44" s="458">
        <v>17222.5</v>
      </c>
      <c r="O44" s="459">
        <v>1888</v>
      </c>
      <c r="P44" s="458">
        <f>2021467.25+4147826.75+1641146.5+1086471.5+837723.5+353523.5+115157+12431.5+1554+13261.5+3397.5+17222.5</f>
        <v>10251183</v>
      </c>
      <c r="Q44" s="459">
        <f>231121+459388+190384+130345+104513+46481+14878+1830+250+1860+737+1888</f>
        <v>1183675</v>
      </c>
      <c r="R44" s="218">
        <v>40921</v>
      </c>
    </row>
    <row r="45" spans="1:18" ht="9" customHeight="1">
      <c r="A45" s="759"/>
      <c r="B45" s="759"/>
      <c r="C45" s="759"/>
      <c r="D45" s="759"/>
      <c r="E45" s="758"/>
      <c r="F45" s="757" t="s">
        <v>54</v>
      </c>
      <c r="G45" s="494" t="s">
        <v>67</v>
      </c>
      <c r="H45" s="491" t="s">
        <v>85</v>
      </c>
      <c r="I45" s="491"/>
      <c r="J45" s="491" t="s">
        <v>67</v>
      </c>
      <c r="K45" s="488">
        <v>40844</v>
      </c>
      <c r="L45" s="487" t="s">
        <v>68</v>
      </c>
      <c r="M45" s="254">
        <v>278</v>
      </c>
      <c r="N45" s="458">
        <v>13261.5</v>
      </c>
      <c r="O45" s="459">
        <v>1860</v>
      </c>
      <c r="P45" s="458">
        <f>2021467.25+4147826.75+1641146.5+1086471.5+837723.5+353523.5+115157+12431.5+1554+13261.5</f>
        <v>10230563</v>
      </c>
      <c r="Q45" s="459">
        <f>231121+459388+190384+130345+104513+46481+14878+1830+250+1860</f>
        <v>1181050</v>
      </c>
      <c r="R45" s="297">
        <v>40907</v>
      </c>
    </row>
    <row r="46" spans="1:18" ht="9" customHeight="1">
      <c r="A46" s="755"/>
      <c r="B46" s="755"/>
      <c r="C46" s="755"/>
      <c r="D46" s="755"/>
      <c r="E46" s="756"/>
      <c r="F46" s="757" t="s">
        <v>54</v>
      </c>
      <c r="G46" s="494" t="s">
        <v>67</v>
      </c>
      <c r="H46" s="491" t="s">
        <v>85</v>
      </c>
      <c r="I46" s="491"/>
      <c r="J46" s="491" t="s">
        <v>67</v>
      </c>
      <c r="K46" s="488">
        <v>40844</v>
      </c>
      <c r="L46" s="487" t="s">
        <v>68</v>
      </c>
      <c r="M46" s="254">
        <v>278</v>
      </c>
      <c r="N46" s="458">
        <v>5821</v>
      </c>
      <c r="O46" s="459">
        <v>661</v>
      </c>
      <c r="P46" s="458">
        <f>2021467.25+4147826.75+1641146.5+1086471.5+837723.5+353523.5+115157+12431.5+1554+13261.5+3397.5+17222.5+17226.5+5821</f>
        <v>10274230.5</v>
      </c>
      <c r="Q46" s="459">
        <f>231121+459388+190384+130345+104513+46481+14878+1830+250+1860+737+1888+2090+661</f>
        <v>1186426</v>
      </c>
      <c r="R46" s="218">
        <v>40935</v>
      </c>
    </row>
    <row r="47" spans="1:18" ht="9" customHeight="1">
      <c r="A47" s="760"/>
      <c r="B47" s="760"/>
      <c r="C47" s="760"/>
      <c r="D47" s="760"/>
      <c r="E47" s="761"/>
      <c r="F47" s="768" t="s">
        <v>54</v>
      </c>
      <c r="G47" s="528" t="s">
        <v>67</v>
      </c>
      <c r="H47" s="528" t="s">
        <v>85</v>
      </c>
      <c r="I47" s="528"/>
      <c r="J47" s="528" t="s">
        <v>67</v>
      </c>
      <c r="K47" s="488">
        <v>40844</v>
      </c>
      <c r="L47" s="526" t="s">
        <v>68</v>
      </c>
      <c r="M47" s="254">
        <v>278</v>
      </c>
      <c r="N47" s="270">
        <v>4832</v>
      </c>
      <c r="O47" s="272">
        <v>673</v>
      </c>
      <c r="P47" s="270">
        <f>2021467.25+4147826.75+1641146.5+1086471.5+837723.5+353523.5+115157+12431.5+1554+13261.5+3397.5+17222.5+17226.5+5821+1188+2851+2851+2530+4832</f>
        <v>10288482.5</v>
      </c>
      <c r="Q47" s="272">
        <f>231121+459388+190384+130345+104513+46481+14878+1830+250+1860+737+1888+2090+661+238+570+284+543+673</f>
        <v>1188734</v>
      </c>
      <c r="R47" s="297">
        <v>40970</v>
      </c>
    </row>
    <row r="48" spans="1:18" ht="9" customHeight="1">
      <c r="A48" s="755"/>
      <c r="B48" s="755"/>
      <c r="C48" s="755"/>
      <c r="D48" s="755"/>
      <c r="E48" s="756"/>
      <c r="F48" s="757" t="s">
        <v>54</v>
      </c>
      <c r="G48" s="494" t="s">
        <v>67</v>
      </c>
      <c r="H48" s="491" t="s">
        <v>85</v>
      </c>
      <c r="I48" s="491"/>
      <c r="J48" s="491" t="s">
        <v>67</v>
      </c>
      <c r="K48" s="488">
        <v>40844</v>
      </c>
      <c r="L48" s="487" t="s">
        <v>68</v>
      </c>
      <c r="M48" s="254">
        <v>278</v>
      </c>
      <c r="N48" s="458">
        <v>3397.5</v>
      </c>
      <c r="O48" s="459">
        <v>737</v>
      </c>
      <c r="P48" s="458">
        <f>2021467.25+4147826.75+1641146.5+1086471.5+837723.5+353523.5+115157+12431.5+1554+13261.5+3397.5</f>
        <v>10233960.5</v>
      </c>
      <c r="Q48" s="296">
        <f>231121+459388+190384+130345+104513+46481+14878+1830+250+1860+737</f>
        <v>1181787</v>
      </c>
      <c r="R48" s="218">
        <v>40914</v>
      </c>
    </row>
    <row r="49" spans="1:18" ht="9" customHeight="1">
      <c r="A49" s="755"/>
      <c r="B49" s="755"/>
      <c r="C49" s="755"/>
      <c r="D49" s="755"/>
      <c r="E49" s="756"/>
      <c r="F49" s="757" t="s">
        <v>54</v>
      </c>
      <c r="G49" s="491" t="s">
        <v>67</v>
      </c>
      <c r="H49" s="491" t="s">
        <v>85</v>
      </c>
      <c r="I49" s="491"/>
      <c r="J49" s="491" t="s">
        <v>67</v>
      </c>
      <c r="K49" s="488">
        <v>40844</v>
      </c>
      <c r="L49" s="487" t="s">
        <v>68</v>
      </c>
      <c r="M49" s="254">
        <v>278</v>
      </c>
      <c r="N49" s="458">
        <v>2851</v>
      </c>
      <c r="O49" s="459">
        <v>570</v>
      </c>
      <c r="P49" s="458">
        <f>2021467.25+4147826.75+1641146.5+1086471.5+837723.5+353523.5+115157+12431.5+1554+13261.5+3397.5+17222.5+17226.5+5821+1188+2851</f>
        <v>10278269.5</v>
      </c>
      <c r="Q49" s="296">
        <f>231121+459388+190384+130345+104513+46481+14878+1830+250+1860+737+1888+2090+661+238+570</f>
        <v>1187234</v>
      </c>
      <c r="R49" s="218">
        <v>40949</v>
      </c>
    </row>
    <row r="50" spans="1:18" ht="9" customHeight="1">
      <c r="A50" s="755"/>
      <c r="B50" s="755"/>
      <c r="C50" s="755"/>
      <c r="D50" s="755"/>
      <c r="E50" s="756"/>
      <c r="F50" s="757" t="s">
        <v>54</v>
      </c>
      <c r="G50" s="491" t="s">
        <v>67</v>
      </c>
      <c r="H50" s="491" t="s">
        <v>85</v>
      </c>
      <c r="I50" s="491"/>
      <c r="J50" s="491" t="s">
        <v>67</v>
      </c>
      <c r="K50" s="488">
        <v>40844</v>
      </c>
      <c r="L50" s="487" t="s">
        <v>68</v>
      </c>
      <c r="M50" s="254">
        <v>278</v>
      </c>
      <c r="N50" s="458">
        <v>2530</v>
      </c>
      <c r="O50" s="459">
        <v>543</v>
      </c>
      <c r="P50" s="458">
        <f>2021467.25+4147826.75+1641146.5+1086471.5+837723.5+353523.5+115157+12431.5+1554+13261.5+3397.5+17222.5+17226.5+5821+1188+2851+2851+2530</f>
        <v>10283650.5</v>
      </c>
      <c r="Q50" s="459">
        <f>231121+459388+190384+130345+104513+46481+14878+1830+250+1860+737+1888+2090+661+238+570+284+543</f>
        <v>1188061</v>
      </c>
      <c r="R50" s="297">
        <v>40963</v>
      </c>
    </row>
    <row r="51" spans="1:18" ht="9" customHeight="1">
      <c r="A51" s="755"/>
      <c r="B51" s="755"/>
      <c r="C51" s="755"/>
      <c r="D51" s="755"/>
      <c r="E51" s="756"/>
      <c r="F51" s="757" t="s">
        <v>54</v>
      </c>
      <c r="G51" s="494" t="s">
        <v>67</v>
      </c>
      <c r="H51" s="491" t="s">
        <v>85</v>
      </c>
      <c r="I51" s="491"/>
      <c r="J51" s="491" t="s">
        <v>67</v>
      </c>
      <c r="K51" s="488">
        <v>40844</v>
      </c>
      <c r="L51" s="487" t="s">
        <v>68</v>
      </c>
      <c r="M51" s="254">
        <v>278</v>
      </c>
      <c r="N51" s="458">
        <v>1188</v>
      </c>
      <c r="O51" s="459">
        <v>238</v>
      </c>
      <c r="P51" s="458">
        <f>2021467.25+4147826.75+1641146.5+1086471.5+837723.5+353523.5+115157+12431.5+1554+13261.5+3397.5+17222.5+17226.5+5821+1188</f>
        <v>10275418.5</v>
      </c>
      <c r="Q51" s="459">
        <f>231121+459388+190384+130345+104513+46481+14878+1830+250+1860+737+1888+2090+661+238</f>
        <v>1186664</v>
      </c>
      <c r="R51" s="218">
        <v>40942</v>
      </c>
    </row>
    <row r="52" spans="1:18" ht="9" customHeight="1">
      <c r="A52" s="760"/>
      <c r="B52" s="760"/>
      <c r="C52" s="760"/>
      <c r="D52" s="760"/>
      <c r="E52" s="761"/>
      <c r="F52" s="762"/>
      <c r="G52" s="528" t="s">
        <v>712</v>
      </c>
      <c r="H52" s="258"/>
      <c r="I52" s="527"/>
      <c r="J52" s="528" t="s">
        <v>713</v>
      </c>
      <c r="K52" s="488">
        <v>40704</v>
      </c>
      <c r="L52" s="526" t="s">
        <v>68</v>
      </c>
      <c r="M52" s="254">
        <v>5</v>
      </c>
      <c r="N52" s="270">
        <v>1782</v>
      </c>
      <c r="O52" s="272">
        <v>356</v>
      </c>
      <c r="P52" s="270">
        <f>20401.5+5027+2422+1135.5+4917+1138.5+597+1238.5+1934+2721.5+1965.5+798+172+1307+1782+1782</f>
        <v>49339</v>
      </c>
      <c r="Q52" s="272">
        <f>1380+485+214+81+460+135+75+159+185+328+268+93+24+328+446+356</f>
        <v>5017</v>
      </c>
      <c r="R52" s="297">
        <v>40970</v>
      </c>
    </row>
    <row r="53" spans="1:18" ht="9" customHeight="1">
      <c r="A53" s="769" t="s">
        <v>223</v>
      </c>
      <c r="B53" s="766"/>
      <c r="C53" s="755"/>
      <c r="D53" s="764"/>
      <c r="E53" s="765" t="s">
        <v>55</v>
      </c>
      <c r="F53" s="775"/>
      <c r="G53" s="501" t="s">
        <v>266</v>
      </c>
      <c r="H53" s="502" t="s">
        <v>422</v>
      </c>
      <c r="I53" s="492" t="s">
        <v>186</v>
      </c>
      <c r="J53" s="502" t="s">
        <v>267</v>
      </c>
      <c r="K53" s="503">
        <v>39073</v>
      </c>
      <c r="L53" s="487" t="s">
        <v>53</v>
      </c>
      <c r="M53" s="448">
        <v>51</v>
      </c>
      <c r="N53" s="214">
        <v>1802</v>
      </c>
      <c r="O53" s="217">
        <v>360</v>
      </c>
      <c r="P53" s="214">
        <f>145565+155630+55982+15271+7453.5+9440+11300.5+7141.5+2772.5+2945+30+431+4621+226+400+118+79+0+1201+1802</f>
        <v>422409</v>
      </c>
      <c r="Q53" s="217">
        <f>17748+18932+7628+2641+1317+1724+2010+1184+553+655+5+131+1001+24+110+22+13+0+240+360</f>
        <v>56298</v>
      </c>
      <c r="R53" s="218">
        <v>40928</v>
      </c>
    </row>
    <row r="54" spans="1:18" ht="9" customHeight="1">
      <c r="A54" s="769" t="s">
        <v>223</v>
      </c>
      <c r="B54" s="764"/>
      <c r="C54" s="759"/>
      <c r="D54" s="764"/>
      <c r="E54" s="765" t="s">
        <v>55</v>
      </c>
      <c r="F54" s="776"/>
      <c r="G54" s="501" t="s">
        <v>266</v>
      </c>
      <c r="H54" s="502" t="s">
        <v>422</v>
      </c>
      <c r="I54" s="492" t="s">
        <v>186</v>
      </c>
      <c r="J54" s="502" t="s">
        <v>267</v>
      </c>
      <c r="K54" s="503">
        <v>39073</v>
      </c>
      <c r="L54" s="487" t="s">
        <v>53</v>
      </c>
      <c r="M54" s="448">
        <v>51</v>
      </c>
      <c r="N54" s="214">
        <v>1201</v>
      </c>
      <c r="O54" s="217">
        <v>240</v>
      </c>
      <c r="P54" s="214">
        <f>145565+155630+55982+15271+7453.5+9440+11300.5+7141.5+2772.5+2945+30+431+4621+226+400+118+79+0+1201</f>
        <v>420607</v>
      </c>
      <c r="Q54" s="490">
        <f>17748+18932+7628+2641+1317+1724+2010+1184+553+655+5+131+1001+24+110+22+13+0+240</f>
        <v>55938</v>
      </c>
      <c r="R54" s="297">
        <v>40907</v>
      </c>
    </row>
    <row r="55" spans="1:18" ht="9" customHeight="1">
      <c r="A55" s="772" t="s">
        <v>223</v>
      </c>
      <c r="B55" s="322"/>
      <c r="C55" s="760"/>
      <c r="D55" s="773" t="s">
        <v>292</v>
      </c>
      <c r="E55" s="760"/>
      <c r="F55" s="320"/>
      <c r="G55" s="266" t="s">
        <v>693</v>
      </c>
      <c r="H55" s="266" t="s">
        <v>691</v>
      </c>
      <c r="I55" s="258" t="s">
        <v>186</v>
      </c>
      <c r="J55" s="266" t="s">
        <v>692</v>
      </c>
      <c r="K55" s="503">
        <v>37895</v>
      </c>
      <c r="L55" s="526" t="s">
        <v>53</v>
      </c>
      <c r="M55" s="258">
        <v>50</v>
      </c>
      <c r="N55" s="261">
        <v>1201</v>
      </c>
      <c r="O55" s="262">
        <v>240</v>
      </c>
      <c r="P55" s="276">
        <v>662891.75</v>
      </c>
      <c r="Q55" s="277">
        <v>157386</v>
      </c>
      <c r="R55" s="297">
        <v>40970</v>
      </c>
    </row>
    <row r="56" spans="1:18" ht="9" customHeight="1">
      <c r="A56" s="769" t="s">
        <v>223</v>
      </c>
      <c r="B56" s="766"/>
      <c r="C56" s="755"/>
      <c r="D56" s="771" t="s">
        <v>292</v>
      </c>
      <c r="E56" s="765" t="s">
        <v>55</v>
      </c>
      <c r="F56" s="775"/>
      <c r="G56" s="501" t="s">
        <v>465</v>
      </c>
      <c r="H56" s="502" t="s">
        <v>437</v>
      </c>
      <c r="I56" s="492" t="s">
        <v>186</v>
      </c>
      <c r="J56" s="502" t="s">
        <v>466</v>
      </c>
      <c r="K56" s="503">
        <v>39192</v>
      </c>
      <c r="L56" s="487" t="s">
        <v>53</v>
      </c>
      <c r="M56" s="254">
        <v>23</v>
      </c>
      <c r="N56" s="214">
        <v>3003</v>
      </c>
      <c r="O56" s="217">
        <v>600</v>
      </c>
      <c r="P56" s="214">
        <f>407730+156171.5+87089+48964+29084+13173.5+8330+7579.5+805.5+1100+1464+3021+264+123+23+430+70+2408+0.5+234+42+54+3003</f>
        <v>771163.5</v>
      </c>
      <c r="Q56" s="217">
        <f>48903+19527+11239+7709+5693+3389+1770+1751+250+248+325+755+88+19+3+86+14+602+39+7+9+600</f>
        <v>103026</v>
      </c>
      <c r="R56" s="218">
        <v>40928</v>
      </c>
    </row>
    <row r="57" spans="1:18" ht="9" customHeight="1">
      <c r="A57" s="759"/>
      <c r="B57" s="759"/>
      <c r="C57" s="759"/>
      <c r="D57" s="759"/>
      <c r="E57" s="758"/>
      <c r="F57" s="757" t="s">
        <v>54</v>
      </c>
      <c r="G57" s="494" t="s">
        <v>143</v>
      </c>
      <c r="H57" s="492" t="s">
        <v>127</v>
      </c>
      <c r="I57" s="493"/>
      <c r="J57" s="491" t="s">
        <v>143</v>
      </c>
      <c r="K57" s="488">
        <v>40893</v>
      </c>
      <c r="L57" s="487" t="s">
        <v>68</v>
      </c>
      <c r="M57" s="254">
        <v>23</v>
      </c>
      <c r="N57" s="458">
        <v>20298.5</v>
      </c>
      <c r="O57" s="459">
        <v>2691</v>
      </c>
      <c r="P57" s="458">
        <f>53228.5+28585+20298.5</f>
        <v>102112</v>
      </c>
      <c r="Q57" s="459">
        <f>6440+3537+2691</f>
        <v>12668</v>
      </c>
      <c r="R57" s="297">
        <v>40907</v>
      </c>
    </row>
    <row r="58" spans="1:18" ht="9" customHeight="1">
      <c r="A58" s="755"/>
      <c r="B58" s="755"/>
      <c r="C58" s="755"/>
      <c r="D58" s="755"/>
      <c r="E58" s="756"/>
      <c r="F58" s="757" t="s">
        <v>54</v>
      </c>
      <c r="G58" s="494" t="s">
        <v>143</v>
      </c>
      <c r="H58" s="492" t="s">
        <v>127</v>
      </c>
      <c r="I58" s="493"/>
      <c r="J58" s="491" t="s">
        <v>143</v>
      </c>
      <c r="K58" s="488">
        <v>40893</v>
      </c>
      <c r="L58" s="487" t="s">
        <v>68</v>
      </c>
      <c r="M58" s="254">
        <v>23</v>
      </c>
      <c r="N58" s="458">
        <v>8299</v>
      </c>
      <c r="O58" s="459">
        <v>1237</v>
      </c>
      <c r="P58" s="458">
        <f>53228.5+28585+20298.5+8299</f>
        <v>110411</v>
      </c>
      <c r="Q58" s="296">
        <f>6440+3537+2691+1237</f>
        <v>13905</v>
      </c>
      <c r="R58" s="218">
        <v>40914</v>
      </c>
    </row>
    <row r="59" spans="1:18" ht="9" customHeight="1">
      <c r="A59" s="755"/>
      <c r="B59" s="755"/>
      <c r="C59" s="755"/>
      <c r="D59" s="755"/>
      <c r="E59" s="756"/>
      <c r="F59" s="757" t="s">
        <v>54</v>
      </c>
      <c r="G59" s="494" t="s">
        <v>143</v>
      </c>
      <c r="H59" s="492" t="s">
        <v>127</v>
      </c>
      <c r="I59" s="493"/>
      <c r="J59" s="491" t="s">
        <v>143</v>
      </c>
      <c r="K59" s="488">
        <v>40893</v>
      </c>
      <c r="L59" s="487" t="s">
        <v>68</v>
      </c>
      <c r="M59" s="254">
        <v>23</v>
      </c>
      <c r="N59" s="458">
        <v>6463</v>
      </c>
      <c r="O59" s="459">
        <v>1419</v>
      </c>
      <c r="P59" s="458">
        <f>53228.5+28585+20298.5+8299+5922+6463</f>
        <v>122796</v>
      </c>
      <c r="Q59" s="459">
        <f>6440+3537+2691+1237+891+1419</f>
        <v>16215</v>
      </c>
      <c r="R59" s="218">
        <v>40928</v>
      </c>
    </row>
    <row r="60" spans="1:18" ht="9" customHeight="1">
      <c r="A60" s="755"/>
      <c r="B60" s="755"/>
      <c r="C60" s="755"/>
      <c r="D60" s="755"/>
      <c r="E60" s="756"/>
      <c r="F60" s="757" t="s">
        <v>54</v>
      </c>
      <c r="G60" s="494" t="s">
        <v>143</v>
      </c>
      <c r="H60" s="492" t="s">
        <v>127</v>
      </c>
      <c r="I60" s="493"/>
      <c r="J60" s="491" t="s">
        <v>143</v>
      </c>
      <c r="K60" s="488">
        <v>40893</v>
      </c>
      <c r="L60" s="487" t="s">
        <v>68</v>
      </c>
      <c r="M60" s="254">
        <v>23</v>
      </c>
      <c r="N60" s="458">
        <v>5922</v>
      </c>
      <c r="O60" s="459">
        <v>891</v>
      </c>
      <c r="P60" s="458">
        <f>53228.5+28585+20298.5+8299+5922</f>
        <v>116333</v>
      </c>
      <c r="Q60" s="459">
        <f>6440+3537+2691+1237+891</f>
        <v>14796</v>
      </c>
      <c r="R60" s="218">
        <v>40921</v>
      </c>
    </row>
    <row r="61" spans="1:18" ht="9" customHeight="1">
      <c r="A61" s="755"/>
      <c r="B61" s="755"/>
      <c r="C61" s="755"/>
      <c r="D61" s="755"/>
      <c r="E61" s="756"/>
      <c r="F61" s="757" t="s">
        <v>54</v>
      </c>
      <c r="G61" s="491" t="s">
        <v>143</v>
      </c>
      <c r="H61" s="492" t="s">
        <v>127</v>
      </c>
      <c r="I61" s="493"/>
      <c r="J61" s="491" t="s">
        <v>143</v>
      </c>
      <c r="K61" s="488">
        <v>40893</v>
      </c>
      <c r="L61" s="487" t="s">
        <v>68</v>
      </c>
      <c r="M61" s="254">
        <v>23</v>
      </c>
      <c r="N61" s="458">
        <v>3801.5</v>
      </c>
      <c r="O61" s="459">
        <v>760</v>
      </c>
      <c r="P61" s="458">
        <f>53228.5+28585+20298.5+8299+5922+6463+2186.5+3291+2777+3801.5</f>
        <v>134852</v>
      </c>
      <c r="Q61" s="459">
        <f>6440+3537+2691+1237+891+1419+633+570+423+760</f>
        <v>18601</v>
      </c>
      <c r="R61" s="218">
        <v>40956</v>
      </c>
    </row>
    <row r="62" spans="1:18" ht="9" customHeight="1">
      <c r="A62" s="755"/>
      <c r="B62" s="755"/>
      <c r="C62" s="755"/>
      <c r="D62" s="755"/>
      <c r="E62" s="756"/>
      <c r="F62" s="757" t="s">
        <v>54</v>
      </c>
      <c r="G62" s="494" t="s">
        <v>143</v>
      </c>
      <c r="H62" s="492" t="s">
        <v>127</v>
      </c>
      <c r="I62" s="493"/>
      <c r="J62" s="491" t="s">
        <v>143</v>
      </c>
      <c r="K62" s="488">
        <v>40893</v>
      </c>
      <c r="L62" s="487" t="s">
        <v>68</v>
      </c>
      <c r="M62" s="254">
        <v>23</v>
      </c>
      <c r="N62" s="458">
        <v>3291</v>
      </c>
      <c r="O62" s="459">
        <v>570</v>
      </c>
      <c r="P62" s="458">
        <f>53228.5+28585+20298.5+8299+5922+6463+2186.5+3291</f>
        <v>128273.5</v>
      </c>
      <c r="Q62" s="459">
        <f>6440+3537+2691+1237+891+1419+633+570</f>
        <v>17418</v>
      </c>
      <c r="R62" s="218">
        <v>40942</v>
      </c>
    </row>
    <row r="63" spans="1:18" ht="9" customHeight="1">
      <c r="A63" s="755"/>
      <c r="B63" s="755"/>
      <c r="C63" s="755"/>
      <c r="D63" s="755"/>
      <c r="E63" s="756"/>
      <c r="F63" s="757" t="s">
        <v>54</v>
      </c>
      <c r="G63" s="491" t="s">
        <v>143</v>
      </c>
      <c r="H63" s="492" t="s">
        <v>127</v>
      </c>
      <c r="I63" s="493"/>
      <c r="J63" s="491" t="s">
        <v>143</v>
      </c>
      <c r="K63" s="488">
        <v>40893</v>
      </c>
      <c r="L63" s="487" t="s">
        <v>68</v>
      </c>
      <c r="M63" s="254">
        <v>23</v>
      </c>
      <c r="N63" s="458">
        <v>2777</v>
      </c>
      <c r="O63" s="459">
        <v>423</v>
      </c>
      <c r="P63" s="458">
        <f>53228.5+28585+20298.5+8299+5922+6463+2186.5+3291+2777</f>
        <v>131050.5</v>
      </c>
      <c r="Q63" s="296">
        <f>6440+3537+2691+1237+891+1419+633+570+423</f>
        <v>17841</v>
      </c>
      <c r="R63" s="218">
        <v>40949</v>
      </c>
    </row>
    <row r="64" spans="1:18" ht="9" customHeight="1">
      <c r="A64" s="755"/>
      <c r="B64" s="755"/>
      <c r="C64" s="755"/>
      <c r="D64" s="755"/>
      <c r="E64" s="756"/>
      <c r="F64" s="757" t="s">
        <v>54</v>
      </c>
      <c r="G64" s="494" t="s">
        <v>143</v>
      </c>
      <c r="H64" s="492" t="s">
        <v>127</v>
      </c>
      <c r="I64" s="493"/>
      <c r="J64" s="491" t="s">
        <v>143</v>
      </c>
      <c r="K64" s="488">
        <v>40893</v>
      </c>
      <c r="L64" s="487" t="s">
        <v>68</v>
      </c>
      <c r="M64" s="254">
        <v>23</v>
      </c>
      <c r="N64" s="458">
        <v>2186.5</v>
      </c>
      <c r="O64" s="459">
        <v>633</v>
      </c>
      <c r="P64" s="458">
        <f>53228.5+28585+20298.5+8299+5922+6463+2186.5</f>
        <v>124982.5</v>
      </c>
      <c r="Q64" s="459">
        <f>6440+3537+2691+1237+891+1419+633</f>
        <v>16848</v>
      </c>
      <c r="R64" s="218">
        <v>40935</v>
      </c>
    </row>
    <row r="65" spans="1:18" ht="9" customHeight="1">
      <c r="A65" s="760"/>
      <c r="B65" s="760"/>
      <c r="C65" s="760"/>
      <c r="D65" s="760"/>
      <c r="E65" s="761"/>
      <c r="F65" s="761"/>
      <c r="G65" s="303" t="s">
        <v>241</v>
      </c>
      <c r="H65" s="526" t="s">
        <v>129</v>
      </c>
      <c r="I65" s="526" t="s">
        <v>79</v>
      </c>
      <c r="J65" s="526" t="s">
        <v>242</v>
      </c>
      <c r="K65" s="488">
        <v>40781</v>
      </c>
      <c r="L65" s="526" t="s">
        <v>13</v>
      </c>
      <c r="M65" s="258">
        <v>10</v>
      </c>
      <c r="N65" s="261">
        <v>2376</v>
      </c>
      <c r="O65" s="262">
        <v>476</v>
      </c>
      <c r="P65" s="261">
        <v>34812</v>
      </c>
      <c r="Q65" s="262">
        <v>4571</v>
      </c>
      <c r="R65" s="297">
        <v>40970</v>
      </c>
    </row>
    <row r="66" spans="1:18" ht="9" customHeight="1">
      <c r="A66" s="755"/>
      <c r="B66" s="755"/>
      <c r="C66" s="759"/>
      <c r="D66" s="755"/>
      <c r="E66" s="758"/>
      <c r="F66" s="758"/>
      <c r="G66" s="504" t="s">
        <v>241</v>
      </c>
      <c r="H66" s="487" t="s">
        <v>129</v>
      </c>
      <c r="I66" s="487" t="s">
        <v>79</v>
      </c>
      <c r="J66" s="487" t="s">
        <v>242</v>
      </c>
      <c r="K66" s="488">
        <v>40781</v>
      </c>
      <c r="L66" s="487" t="s">
        <v>13</v>
      </c>
      <c r="M66" s="505">
        <v>10</v>
      </c>
      <c r="N66" s="214">
        <v>1188</v>
      </c>
      <c r="O66" s="217">
        <v>237</v>
      </c>
      <c r="P66" s="214">
        <v>32436</v>
      </c>
      <c r="Q66" s="217">
        <v>4095</v>
      </c>
      <c r="R66" s="297">
        <v>40907</v>
      </c>
    </row>
    <row r="67" spans="1:18" ht="9" customHeight="1">
      <c r="A67" s="766"/>
      <c r="B67" s="766"/>
      <c r="C67" s="759"/>
      <c r="D67" s="766"/>
      <c r="E67" s="763"/>
      <c r="F67" s="757" t="s">
        <v>54</v>
      </c>
      <c r="G67" s="506" t="s">
        <v>120</v>
      </c>
      <c r="H67" s="492" t="s">
        <v>122</v>
      </c>
      <c r="I67" s="487"/>
      <c r="J67" s="487" t="s">
        <v>120</v>
      </c>
      <c r="K67" s="488">
        <v>40886</v>
      </c>
      <c r="L67" s="487" t="s">
        <v>121</v>
      </c>
      <c r="M67" s="254">
        <v>82</v>
      </c>
      <c r="N67" s="507">
        <v>27702.5</v>
      </c>
      <c r="O67" s="508">
        <v>3949</v>
      </c>
      <c r="P67" s="507">
        <v>629561</v>
      </c>
      <c r="Q67" s="508">
        <v>71923</v>
      </c>
      <c r="R67" s="297">
        <v>40907</v>
      </c>
    </row>
    <row r="68" spans="1:18" ht="9" customHeight="1">
      <c r="A68" s="766"/>
      <c r="B68" s="766"/>
      <c r="C68" s="755"/>
      <c r="D68" s="766"/>
      <c r="E68" s="756"/>
      <c r="F68" s="757" t="s">
        <v>54</v>
      </c>
      <c r="G68" s="506" t="s">
        <v>120</v>
      </c>
      <c r="H68" s="492" t="s">
        <v>122</v>
      </c>
      <c r="I68" s="487"/>
      <c r="J68" s="487" t="s">
        <v>120</v>
      </c>
      <c r="K68" s="488">
        <v>40886</v>
      </c>
      <c r="L68" s="487" t="s">
        <v>121</v>
      </c>
      <c r="M68" s="254">
        <v>82</v>
      </c>
      <c r="N68" s="507">
        <v>8167.5</v>
      </c>
      <c r="O68" s="508">
        <v>1300</v>
      </c>
      <c r="P68" s="507">
        <v>637877</v>
      </c>
      <c r="Q68" s="305">
        <v>73245</v>
      </c>
      <c r="R68" s="218">
        <v>40914</v>
      </c>
    </row>
    <row r="69" spans="1:18" ht="9" customHeight="1">
      <c r="A69" s="766"/>
      <c r="B69" s="766"/>
      <c r="C69" s="755"/>
      <c r="D69" s="766"/>
      <c r="E69" s="756"/>
      <c r="F69" s="757" t="s">
        <v>54</v>
      </c>
      <c r="G69" s="506" t="s">
        <v>120</v>
      </c>
      <c r="H69" s="492" t="s">
        <v>122</v>
      </c>
      <c r="I69" s="487"/>
      <c r="J69" s="487" t="s">
        <v>120</v>
      </c>
      <c r="K69" s="488">
        <v>40886</v>
      </c>
      <c r="L69" s="487" t="s">
        <v>121</v>
      </c>
      <c r="M69" s="254">
        <v>82</v>
      </c>
      <c r="N69" s="507">
        <v>4728</v>
      </c>
      <c r="O69" s="508">
        <v>758</v>
      </c>
      <c r="P69" s="507">
        <v>642785</v>
      </c>
      <c r="Q69" s="508">
        <v>74003</v>
      </c>
      <c r="R69" s="218">
        <v>40921</v>
      </c>
    </row>
    <row r="70" spans="1:18" ht="9" customHeight="1">
      <c r="A70" s="332"/>
      <c r="B70" s="332"/>
      <c r="C70" s="760"/>
      <c r="D70" s="332"/>
      <c r="E70" s="761"/>
      <c r="F70" s="768" t="s">
        <v>54</v>
      </c>
      <c r="G70" s="64" t="s">
        <v>120</v>
      </c>
      <c r="H70" s="61" t="s">
        <v>122</v>
      </c>
      <c r="I70" s="64"/>
      <c r="J70" s="64" t="s">
        <v>120</v>
      </c>
      <c r="K70" s="220">
        <v>40886</v>
      </c>
      <c r="L70" s="64" t="s">
        <v>121</v>
      </c>
      <c r="M70" s="258">
        <v>82</v>
      </c>
      <c r="N70" s="279">
        <v>4327</v>
      </c>
      <c r="O70" s="280">
        <v>819</v>
      </c>
      <c r="P70" s="279">
        <v>651438.9</v>
      </c>
      <c r="Q70" s="280">
        <v>75523</v>
      </c>
      <c r="R70" s="297">
        <v>40977</v>
      </c>
    </row>
    <row r="71" spans="1:18" ht="9" customHeight="1">
      <c r="A71" s="766"/>
      <c r="B71" s="766"/>
      <c r="C71" s="755"/>
      <c r="D71" s="766"/>
      <c r="E71" s="756"/>
      <c r="F71" s="757" t="s">
        <v>54</v>
      </c>
      <c r="G71" s="506" t="s">
        <v>120</v>
      </c>
      <c r="H71" s="492" t="s">
        <v>122</v>
      </c>
      <c r="I71" s="487"/>
      <c r="J71" s="487" t="s">
        <v>120</v>
      </c>
      <c r="K71" s="488">
        <v>40886</v>
      </c>
      <c r="L71" s="487" t="s">
        <v>121</v>
      </c>
      <c r="M71" s="254">
        <v>82</v>
      </c>
      <c r="N71" s="507">
        <v>2957.9</v>
      </c>
      <c r="O71" s="508">
        <v>493</v>
      </c>
      <c r="P71" s="507">
        <v>645699.9</v>
      </c>
      <c r="Q71" s="508">
        <v>74489</v>
      </c>
      <c r="R71" s="218">
        <v>40928</v>
      </c>
    </row>
    <row r="72" spans="1:18" ht="9" customHeight="1">
      <c r="A72" s="766"/>
      <c r="B72" s="766"/>
      <c r="C72" s="755"/>
      <c r="D72" s="766"/>
      <c r="E72" s="756"/>
      <c r="F72" s="757" t="s">
        <v>54</v>
      </c>
      <c r="G72" s="506" t="s">
        <v>120</v>
      </c>
      <c r="H72" s="492" t="s">
        <v>122</v>
      </c>
      <c r="I72" s="487"/>
      <c r="J72" s="487" t="s">
        <v>120</v>
      </c>
      <c r="K72" s="488">
        <v>40886</v>
      </c>
      <c r="L72" s="487" t="s">
        <v>121</v>
      </c>
      <c r="M72" s="254">
        <v>82</v>
      </c>
      <c r="N72" s="507">
        <v>942</v>
      </c>
      <c r="O72" s="508">
        <v>146</v>
      </c>
      <c r="P72" s="456">
        <v>647111.9</v>
      </c>
      <c r="Q72" s="457">
        <v>74704</v>
      </c>
      <c r="R72" s="218">
        <v>40942</v>
      </c>
    </row>
    <row r="73" spans="1:18" ht="9" customHeight="1">
      <c r="A73" s="766"/>
      <c r="B73" s="766"/>
      <c r="C73" s="755"/>
      <c r="D73" s="766"/>
      <c r="E73" s="756"/>
      <c r="F73" s="757" t="s">
        <v>54</v>
      </c>
      <c r="G73" s="506" t="s">
        <v>120</v>
      </c>
      <c r="H73" s="492" t="s">
        <v>122</v>
      </c>
      <c r="I73" s="487"/>
      <c r="J73" s="487" t="s">
        <v>120</v>
      </c>
      <c r="K73" s="488">
        <v>40886</v>
      </c>
      <c r="L73" s="487" t="s">
        <v>121</v>
      </c>
      <c r="M73" s="254">
        <v>82</v>
      </c>
      <c r="N73" s="507">
        <v>470</v>
      </c>
      <c r="O73" s="508">
        <v>69</v>
      </c>
      <c r="P73" s="507">
        <v>646169.9</v>
      </c>
      <c r="Q73" s="508">
        <v>74558</v>
      </c>
      <c r="R73" s="218">
        <v>40935</v>
      </c>
    </row>
    <row r="74" spans="1:18" ht="9" customHeight="1">
      <c r="A74" s="755"/>
      <c r="B74" s="755"/>
      <c r="C74" s="755"/>
      <c r="D74" s="755"/>
      <c r="E74" s="756"/>
      <c r="F74" s="757" t="s">
        <v>54</v>
      </c>
      <c r="G74" s="486" t="s">
        <v>650</v>
      </c>
      <c r="H74" s="487" t="s">
        <v>652</v>
      </c>
      <c r="I74" s="487"/>
      <c r="J74" s="487" t="s">
        <v>650</v>
      </c>
      <c r="K74" s="488">
        <v>40165</v>
      </c>
      <c r="L74" s="487" t="s">
        <v>52</v>
      </c>
      <c r="M74" s="255">
        <v>38</v>
      </c>
      <c r="N74" s="214">
        <v>1188</v>
      </c>
      <c r="O74" s="217">
        <v>238</v>
      </c>
      <c r="P74" s="214">
        <f>1139387+1188</f>
        <v>1140575</v>
      </c>
      <c r="Q74" s="490">
        <f>139628+238</f>
        <v>139866</v>
      </c>
      <c r="R74" s="218">
        <v>40956</v>
      </c>
    </row>
    <row r="75" spans="1:18" ht="9" customHeight="1">
      <c r="A75" s="764"/>
      <c r="B75" s="764"/>
      <c r="C75" s="759"/>
      <c r="D75" s="764"/>
      <c r="E75" s="758"/>
      <c r="F75" s="757" t="s">
        <v>54</v>
      </c>
      <c r="G75" s="501" t="s">
        <v>66</v>
      </c>
      <c r="H75" s="502" t="s">
        <v>81</v>
      </c>
      <c r="I75" s="502"/>
      <c r="J75" s="502" t="s">
        <v>66</v>
      </c>
      <c r="K75" s="488">
        <v>40844</v>
      </c>
      <c r="L75" s="487" t="s">
        <v>53</v>
      </c>
      <c r="M75" s="257">
        <v>245</v>
      </c>
      <c r="N75" s="214">
        <v>1680</v>
      </c>
      <c r="O75" s="217">
        <v>262</v>
      </c>
      <c r="P75" s="214">
        <f>2095427.5+1865707+650031+295029.5+57559.5+69427+8354+22014.5+2923+1680</f>
        <v>5068153</v>
      </c>
      <c r="Q75" s="490">
        <f>212522+189875+68849+32548+6112+10910+1695+4739+564+262</f>
        <v>528076</v>
      </c>
      <c r="R75" s="297">
        <v>40907</v>
      </c>
    </row>
    <row r="76" spans="1:18" ht="9" customHeight="1">
      <c r="A76" s="766"/>
      <c r="B76" s="766"/>
      <c r="C76" s="755"/>
      <c r="D76" s="766"/>
      <c r="E76" s="756"/>
      <c r="F76" s="757" t="s">
        <v>54</v>
      </c>
      <c r="G76" s="501" t="s">
        <v>66</v>
      </c>
      <c r="H76" s="502" t="s">
        <v>81</v>
      </c>
      <c r="I76" s="502"/>
      <c r="J76" s="502" t="s">
        <v>66</v>
      </c>
      <c r="K76" s="488">
        <v>40844</v>
      </c>
      <c r="L76" s="487" t="s">
        <v>53</v>
      </c>
      <c r="M76" s="257">
        <v>245</v>
      </c>
      <c r="N76" s="500">
        <v>573</v>
      </c>
      <c r="O76" s="498">
        <v>94</v>
      </c>
      <c r="P76" s="500">
        <f>2095427.5+1865707+650031+295029.5+57559.5+69427+8354+22014.5+2923+1680+573</f>
        <v>5068726</v>
      </c>
      <c r="Q76" s="298">
        <f>212522+189875+68849+32548+6112+10910+1695+4739+564+262+94</f>
        <v>528170</v>
      </c>
      <c r="R76" s="218">
        <v>40914</v>
      </c>
    </row>
    <row r="77" spans="1:18" ht="9" customHeight="1">
      <c r="A77" s="766"/>
      <c r="B77" s="766"/>
      <c r="C77" s="755"/>
      <c r="D77" s="766"/>
      <c r="E77" s="756"/>
      <c r="F77" s="757" t="s">
        <v>54</v>
      </c>
      <c r="G77" s="501" t="s">
        <v>335</v>
      </c>
      <c r="H77" s="502" t="s">
        <v>338</v>
      </c>
      <c r="I77" s="492" t="s">
        <v>138</v>
      </c>
      <c r="J77" s="502" t="s">
        <v>335</v>
      </c>
      <c r="K77" s="488">
        <v>40830</v>
      </c>
      <c r="L77" s="487" t="s">
        <v>53</v>
      </c>
      <c r="M77" s="256">
        <v>142</v>
      </c>
      <c r="N77" s="500">
        <v>2402</v>
      </c>
      <c r="O77" s="498">
        <v>480</v>
      </c>
      <c r="P77" s="500">
        <f>248732+139942.5+41015.5+4968+2270+1973+10279+6007+1097+295+261+2402</f>
        <v>459242</v>
      </c>
      <c r="Q77" s="298">
        <f>33636+19210+5940+800+378+422+1552+983+159+45+36+480</f>
        <v>63641</v>
      </c>
      <c r="R77" s="218">
        <v>40914</v>
      </c>
    </row>
    <row r="78" spans="1:18" ht="9" customHeight="1">
      <c r="A78" s="759"/>
      <c r="B78" s="759"/>
      <c r="C78" s="759"/>
      <c r="D78" s="759"/>
      <c r="E78" s="758"/>
      <c r="F78" s="757" t="s">
        <v>54</v>
      </c>
      <c r="G78" s="504" t="s">
        <v>71</v>
      </c>
      <c r="H78" s="492" t="s">
        <v>82</v>
      </c>
      <c r="I78" s="492"/>
      <c r="J78" s="492" t="s">
        <v>71</v>
      </c>
      <c r="K78" s="503">
        <v>40858</v>
      </c>
      <c r="L78" s="487" t="s">
        <v>53</v>
      </c>
      <c r="M78" s="254">
        <v>130</v>
      </c>
      <c r="N78" s="214">
        <v>8754</v>
      </c>
      <c r="O78" s="217">
        <v>1547</v>
      </c>
      <c r="P78" s="214">
        <f>665902+436506+215139.5+18371+13790+6539+18719+8754</f>
        <v>1383720.5</v>
      </c>
      <c r="Q78" s="490">
        <f>66262+44749+24699+2311+1764+1135+3015+1547</f>
        <v>145482</v>
      </c>
      <c r="R78" s="297">
        <v>40907</v>
      </c>
    </row>
    <row r="79" spans="1:18" ht="9" customHeight="1">
      <c r="A79" s="755"/>
      <c r="B79" s="755"/>
      <c r="C79" s="755"/>
      <c r="D79" s="755"/>
      <c r="E79" s="756"/>
      <c r="F79" s="757" t="s">
        <v>54</v>
      </c>
      <c r="G79" s="504" t="s">
        <v>71</v>
      </c>
      <c r="H79" s="492" t="s">
        <v>82</v>
      </c>
      <c r="I79" s="492"/>
      <c r="J79" s="492" t="s">
        <v>71</v>
      </c>
      <c r="K79" s="503">
        <v>40858</v>
      </c>
      <c r="L79" s="487" t="s">
        <v>53</v>
      </c>
      <c r="M79" s="254">
        <v>130</v>
      </c>
      <c r="N79" s="214">
        <v>5914</v>
      </c>
      <c r="O79" s="217">
        <v>595</v>
      </c>
      <c r="P79" s="214">
        <f>665902+436506+215139.5+18371+13790+6539+18719+8754+1085+753+5914</f>
        <v>1391472.5</v>
      </c>
      <c r="Q79" s="217">
        <f>66262+44749+24699+2311+1764+1135+3015+1547+179+111+595</f>
        <v>146367</v>
      </c>
      <c r="R79" s="218">
        <v>40928</v>
      </c>
    </row>
    <row r="80" spans="1:18" ht="9" customHeight="1">
      <c r="A80" s="755"/>
      <c r="B80" s="755"/>
      <c r="C80" s="755"/>
      <c r="D80" s="755"/>
      <c r="E80" s="756"/>
      <c r="F80" s="757" t="s">
        <v>54</v>
      </c>
      <c r="G80" s="504" t="s">
        <v>71</v>
      </c>
      <c r="H80" s="492" t="s">
        <v>82</v>
      </c>
      <c r="I80" s="492"/>
      <c r="J80" s="492" t="s">
        <v>71</v>
      </c>
      <c r="K80" s="503">
        <v>40858</v>
      </c>
      <c r="L80" s="487" t="s">
        <v>53</v>
      </c>
      <c r="M80" s="254">
        <v>130</v>
      </c>
      <c r="N80" s="500">
        <v>1085</v>
      </c>
      <c r="O80" s="498">
        <v>179</v>
      </c>
      <c r="P80" s="500">
        <f>665902+436506+215139.5+18371+13790+6539+18719+8754+1085</f>
        <v>1384805.5</v>
      </c>
      <c r="Q80" s="298">
        <f>66262+44749+24699+2311+1764+1135+3015+1547+179</f>
        <v>145661</v>
      </c>
      <c r="R80" s="218">
        <v>40914</v>
      </c>
    </row>
    <row r="81" spans="1:18" ht="9" customHeight="1">
      <c r="A81" s="755"/>
      <c r="B81" s="755"/>
      <c r="C81" s="755"/>
      <c r="D81" s="755"/>
      <c r="E81" s="756"/>
      <c r="F81" s="757" t="s">
        <v>54</v>
      </c>
      <c r="G81" s="504" t="s">
        <v>71</v>
      </c>
      <c r="H81" s="492" t="s">
        <v>82</v>
      </c>
      <c r="I81" s="492"/>
      <c r="J81" s="492" t="s">
        <v>71</v>
      </c>
      <c r="K81" s="503">
        <v>40858</v>
      </c>
      <c r="L81" s="487" t="s">
        <v>53</v>
      </c>
      <c r="M81" s="254">
        <v>130</v>
      </c>
      <c r="N81" s="214">
        <v>772</v>
      </c>
      <c r="O81" s="217">
        <v>67</v>
      </c>
      <c r="P81" s="214">
        <f>665902+436506+215139.5+18371+13790+6539+18719+8754+1085+753+5914+772</f>
        <v>1392244.5</v>
      </c>
      <c r="Q81" s="217">
        <f>66262+44749+24699+2311+1764+1135+3015+1547+179+111+595+67</f>
        <v>146434</v>
      </c>
      <c r="R81" s="218">
        <v>40935</v>
      </c>
    </row>
    <row r="82" spans="1:18" ht="9" customHeight="1">
      <c r="A82" s="755"/>
      <c r="B82" s="755"/>
      <c r="C82" s="755"/>
      <c r="D82" s="755"/>
      <c r="E82" s="756"/>
      <c r="F82" s="757" t="s">
        <v>54</v>
      </c>
      <c r="G82" s="504" t="s">
        <v>71</v>
      </c>
      <c r="H82" s="492" t="s">
        <v>82</v>
      </c>
      <c r="I82" s="492"/>
      <c r="J82" s="492" t="s">
        <v>71</v>
      </c>
      <c r="K82" s="503">
        <v>40858</v>
      </c>
      <c r="L82" s="487" t="s">
        <v>53</v>
      </c>
      <c r="M82" s="254">
        <v>130</v>
      </c>
      <c r="N82" s="214">
        <v>753</v>
      </c>
      <c r="O82" s="217">
        <v>111</v>
      </c>
      <c r="P82" s="214">
        <f>665902+436506+215139.5+18371+13790+6539+18719+8754+1085+753</f>
        <v>1385558.5</v>
      </c>
      <c r="Q82" s="490">
        <f>66262+44749+24699+2311+1764+1135+3015+1547+179+111</f>
        <v>145772</v>
      </c>
      <c r="R82" s="218">
        <v>40921</v>
      </c>
    </row>
    <row r="83" spans="1:18" ht="9" customHeight="1">
      <c r="A83" s="755"/>
      <c r="B83" s="755"/>
      <c r="C83" s="755"/>
      <c r="D83" s="755"/>
      <c r="E83" s="756"/>
      <c r="F83" s="757" t="s">
        <v>54</v>
      </c>
      <c r="G83" s="494" t="s">
        <v>269</v>
      </c>
      <c r="H83" s="492" t="s">
        <v>284</v>
      </c>
      <c r="I83" s="493"/>
      <c r="J83" s="491" t="s">
        <v>269</v>
      </c>
      <c r="K83" s="488">
        <v>40809</v>
      </c>
      <c r="L83" s="487" t="s">
        <v>68</v>
      </c>
      <c r="M83" s="254">
        <v>66</v>
      </c>
      <c r="N83" s="458">
        <v>4669.5</v>
      </c>
      <c r="O83" s="459">
        <v>1220</v>
      </c>
      <c r="P83" s="458">
        <f>382290+386122+344313.5+244996+104138.75+43618.5+27632+12528+6812+832+1782+2257+1782+5477.5+2138.5+4669.5</f>
        <v>1571389.25</v>
      </c>
      <c r="Q83" s="296">
        <f>34863+36137+32260+23896+12188+5940+2894+1417+1234+90+446+565+446+1293+535+1220</f>
        <v>155424</v>
      </c>
      <c r="R83" s="218">
        <v>40914</v>
      </c>
    </row>
    <row r="84" spans="1:18" ht="9" customHeight="1">
      <c r="A84" s="755"/>
      <c r="B84" s="755"/>
      <c r="C84" s="755"/>
      <c r="D84" s="755"/>
      <c r="E84" s="756"/>
      <c r="F84" s="757" t="s">
        <v>54</v>
      </c>
      <c r="G84" s="491" t="s">
        <v>269</v>
      </c>
      <c r="H84" s="492" t="s">
        <v>284</v>
      </c>
      <c r="I84" s="493"/>
      <c r="J84" s="491" t="s">
        <v>269</v>
      </c>
      <c r="K84" s="488">
        <v>40809</v>
      </c>
      <c r="L84" s="487" t="s">
        <v>68</v>
      </c>
      <c r="M84" s="254">
        <v>66</v>
      </c>
      <c r="N84" s="458">
        <v>2851.5</v>
      </c>
      <c r="O84" s="459">
        <v>571</v>
      </c>
      <c r="P84" s="458">
        <f>382290+386122+344313.5+244996+104138.75+43618.5+27632+12528+6812+832+1782+2257+1782+5477.5+2138.5+4669.5+970+2851.5</f>
        <v>1575210.75</v>
      </c>
      <c r="Q84" s="296">
        <f>34863+36137+32260+23896+12188+5940+2894+1417+1234+90+446+565+446+1293+535+1220+404+571</f>
        <v>156399</v>
      </c>
      <c r="R84" s="218">
        <v>40949</v>
      </c>
    </row>
    <row r="85" spans="1:18" ht="9" customHeight="1">
      <c r="A85" s="760"/>
      <c r="B85" s="760"/>
      <c r="C85" s="760"/>
      <c r="D85" s="760"/>
      <c r="E85" s="761"/>
      <c r="F85" s="768" t="s">
        <v>54</v>
      </c>
      <c r="G85" s="63" t="s">
        <v>269</v>
      </c>
      <c r="H85" s="61" t="s">
        <v>284</v>
      </c>
      <c r="I85" s="65"/>
      <c r="J85" s="63" t="s">
        <v>269</v>
      </c>
      <c r="K85" s="220">
        <v>40809</v>
      </c>
      <c r="L85" s="64" t="s">
        <v>68</v>
      </c>
      <c r="M85" s="258">
        <v>66</v>
      </c>
      <c r="N85" s="270">
        <v>2732.5</v>
      </c>
      <c r="O85" s="272">
        <v>546</v>
      </c>
      <c r="P85" s="270">
        <f>382290+386122+344313.5+244996+104138.75+43618.5+27632+12528+6812+832+1782+2257+1782+5477.5+2138.5+4669.5+970+2851.5+950.5+2732.5</f>
        <v>1578893.75</v>
      </c>
      <c r="Q85" s="272">
        <f>34863+36137+32260+23896+12188+5940+2894+1417+1234+90+446+565+446+1293+535+1220+404+571+190+546</f>
        <v>157135</v>
      </c>
      <c r="R85" s="297">
        <v>40977</v>
      </c>
    </row>
    <row r="86" spans="1:18" ht="9" customHeight="1">
      <c r="A86" s="759"/>
      <c r="B86" s="759"/>
      <c r="C86" s="759"/>
      <c r="D86" s="759"/>
      <c r="E86" s="758"/>
      <c r="F86" s="757" t="s">
        <v>54</v>
      </c>
      <c r="G86" s="494" t="s">
        <v>269</v>
      </c>
      <c r="H86" s="492" t="s">
        <v>284</v>
      </c>
      <c r="I86" s="493"/>
      <c r="J86" s="491" t="s">
        <v>269</v>
      </c>
      <c r="K86" s="488">
        <v>40809</v>
      </c>
      <c r="L86" s="487" t="s">
        <v>68</v>
      </c>
      <c r="M86" s="254">
        <v>66</v>
      </c>
      <c r="N86" s="458">
        <v>2138.5</v>
      </c>
      <c r="O86" s="459">
        <v>535</v>
      </c>
      <c r="P86" s="458">
        <f>382290+386122+344313.5+244996+104138.75+43618.5+27632+12528+6812+832+1782+2257+1782+5477.5+2138.5</f>
        <v>1566719.75</v>
      </c>
      <c r="Q86" s="459">
        <f>34863+36137+32260+23896+12188+5940+2894+1417+1234+90+446+565+446+1293+535</f>
        <v>154204</v>
      </c>
      <c r="R86" s="297">
        <v>40907</v>
      </c>
    </row>
    <row r="87" spans="1:18" ht="9" customHeight="1">
      <c r="A87" s="755"/>
      <c r="B87" s="755"/>
      <c r="C87" s="755"/>
      <c r="D87" s="755"/>
      <c r="E87" s="756"/>
      <c r="F87" s="757" t="s">
        <v>54</v>
      </c>
      <c r="G87" s="494" t="s">
        <v>269</v>
      </c>
      <c r="H87" s="492" t="s">
        <v>284</v>
      </c>
      <c r="I87" s="493"/>
      <c r="J87" s="491" t="s">
        <v>269</v>
      </c>
      <c r="K87" s="488">
        <v>40809</v>
      </c>
      <c r="L87" s="487" t="s">
        <v>68</v>
      </c>
      <c r="M87" s="254">
        <v>66</v>
      </c>
      <c r="N87" s="458">
        <v>970</v>
      </c>
      <c r="O87" s="459">
        <v>404</v>
      </c>
      <c r="P87" s="458">
        <f>382290+386122+344313.5+244996+104138.75+43618.5+27632+12528+6812+832+1782+2257+1782+5477.5+2138.5+4669.5+970</f>
        <v>1572359.25</v>
      </c>
      <c r="Q87" s="459">
        <f>34863+36137+32260+23896+12188+5940+2894+1417+1234+90+446+565+446+1293+535+1220+404</f>
        <v>155828</v>
      </c>
      <c r="R87" s="218">
        <v>40921</v>
      </c>
    </row>
    <row r="88" spans="1:18" ht="9" customHeight="1">
      <c r="A88" s="755"/>
      <c r="B88" s="755"/>
      <c r="C88" s="755"/>
      <c r="D88" s="755"/>
      <c r="E88" s="756"/>
      <c r="F88" s="757" t="s">
        <v>54</v>
      </c>
      <c r="G88" s="491" t="s">
        <v>269</v>
      </c>
      <c r="H88" s="492" t="s">
        <v>284</v>
      </c>
      <c r="I88" s="493"/>
      <c r="J88" s="491" t="s">
        <v>269</v>
      </c>
      <c r="K88" s="488">
        <v>40809</v>
      </c>
      <c r="L88" s="487" t="s">
        <v>68</v>
      </c>
      <c r="M88" s="254">
        <v>66</v>
      </c>
      <c r="N88" s="458">
        <v>950.5</v>
      </c>
      <c r="O88" s="459">
        <v>190</v>
      </c>
      <c r="P88" s="458">
        <f>382290+386122+344313.5+244996+104138.75+43618.5+27632+12528+6812+832+1782+2257+1782+5477.5+2138.5+4669.5+970+2851.5+950.5</f>
        <v>1576161.25</v>
      </c>
      <c r="Q88" s="459">
        <f>34863+36137+32260+23896+12188+5940+2894+1417+1234+90+446+565+446+1293+535+1220+404+571+190</f>
        <v>156589</v>
      </c>
      <c r="R88" s="297">
        <v>40963</v>
      </c>
    </row>
    <row r="89" spans="1:18" ht="9" customHeight="1">
      <c r="A89" s="755"/>
      <c r="B89" s="755"/>
      <c r="C89" s="755"/>
      <c r="D89" s="755"/>
      <c r="E89" s="756"/>
      <c r="F89" s="757" t="s">
        <v>54</v>
      </c>
      <c r="G89" s="491" t="s">
        <v>546</v>
      </c>
      <c r="H89" s="491" t="s">
        <v>547</v>
      </c>
      <c r="I89" s="491"/>
      <c r="J89" s="491" t="s">
        <v>546</v>
      </c>
      <c r="K89" s="488">
        <v>40648</v>
      </c>
      <c r="L89" s="487" t="s">
        <v>68</v>
      </c>
      <c r="M89" s="254">
        <v>28</v>
      </c>
      <c r="N89" s="458">
        <v>3801.5</v>
      </c>
      <c r="O89" s="459">
        <v>760</v>
      </c>
      <c r="P89" s="458">
        <f>67573+47761.5+14206.5+4949+3617+1080.5+492+714+1413.5+3743.5+735+1502.5+825+1147+1818+154+295+2263+179+160+3326.5+950.5+1782+1425.5+594+40+3801.5</f>
        <v>166549</v>
      </c>
      <c r="Q89" s="459">
        <f>6695+4901+2068+559+504+215+178+122+205+836+119+235+131+174+400+22+45+527+35+28+831+237+446+356+149+8+760</f>
        <v>20786</v>
      </c>
      <c r="R89" s="297">
        <v>40963</v>
      </c>
    </row>
    <row r="90" spans="1:18" ht="9" customHeight="1">
      <c r="A90" s="759"/>
      <c r="B90" s="759"/>
      <c r="C90" s="759"/>
      <c r="D90" s="755"/>
      <c r="E90" s="758"/>
      <c r="F90" s="756"/>
      <c r="G90" s="491" t="s">
        <v>659</v>
      </c>
      <c r="H90" s="492" t="s">
        <v>666</v>
      </c>
      <c r="I90" s="493" t="s">
        <v>89</v>
      </c>
      <c r="J90" s="491" t="s">
        <v>660</v>
      </c>
      <c r="K90" s="488">
        <v>39969</v>
      </c>
      <c r="L90" s="487" t="s">
        <v>68</v>
      </c>
      <c r="M90" s="254">
        <v>20</v>
      </c>
      <c r="N90" s="458">
        <v>1780</v>
      </c>
      <c r="O90" s="459">
        <v>356</v>
      </c>
      <c r="P90" s="458">
        <f>63821.75+29583.75+16102.25+8771.25+5888+8492.5+1761+3162+5226+2267+1186.5+1122.5+1305+832+660+301+151+1780+1780+1308+1780</f>
        <v>157281.5</v>
      </c>
      <c r="Q90" s="459">
        <f>6069+3045+2422+1546+1020+1313+402+594+954+378+185+151+256+78+122+64+34+445+445+327+356</f>
        <v>20206</v>
      </c>
      <c r="R90" s="218">
        <v>40956</v>
      </c>
    </row>
    <row r="91" spans="1:18" ht="9" customHeight="1">
      <c r="A91" s="766"/>
      <c r="B91" s="766"/>
      <c r="C91" s="755"/>
      <c r="D91" s="766"/>
      <c r="E91" s="756"/>
      <c r="F91" s="757" t="s">
        <v>54</v>
      </c>
      <c r="G91" s="501" t="s">
        <v>337</v>
      </c>
      <c r="H91" s="502" t="s">
        <v>339</v>
      </c>
      <c r="I91" s="492" t="s">
        <v>138</v>
      </c>
      <c r="J91" s="502" t="s">
        <v>337</v>
      </c>
      <c r="K91" s="488">
        <v>40914</v>
      </c>
      <c r="L91" s="487" t="s">
        <v>53</v>
      </c>
      <c r="M91" s="256">
        <v>97</v>
      </c>
      <c r="N91" s="500">
        <v>216520</v>
      </c>
      <c r="O91" s="498">
        <v>26831</v>
      </c>
      <c r="P91" s="500">
        <f>216520</f>
        <v>216520</v>
      </c>
      <c r="Q91" s="298">
        <f>26831</f>
        <v>26831</v>
      </c>
      <c r="R91" s="218">
        <v>40914</v>
      </c>
    </row>
    <row r="92" spans="1:18" ht="9" customHeight="1">
      <c r="A92" s="766"/>
      <c r="B92" s="766"/>
      <c r="C92" s="755"/>
      <c r="D92" s="766"/>
      <c r="E92" s="756"/>
      <c r="F92" s="757" t="s">
        <v>54</v>
      </c>
      <c r="G92" s="501" t="s">
        <v>337</v>
      </c>
      <c r="H92" s="502" t="s">
        <v>339</v>
      </c>
      <c r="I92" s="492" t="s">
        <v>138</v>
      </c>
      <c r="J92" s="502" t="s">
        <v>337</v>
      </c>
      <c r="K92" s="488">
        <v>40914</v>
      </c>
      <c r="L92" s="487" t="s">
        <v>53</v>
      </c>
      <c r="M92" s="448">
        <v>97</v>
      </c>
      <c r="N92" s="214">
        <v>198358.5</v>
      </c>
      <c r="O92" s="217">
        <v>25025</v>
      </c>
      <c r="P92" s="214">
        <f>216520+198358.5</f>
        <v>414878.5</v>
      </c>
      <c r="Q92" s="490">
        <f>26831+25025</f>
        <v>51856</v>
      </c>
      <c r="R92" s="218">
        <v>40921</v>
      </c>
    </row>
    <row r="93" spans="1:18" ht="9" customHeight="1">
      <c r="A93" s="763"/>
      <c r="B93" s="756"/>
      <c r="C93" s="774">
        <v>2</v>
      </c>
      <c r="D93" s="756"/>
      <c r="E93" s="763"/>
      <c r="F93" s="756"/>
      <c r="G93" s="496" t="s">
        <v>538</v>
      </c>
      <c r="H93" s="492" t="s">
        <v>539</v>
      </c>
      <c r="I93" s="496" t="s">
        <v>94</v>
      </c>
      <c r="J93" s="496" t="s">
        <v>540</v>
      </c>
      <c r="K93" s="488">
        <v>40788</v>
      </c>
      <c r="L93" s="487" t="s">
        <v>12</v>
      </c>
      <c r="M93" s="254">
        <v>89</v>
      </c>
      <c r="N93" s="214">
        <v>1197</v>
      </c>
      <c r="O93" s="217">
        <v>189</v>
      </c>
      <c r="P93" s="214">
        <v>2029519</v>
      </c>
      <c r="Q93" s="307">
        <v>203843</v>
      </c>
      <c r="R93" s="218">
        <v>40956</v>
      </c>
    </row>
    <row r="94" spans="1:18" ht="9" customHeight="1">
      <c r="A94" s="763"/>
      <c r="B94" s="756"/>
      <c r="C94" s="774">
        <v>2</v>
      </c>
      <c r="D94" s="756"/>
      <c r="E94" s="763"/>
      <c r="F94" s="756"/>
      <c r="G94" s="496" t="s">
        <v>538</v>
      </c>
      <c r="H94" s="492" t="s">
        <v>539</v>
      </c>
      <c r="I94" s="496" t="s">
        <v>94</v>
      </c>
      <c r="J94" s="496" t="s">
        <v>540</v>
      </c>
      <c r="K94" s="488">
        <v>40788</v>
      </c>
      <c r="L94" s="487" t="s">
        <v>12</v>
      </c>
      <c r="M94" s="254">
        <v>89</v>
      </c>
      <c r="N94" s="458">
        <v>1197</v>
      </c>
      <c r="O94" s="459">
        <v>189</v>
      </c>
      <c r="P94" s="458">
        <v>2030716</v>
      </c>
      <c r="Q94" s="459">
        <v>204032</v>
      </c>
      <c r="R94" s="297">
        <v>40963</v>
      </c>
    </row>
    <row r="95" spans="1:18" ht="9" customHeight="1">
      <c r="A95" s="764"/>
      <c r="B95" s="764"/>
      <c r="C95" s="759"/>
      <c r="D95" s="764"/>
      <c r="E95" s="777"/>
      <c r="F95" s="758"/>
      <c r="G95" s="504" t="s">
        <v>137</v>
      </c>
      <c r="H95" s="492" t="s">
        <v>140</v>
      </c>
      <c r="I95" s="492" t="s">
        <v>138</v>
      </c>
      <c r="J95" s="492" t="s">
        <v>139</v>
      </c>
      <c r="K95" s="488">
        <v>40893</v>
      </c>
      <c r="L95" s="487" t="s">
        <v>53</v>
      </c>
      <c r="M95" s="254">
        <v>28</v>
      </c>
      <c r="N95" s="214">
        <v>19211</v>
      </c>
      <c r="O95" s="217">
        <v>2152</v>
      </c>
      <c r="P95" s="214">
        <f>152692.5+78009+19211</f>
        <v>249912.5</v>
      </c>
      <c r="Q95" s="490">
        <f>12107+6230+2152</f>
        <v>20489</v>
      </c>
      <c r="R95" s="297">
        <v>40907</v>
      </c>
    </row>
    <row r="96" spans="1:18" ht="9" customHeight="1">
      <c r="A96" s="766"/>
      <c r="B96" s="766"/>
      <c r="C96" s="755"/>
      <c r="D96" s="766"/>
      <c r="E96" s="778"/>
      <c r="F96" s="756"/>
      <c r="G96" s="504" t="s">
        <v>137</v>
      </c>
      <c r="H96" s="492" t="s">
        <v>140</v>
      </c>
      <c r="I96" s="492" t="s">
        <v>138</v>
      </c>
      <c r="J96" s="492" t="s">
        <v>139</v>
      </c>
      <c r="K96" s="488">
        <v>40893</v>
      </c>
      <c r="L96" s="487" t="s">
        <v>53</v>
      </c>
      <c r="M96" s="254">
        <v>28</v>
      </c>
      <c r="N96" s="500">
        <v>5878</v>
      </c>
      <c r="O96" s="498">
        <v>592</v>
      </c>
      <c r="P96" s="500">
        <f>152692.5+78009+19211+5878</f>
        <v>255790.5</v>
      </c>
      <c r="Q96" s="298">
        <f>12107+6230+2152+592</f>
        <v>21081</v>
      </c>
      <c r="R96" s="218">
        <v>40914</v>
      </c>
    </row>
    <row r="97" spans="1:18" ht="9" customHeight="1">
      <c r="A97" s="766"/>
      <c r="B97" s="766"/>
      <c r="C97" s="755"/>
      <c r="D97" s="766"/>
      <c r="E97" s="778"/>
      <c r="F97" s="756"/>
      <c r="G97" s="504" t="s">
        <v>137</v>
      </c>
      <c r="H97" s="492" t="s">
        <v>140</v>
      </c>
      <c r="I97" s="492" t="s">
        <v>138</v>
      </c>
      <c r="J97" s="492" t="s">
        <v>139</v>
      </c>
      <c r="K97" s="488">
        <v>40893</v>
      </c>
      <c r="L97" s="487" t="s">
        <v>53</v>
      </c>
      <c r="M97" s="254">
        <v>28</v>
      </c>
      <c r="N97" s="214">
        <v>4853.5</v>
      </c>
      <c r="O97" s="217">
        <v>575</v>
      </c>
      <c r="P97" s="214">
        <f>152692.5+78009+19211+5878+4853.5</f>
        <v>260644</v>
      </c>
      <c r="Q97" s="490">
        <f>12107+6230+2152+592+575</f>
        <v>21656</v>
      </c>
      <c r="R97" s="218">
        <v>40921</v>
      </c>
    </row>
    <row r="98" spans="1:18" ht="9" customHeight="1">
      <c r="A98" s="766"/>
      <c r="B98" s="766"/>
      <c r="C98" s="755"/>
      <c r="D98" s="766"/>
      <c r="E98" s="778"/>
      <c r="F98" s="756"/>
      <c r="G98" s="504" t="s">
        <v>137</v>
      </c>
      <c r="H98" s="492" t="s">
        <v>140</v>
      </c>
      <c r="I98" s="492" t="s">
        <v>138</v>
      </c>
      <c r="J98" s="492" t="s">
        <v>139</v>
      </c>
      <c r="K98" s="488">
        <v>40893</v>
      </c>
      <c r="L98" s="487" t="s">
        <v>53</v>
      </c>
      <c r="M98" s="254">
        <v>28</v>
      </c>
      <c r="N98" s="214">
        <v>4764</v>
      </c>
      <c r="O98" s="217">
        <v>535</v>
      </c>
      <c r="P98" s="214">
        <f>152692.5+78009+19211+5878+4853.5+4764</f>
        <v>265408</v>
      </c>
      <c r="Q98" s="217">
        <f>12107+6230+2152+592+575+535</f>
        <v>22191</v>
      </c>
      <c r="R98" s="218">
        <v>40928</v>
      </c>
    </row>
    <row r="99" spans="1:18" ht="9" customHeight="1">
      <c r="A99" s="766"/>
      <c r="B99" s="766"/>
      <c r="C99" s="755"/>
      <c r="D99" s="766"/>
      <c r="E99" s="778"/>
      <c r="F99" s="756"/>
      <c r="G99" s="504" t="s">
        <v>137</v>
      </c>
      <c r="H99" s="492" t="s">
        <v>140</v>
      </c>
      <c r="I99" s="492" t="s">
        <v>138</v>
      </c>
      <c r="J99" s="492" t="s">
        <v>139</v>
      </c>
      <c r="K99" s="488">
        <v>40893</v>
      </c>
      <c r="L99" s="487" t="s">
        <v>53</v>
      </c>
      <c r="M99" s="254">
        <v>28</v>
      </c>
      <c r="N99" s="509">
        <v>314</v>
      </c>
      <c r="O99" s="217">
        <v>39</v>
      </c>
      <c r="P99" s="509">
        <f>152692.5+78009+19211+5878+4853.5+4764+314</f>
        <v>265722</v>
      </c>
      <c r="Q99" s="217">
        <f>12107+6230+2152+592+575+535+39</f>
        <v>22230</v>
      </c>
      <c r="R99" s="218">
        <v>40942</v>
      </c>
    </row>
    <row r="100" spans="1:18" ht="9" customHeight="1">
      <c r="A100" s="769" t="s">
        <v>223</v>
      </c>
      <c r="B100" s="759"/>
      <c r="C100" s="755"/>
      <c r="D100" s="771" t="s">
        <v>292</v>
      </c>
      <c r="E100" s="765" t="s">
        <v>55</v>
      </c>
      <c r="F100" s="756"/>
      <c r="G100" s="510" t="s">
        <v>49</v>
      </c>
      <c r="H100" s="510" t="s">
        <v>92</v>
      </c>
      <c r="I100" s="510" t="s">
        <v>94</v>
      </c>
      <c r="J100" s="493" t="s">
        <v>59</v>
      </c>
      <c r="K100" s="488">
        <v>40774</v>
      </c>
      <c r="L100" s="487" t="s">
        <v>12</v>
      </c>
      <c r="M100" s="254">
        <v>123</v>
      </c>
      <c r="N100" s="214">
        <v>2387</v>
      </c>
      <c r="O100" s="217">
        <v>399</v>
      </c>
      <c r="P100" s="214">
        <v>7030216</v>
      </c>
      <c r="Q100" s="307">
        <v>689129</v>
      </c>
      <c r="R100" s="218">
        <v>40949</v>
      </c>
    </row>
    <row r="101" spans="1:18" ht="9" customHeight="1">
      <c r="A101" s="769" t="s">
        <v>223</v>
      </c>
      <c r="B101" s="759"/>
      <c r="C101" s="759"/>
      <c r="D101" s="771" t="s">
        <v>292</v>
      </c>
      <c r="E101" s="765" t="s">
        <v>55</v>
      </c>
      <c r="F101" s="763"/>
      <c r="G101" s="511" t="s">
        <v>49</v>
      </c>
      <c r="H101" s="510" t="s">
        <v>92</v>
      </c>
      <c r="I101" s="510" t="s">
        <v>94</v>
      </c>
      <c r="J101" s="493" t="s">
        <v>59</v>
      </c>
      <c r="K101" s="488">
        <v>40774</v>
      </c>
      <c r="L101" s="487" t="s">
        <v>12</v>
      </c>
      <c r="M101" s="254">
        <v>123</v>
      </c>
      <c r="N101" s="214">
        <v>2279</v>
      </c>
      <c r="O101" s="217">
        <v>487</v>
      </c>
      <c r="P101" s="214">
        <v>7024385</v>
      </c>
      <c r="Q101" s="307">
        <v>688120</v>
      </c>
      <c r="R101" s="297">
        <v>40907</v>
      </c>
    </row>
    <row r="102" spans="1:18" ht="9" customHeight="1">
      <c r="A102" s="772" t="s">
        <v>223</v>
      </c>
      <c r="B102" s="784"/>
      <c r="C102" s="760"/>
      <c r="D102" s="773" t="s">
        <v>292</v>
      </c>
      <c r="E102" s="767" t="s">
        <v>55</v>
      </c>
      <c r="F102" s="761"/>
      <c r="G102" s="62" t="s">
        <v>49</v>
      </c>
      <c r="H102" s="62" t="s">
        <v>92</v>
      </c>
      <c r="I102" s="62" t="s">
        <v>94</v>
      </c>
      <c r="J102" s="65" t="s">
        <v>59</v>
      </c>
      <c r="K102" s="220">
        <v>40774</v>
      </c>
      <c r="L102" s="64" t="s">
        <v>12</v>
      </c>
      <c r="M102" s="258">
        <v>123</v>
      </c>
      <c r="N102" s="261">
        <v>1283</v>
      </c>
      <c r="O102" s="262">
        <v>205</v>
      </c>
      <c r="P102" s="261">
        <v>7032696</v>
      </c>
      <c r="Q102" s="264">
        <v>689523</v>
      </c>
      <c r="R102" s="297">
        <v>40977</v>
      </c>
    </row>
    <row r="103" spans="1:18" ht="9" customHeight="1">
      <c r="A103" s="769" t="s">
        <v>223</v>
      </c>
      <c r="B103" s="759"/>
      <c r="C103" s="755"/>
      <c r="D103" s="771" t="s">
        <v>292</v>
      </c>
      <c r="E103" s="765" t="s">
        <v>55</v>
      </c>
      <c r="F103" s="756"/>
      <c r="G103" s="511" t="s">
        <v>49</v>
      </c>
      <c r="H103" s="510" t="s">
        <v>92</v>
      </c>
      <c r="I103" s="510" t="s">
        <v>94</v>
      </c>
      <c r="J103" s="493" t="s">
        <v>59</v>
      </c>
      <c r="K103" s="488">
        <v>40774</v>
      </c>
      <c r="L103" s="487" t="s">
        <v>12</v>
      </c>
      <c r="M103" s="254">
        <v>123</v>
      </c>
      <c r="N103" s="214">
        <v>1197</v>
      </c>
      <c r="O103" s="217">
        <v>189</v>
      </c>
      <c r="P103" s="214">
        <v>7027231</v>
      </c>
      <c r="Q103" s="217">
        <v>688631</v>
      </c>
      <c r="R103" s="218">
        <v>40928</v>
      </c>
    </row>
    <row r="104" spans="1:18" ht="9" customHeight="1">
      <c r="A104" s="769" t="s">
        <v>223</v>
      </c>
      <c r="B104" s="759"/>
      <c r="C104" s="755"/>
      <c r="D104" s="771" t="s">
        <v>292</v>
      </c>
      <c r="E104" s="765" t="s">
        <v>55</v>
      </c>
      <c r="F104" s="756"/>
      <c r="G104" s="510" t="s">
        <v>49</v>
      </c>
      <c r="H104" s="510" t="s">
        <v>92</v>
      </c>
      <c r="I104" s="510" t="s">
        <v>94</v>
      </c>
      <c r="J104" s="493" t="s">
        <v>59</v>
      </c>
      <c r="K104" s="488">
        <v>40774</v>
      </c>
      <c r="L104" s="487" t="s">
        <v>12</v>
      </c>
      <c r="M104" s="254">
        <v>123</v>
      </c>
      <c r="N104" s="458">
        <v>1197</v>
      </c>
      <c r="O104" s="459">
        <v>189</v>
      </c>
      <c r="P104" s="458">
        <v>7031413</v>
      </c>
      <c r="Q104" s="459">
        <v>689318</v>
      </c>
      <c r="R104" s="297">
        <v>40963</v>
      </c>
    </row>
    <row r="105" spans="1:18" ht="9" customHeight="1">
      <c r="A105" s="769" t="s">
        <v>223</v>
      </c>
      <c r="B105" s="759"/>
      <c r="C105" s="755"/>
      <c r="D105" s="771" t="s">
        <v>292</v>
      </c>
      <c r="E105" s="765" t="s">
        <v>55</v>
      </c>
      <c r="F105" s="756"/>
      <c r="G105" s="511" t="s">
        <v>49</v>
      </c>
      <c r="H105" s="510" t="s">
        <v>92</v>
      </c>
      <c r="I105" s="510" t="s">
        <v>94</v>
      </c>
      <c r="J105" s="493" t="s">
        <v>59</v>
      </c>
      <c r="K105" s="488">
        <v>40774</v>
      </c>
      <c r="L105" s="487" t="s">
        <v>12</v>
      </c>
      <c r="M105" s="254">
        <v>123</v>
      </c>
      <c r="N105" s="497">
        <v>784</v>
      </c>
      <c r="O105" s="498">
        <v>153</v>
      </c>
      <c r="P105" s="497">
        <v>7025169</v>
      </c>
      <c r="Q105" s="298">
        <v>688273</v>
      </c>
      <c r="R105" s="218">
        <v>40914</v>
      </c>
    </row>
    <row r="106" spans="1:18" ht="9" customHeight="1">
      <c r="A106" s="769" t="s">
        <v>223</v>
      </c>
      <c r="B106" s="759"/>
      <c r="C106" s="755"/>
      <c r="D106" s="771" t="s">
        <v>292</v>
      </c>
      <c r="E106" s="765" t="s">
        <v>55</v>
      </c>
      <c r="F106" s="756"/>
      <c r="G106" s="511" t="s">
        <v>49</v>
      </c>
      <c r="H106" s="510" t="s">
        <v>92</v>
      </c>
      <c r="I106" s="510" t="s">
        <v>94</v>
      </c>
      <c r="J106" s="493" t="s">
        <v>59</v>
      </c>
      <c r="K106" s="488">
        <v>40774</v>
      </c>
      <c r="L106" s="487" t="s">
        <v>12</v>
      </c>
      <c r="M106" s="254">
        <v>123</v>
      </c>
      <c r="N106" s="214">
        <v>564</v>
      </c>
      <c r="O106" s="217">
        <v>117</v>
      </c>
      <c r="P106" s="214">
        <v>7026034</v>
      </c>
      <c r="Q106" s="307">
        <v>688442</v>
      </c>
      <c r="R106" s="218">
        <v>40921</v>
      </c>
    </row>
    <row r="107" spans="1:18" ht="9" customHeight="1">
      <c r="A107" s="769" t="s">
        <v>223</v>
      </c>
      <c r="B107" s="766"/>
      <c r="C107" s="755"/>
      <c r="D107" s="771" t="s">
        <v>292</v>
      </c>
      <c r="E107" s="765" t="s">
        <v>55</v>
      </c>
      <c r="F107" s="775"/>
      <c r="G107" s="501" t="s">
        <v>175</v>
      </c>
      <c r="H107" s="502" t="s">
        <v>187</v>
      </c>
      <c r="I107" s="502" t="s">
        <v>138</v>
      </c>
      <c r="J107" s="502" t="s">
        <v>178</v>
      </c>
      <c r="K107" s="488">
        <v>39682</v>
      </c>
      <c r="L107" s="487" t="s">
        <v>53</v>
      </c>
      <c r="M107" s="448">
        <v>60</v>
      </c>
      <c r="N107" s="214">
        <v>1802</v>
      </c>
      <c r="O107" s="217">
        <v>360</v>
      </c>
      <c r="P107" s="214">
        <f>111737+37434.5+11042+9412+0.5+6921+5282+0.5+1449+105+269+162+117+442+7259+305+4320+1922+1799+1799+135+1799+3598+1201+1802</f>
        <v>210312.5</v>
      </c>
      <c r="Q107" s="217">
        <f>13345+4357+1377+1694+1346+1248+225+18+64+40+37+108+2420+61+783+385+300+300+15+300+600+240+360</f>
        <v>29623</v>
      </c>
      <c r="R107" s="218">
        <v>40928</v>
      </c>
    </row>
    <row r="108" spans="1:18" ht="9" customHeight="1">
      <c r="A108" s="769" t="s">
        <v>223</v>
      </c>
      <c r="B108" s="764"/>
      <c r="C108" s="759"/>
      <c r="D108" s="771" t="s">
        <v>292</v>
      </c>
      <c r="E108" s="765" t="s">
        <v>55</v>
      </c>
      <c r="F108" s="776"/>
      <c r="G108" s="501" t="s">
        <v>175</v>
      </c>
      <c r="H108" s="502" t="s">
        <v>187</v>
      </c>
      <c r="I108" s="502" t="s">
        <v>138</v>
      </c>
      <c r="J108" s="502" t="s">
        <v>178</v>
      </c>
      <c r="K108" s="488">
        <v>39682</v>
      </c>
      <c r="L108" s="487" t="s">
        <v>53</v>
      </c>
      <c r="M108" s="448">
        <v>60</v>
      </c>
      <c r="N108" s="214">
        <v>1201</v>
      </c>
      <c r="O108" s="217">
        <v>240</v>
      </c>
      <c r="P108" s="214">
        <f>111737+37434.5+11042+9412+0.5+6921+5282+0.5+1449+105+269+162+117+442+7259+305+4320+1922+1799+1799+135+1799+3598+1201</f>
        <v>208510.5</v>
      </c>
      <c r="Q108" s="490">
        <f>13345+4357+1377+1694+1346+1248+225+18+64+40+37+108+2420+61+783+385+300+300+15+300+600+240</f>
        <v>29263</v>
      </c>
      <c r="R108" s="297">
        <v>40907</v>
      </c>
    </row>
    <row r="109" spans="1:18" ht="9" customHeight="1">
      <c r="A109" s="755"/>
      <c r="B109" s="755"/>
      <c r="C109" s="755"/>
      <c r="D109" s="755"/>
      <c r="E109" s="756"/>
      <c r="F109" s="757" t="s">
        <v>54</v>
      </c>
      <c r="G109" s="486" t="s">
        <v>77</v>
      </c>
      <c r="H109" s="487" t="s">
        <v>188</v>
      </c>
      <c r="I109" s="487"/>
      <c r="J109" s="487" t="s">
        <v>173</v>
      </c>
      <c r="K109" s="488">
        <v>40865</v>
      </c>
      <c r="L109" s="487" t="s">
        <v>52</v>
      </c>
      <c r="M109" s="255">
        <v>64</v>
      </c>
      <c r="N109" s="214">
        <v>3564</v>
      </c>
      <c r="O109" s="217">
        <v>712</v>
      </c>
      <c r="P109" s="214">
        <f>256046+137037.5+20115+5099+3542+3484.5+1302+1985+195+659+3564</f>
        <v>433029</v>
      </c>
      <c r="Q109" s="307">
        <f>25390+13650+2140+705+587+707+246+352+31+92+712</f>
        <v>44612</v>
      </c>
      <c r="R109" s="218">
        <v>40949</v>
      </c>
    </row>
    <row r="110" spans="1:18" ht="9" customHeight="1">
      <c r="A110" s="755"/>
      <c r="B110" s="755"/>
      <c r="C110" s="755"/>
      <c r="D110" s="755"/>
      <c r="E110" s="756"/>
      <c r="F110" s="757" t="s">
        <v>54</v>
      </c>
      <c r="G110" s="499" t="s">
        <v>77</v>
      </c>
      <c r="H110" s="487" t="s">
        <v>188</v>
      </c>
      <c r="I110" s="487"/>
      <c r="J110" s="487" t="s">
        <v>173</v>
      </c>
      <c r="K110" s="488">
        <v>40865</v>
      </c>
      <c r="L110" s="487" t="s">
        <v>52</v>
      </c>
      <c r="M110" s="255">
        <v>64</v>
      </c>
      <c r="N110" s="512">
        <v>1985</v>
      </c>
      <c r="O110" s="513">
        <v>352</v>
      </c>
      <c r="P110" s="512">
        <f>256046+137037.5+20115+5099+3542+3484.5+1302+1985</f>
        <v>428611</v>
      </c>
      <c r="Q110" s="307">
        <f>25390+13650+2140+705+587+707+246+352</f>
        <v>43777</v>
      </c>
      <c r="R110" s="218">
        <v>40914</v>
      </c>
    </row>
    <row r="111" spans="1:18" ht="9" customHeight="1">
      <c r="A111" s="759"/>
      <c r="B111" s="759"/>
      <c r="C111" s="759"/>
      <c r="D111" s="759"/>
      <c r="E111" s="758"/>
      <c r="F111" s="757" t="s">
        <v>54</v>
      </c>
      <c r="G111" s="499" t="s">
        <v>77</v>
      </c>
      <c r="H111" s="487" t="s">
        <v>188</v>
      </c>
      <c r="I111" s="487"/>
      <c r="J111" s="487" t="s">
        <v>173</v>
      </c>
      <c r="K111" s="488">
        <v>40865</v>
      </c>
      <c r="L111" s="487" t="s">
        <v>52</v>
      </c>
      <c r="M111" s="255">
        <v>64</v>
      </c>
      <c r="N111" s="512">
        <v>1302</v>
      </c>
      <c r="O111" s="513">
        <v>246</v>
      </c>
      <c r="P111" s="512">
        <f>256046+137037.5+20115+5099+3542+3484.5+1302</f>
        <v>426626</v>
      </c>
      <c r="Q111" s="217">
        <f>25390+13650+2140+705+587+707+246</f>
        <v>43425</v>
      </c>
      <c r="R111" s="297">
        <v>40907</v>
      </c>
    </row>
    <row r="112" spans="1:18" ht="9" customHeight="1">
      <c r="A112" s="755"/>
      <c r="B112" s="755"/>
      <c r="C112" s="755"/>
      <c r="D112" s="755"/>
      <c r="E112" s="756"/>
      <c r="F112" s="757" t="s">
        <v>54</v>
      </c>
      <c r="G112" s="499" t="s">
        <v>77</v>
      </c>
      <c r="H112" s="487" t="s">
        <v>188</v>
      </c>
      <c r="I112" s="487"/>
      <c r="J112" s="487" t="s">
        <v>173</v>
      </c>
      <c r="K112" s="488">
        <v>40865</v>
      </c>
      <c r="L112" s="487" t="s">
        <v>52</v>
      </c>
      <c r="M112" s="255">
        <v>64</v>
      </c>
      <c r="N112" s="512">
        <v>659</v>
      </c>
      <c r="O112" s="513">
        <v>92</v>
      </c>
      <c r="P112" s="512">
        <f>256046+137037.5+20115+5099+3542+3484.5+1302+1985+195+659</f>
        <v>429465</v>
      </c>
      <c r="Q112" s="217">
        <f>25390+13650+2140+705+587+707+246+352+31+92</f>
        <v>43900</v>
      </c>
      <c r="R112" s="218">
        <v>40928</v>
      </c>
    </row>
    <row r="113" spans="1:18" ht="9" customHeight="1">
      <c r="A113" s="755"/>
      <c r="B113" s="755"/>
      <c r="C113" s="755"/>
      <c r="D113" s="755"/>
      <c r="E113" s="756"/>
      <c r="F113" s="757" t="s">
        <v>54</v>
      </c>
      <c r="G113" s="499" t="s">
        <v>77</v>
      </c>
      <c r="H113" s="487" t="s">
        <v>188</v>
      </c>
      <c r="I113" s="487"/>
      <c r="J113" s="487" t="s">
        <v>173</v>
      </c>
      <c r="K113" s="488">
        <v>40865</v>
      </c>
      <c r="L113" s="487" t="s">
        <v>52</v>
      </c>
      <c r="M113" s="255">
        <v>64</v>
      </c>
      <c r="N113" s="514">
        <v>195</v>
      </c>
      <c r="O113" s="515">
        <v>31</v>
      </c>
      <c r="P113" s="514">
        <f>256046+137037.5+20115+5099+3542+3484.5+1302+1985+195</f>
        <v>428806</v>
      </c>
      <c r="Q113" s="217">
        <f>25390+13650+2140+705+587+707+246+352+31</f>
        <v>43808</v>
      </c>
      <c r="R113" s="218">
        <v>40921</v>
      </c>
    </row>
    <row r="114" spans="1:18" ht="9" customHeight="1">
      <c r="A114" s="759"/>
      <c r="B114" s="779">
        <v>3</v>
      </c>
      <c r="C114" s="759"/>
      <c r="D114" s="755"/>
      <c r="E114" s="758"/>
      <c r="F114" s="763"/>
      <c r="G114" s="495" t="s">
        <v>202</v>
      </c>
      <c r="H114" s="492" t="s">
        <v>210</v>
      </c>
      <c r="I114" s="496" t="s">
        <v>211</v>
      </c>
      <c r="J114" s="496" t="s">
        <v>202</v>
      </c>
      <c r="K114" s="488">
        <v>40837</v>
      </c>
      <c r="L114" s="487" t="s">
        <v>12</v>
      </c>
      <c r="M114" s="254">
        <v>130</v>
      </c>
      <c r="N114" s="214">
        <v>983</v>
      </c>
      <c r="O114" s="217">
        <v>141</v>
      </c>
      <c r="P114" s="214">
        <v>893705</v>
      </c>
      <c r="Q114" s="307">
        <v>90187</v>
      </c>
      <c r="R114" s="297">
        <v>40907</v>
      </c>
    </row>
    <row r="115" spans="1:18" ht="9" customHeight="1">
      <c r="A115" s="769" t="s">
        <v>223</v>
      </c>
      <c r="B115" s="779">
        <v>3</v>
      </c>
      <c r="C115" s="774">
        <v>2</v>
      </c>
      <c r="D115" s="755"/>
      <c r="E115" s="755"/>
      <c r="F115" s="756"/>
      <c r="G115" s="495" t="s">
        <v>386</v>
      </c>
      <c r="H115" s="492" t="s">
        <v>91</v>
      </c>
      <c r="I115" s="496" t="s">
        <v>94</v>
      </c>
      <c r="J115" s="496" t="s">
        <v>389</v>
      </c>
      <c r="K115" s="488">
        <v>40802</v>
      </c>
      <c r="L115" s="487" t="s">
        <v>12</v>
      </c>
      <c r="M115" s="254">
        <v>139</v>
      </c>
      <c r="N115" s="214">
        <v>1197</v>
      </c>
      <c r="O115" s="217">
        <v>189</v>
      </c>
      <c r="P115" s="214">
        <v>867262</v>
      </c>
      <c r="Q115" s="307">
        <v>93571</v>
      </c>
      <c r="R115" s="218">
        <v>40921</v>
      </c>
    </row>
    <row r="116" spans="1:18" ht="9" customHeight="1">
      <c r="A116" s="332"/>
      <c r="B116" s="332"/>
      <c r="C116" s="760"/>
      <c r="D116" s="332"/>
      <c r="E116" s="761"/>
      <c r="F116" s="768" t="s">
        <v>54</v>
      </c>
      <c r="G116" s="64" t="s">
        <v>745</v>
      </c>
      <c r="H116" s="61" t="s">
        <v>746</v>
      </c>
      <c r="I116" s="64"/>
      <c r="J116" s="64" t="s">
        <v>745</v>
      </c>
      <c r="K116" s="220">
        <v>40620</v>
      </c>
      <c r="L116" s="64" t="s">
        <v>52</v>
      </c>
      <c r="M116" s="278">
        <v>218</v>
      </c>
      <c r="N116" s="261">
        <v>3564</v>
      </c>
      <c r="O116" s="262">
        <v>713</v>
      </c>
      <c r="P116" s="261">
        <f>868723.5+629960.75+471670+272432+164061+97109.5+34971.5+29195+10591.5+4973+1214+25859.5+8228+5222+126+1321+161+8414+5940+170+7722+2970+242+249+16632+18847+2376+3564</f>
        <v>2692945.25</v>
      </c>
      <c r="Q116" s="277">
        <f>93361+70981+54177+33865+22657+14644+6278+5343+1965+923+199+3609+1160+736+18+257+23+1598+1188+23+1386+594+42+42+3326+3498+339+713</f>
        <v>322945</v>
      </c>
      <c r="R116" s="297">
        <v>40977</v>
      </c>
    </row>
    <row r="117" spans="1:18" ht="9" customHeight="1">
      <c r="A117" s="755"/>
      <c r="B117" s="755"/>
      <c r="C117" s="759"/>
      <c r="D117" s="755"/>
      <c r="E117" s="758"/>
      <c r="F117" s="758"/>
      <c r="G117" s="504" t="s">
        <v>251</v>
      </c>
      <c r="H117" s="487" t="s">
        <v>252</v>
      </c>
      <c r="I117" s="487" t="s">
        <v>248</v>
      </c>
      <c r="J117" s="487" t="s">
        <v>246</v>
      </c>
      <c r="K117" s="488">
        <v>40564</v>
      </c>
      <c r="L117" s="487" t="s">
        <v>13</v>
      </c>
      <c r="M117" s="505">
        <v>3</v>
      </c>
      <c r="N117" s="214">
        <v>594</v>
      </c>
      <c r="O117" s="217">
        <v>118</v>
      </c>
      <c r="P117" s="214">
        <v>13140.5</v>
      </c>
      <c r="Q117" s="217">
        <v>1009</v>
      </c>
      <c r="R117" s="297">
        <v>40907</v>
      </c>
    </row>
    <row r="118" spans="1:18" ht="9" customHeight="1">
      <c r="A118" s="759"/>
      <c r="B118" s="759"/>
      <c r="C118" s="759"/>
      <c r="D118" s="759"/>
      <c r="E118" s="780"/>
      <c r="F118" s="757" t="s">
        <v>54</v>
      </c>
      <c r="G118" s="506" t="s">
        <v>104</v>
      </c>
      <c r="H118" s="492" t="s">
        <v>105</v>
      </c>
      <c r="I118" s="487"/>
      <c r="J118" s="487" t="s">
        <v>104</v>
      </c>
      <c r="K118" s="503">
        <v>40872</v>
      </c>
      <c r="L118" s="487" t="s">
        <v>10</v>
      </c>
      <c r="M118" s="254">
        <v>277</v>
      </c>
      <c r="N118" s="458">
        <v>441941</v>
      </c>
      <c r="O118" s="459">
        <v>49345</v>
      </c>
      <c r="P118" s="458">
        <v>10697295</v>
      </c>
      <c r="Q118" s="459">
        <v>1139680</v>
      </c>
      <c r="R118" s="297">
        <v>40907</v>
      </c>
    </row>
    <row r="119" spans="1:18" ht="9" customHeight="1">
      <c r="A119" s="755"/>
      <c r="B119" s="755"/>
      <c r="C119" s="755"/>
      <c r="D119" s="755"/>
      <c r="E119" s="778"/>
      <c r="F119" s="757" t="s">
        <v>54</v>
      </c>
      <c r="G119" s="495" t="s">
        <v>104</v>
      </c>
      <c r="H119" s="492" t="s">
        <v>105</v>
      </c>
      <c r="I119" s="487"/>
      <c r="J119" s="487" t="s">
        <v>104</v>
      </c>
      <c r="K119" s="503">
        <v>40872</v>
      </c>
      <c r="L119" s="487" t="s">
        <v>10</v>
      </c>
      <c r="M119" s="254">
        <v>277</v>
      </c>
      <c r="N119" s="458">
        <f>129529+680</f>
        <v>130209</v>
      </c>
      <c r="O119" s="459">
        <f>15613+55</f>
        <v>15668</v>
      </c>
      <c r="P119" s="458">
        <f>10697295+129529+680</f>
        <v>10827504</v>
      </c>
      <c r="Q119" s="296">
        <f>1139680+15613+55</f>
        <v>1155348</v>
      </c>
      <c r="R119" s="218">
        <v>40914</v>
      </c>
    </row>
    <row r="120" spans="1:18" ht="9" customHeight="1">
      <c r="A120" s="755"/>
      <c r="B120" s="755"/>
      <c r="C120" s="755"/>
      <c r="D120" s="755"/>
      <c r="E120" s="778"/>
      <c r="F120" s="757" t="s">
        <v>54</v>
      </c>
      <c r="G120" s="495" t="s">
        <v>104</v>
      </c>
      <c r="H120" s="492" t="s">
        <v>105</v>
      </c>
      <c r="I120" s="487"/>
      <c r="J120" s="487" t="s">
        <v>104</v>
      </c>
      <c r="K120" s="503">
        <v>40872</v>
      </c>
      <c r="L120" s="487" t="s">
        <v>10</v>
      </c>
      <c r="M120" s="254">
        <v>277</v>
      </c>
      <c r="N120" s="458">
        <v>64482</v>
      </c>
      <c r="O120" s="459">
        <v>7909</v>
      </c>
      <c r="P120" s="458">
        <v>10891986</v>
      </c>
      <c r="Q120" s="459">
        <v>1163257</v>
      </c>
      <c r="R120" s="218">
        <v>40921</v>
      </c>
    </row>
    <row r="121" spans="1:18" ht="9" customHeight="1">
      <c r="A121" s="755"/>
      <c r="B121" s="755"/>
      <c r="C121" s="755"/>
      <c r="D121" s="755"/>
      <c r="E121" s="778"/>
      <c r="F121" s="757" t="s">
        <v>54</v>
      </c>
      <c r="G121" s="495" t="s">
        <v>104</v>
      </c>
      <c r="H121" s="492" t="s">
        <v>105</v>
      </c>
      <c r="I121" s="487"/>
      <c r="J121" s="487" t="s">
        <v>104</v>
      </c>
      <c r="K121" s="503">
        <v>40872</v>
      </c>
      <c r="L121" s="487" t="s">
        <v>10</v>
      </c>
      <c r="M121" s="254">
        <v>277</v>
      </c>
      <c r="N121" s="458">
        <v>39245</v>
      </c>
      <c r="O121" s="459">
        <v>5888</v>
      </c>
      <c r="P121" s="458">
        <v>10931231</v>
      </c>
      <c r="Q121" s="459">
        <v>1169145</v>
      </c>
      <c r="R121" s="218">
        <v>40928</v>
      </c>
    </row>
    <row r="122" spans="1:18" ht="9" customHeight="1">
      <c r="A122" s="755"/>
      <c r="B122" s="755"/>
      <c r="C122" s="755"/>
      <c r="D122" s="755"/>
      <c r="E122" s="778"/>
      <c r="F122" s="757" t="s">
        <v>54</v>
      </c>
      <c r="G122" s="496" t="s">
        <v>104</v>
      </c>
      <c r="H122" s="492" t="s">
        <v>105</v>
      </c>
      <c r="I122" s="487"/>
      <c r="J122" s="487" t="s">
        <v>104</v>
      </c>
      <c r="K122" s="503">
        <v>40872</v>
      </c>
      <c r="L122" s="487" t="s">
        <v>10</v>
      </c>
      <c r="M122" s="254">
        <v>277</v>
      </c>
      <c r="N122" s="458">
        <v>7140</v>
      </c>
      <c r="O122" s="459">
        <v>1666</v>
      </c>
      <c r="P122" s="458">
        <v>10945899</v>
      </c>
      <c r="Q122" s="459">
        <v>1172189</v>
      </c>
      <c r="R122" s="218">
        <v>40956</v>
      </c>
    </row>
    <row r="123" spans="1:18" ht="9" customHeight="1">
      <c r="A123" s="755"/>
      <c r="B123" s="755"/>
      <c r="C123" s="755"/>
      <c r="D123" s="755"/>
      <c r="E123" s="778"/>
      <c r="F123" s="757" t="s">
        <v>54</v>
      </c>
      <c r="G123" s="496" t="s">
        <v>104</v>
      </c>
      <c r="H123" s="492" t="s">
        <v>105</v>
      </c>
      <c r="I123" s="487"/>
      <c r="J123" s="487" t="s">
        <v>104</v>
      </c>
      <c r="K123" s="503">
        <v>40872</v>
      </c>
      <c r="L123" s="487" t="s">
        <v>10</v>
      </c>
      <c r="M123" s="254">
        <v>277</v>
      </c>
      <c r="N123" s="458">
        <v>3968</v>
      </c>
      <c r="O123" s="459">
        <v>738</v>
      </c>
      <c r="P123" s="458">
        <v>10938759</v>
      </c>
      <c r="Q123" s="296">
        <v>1170523</v>
      </c>
      <c r="R123" s="218">
        <v>40949</v>
      </c>
    </row>
    <row r="124" spans="1:18" ht="9" customHeight="1">
      <c r="A124" s="760"/>
      <c r="B124" s="760"/>
      <c r="C124" s="760"/>
      <c r="D124" s="760"/>
      <c r="E124" s="781"/>
      <c r="F124" s="768" t="s">
        <v>54</v>
      </c>
      <c r="G124" s="281" t="s">
        <v>104</v>
      </c>
      <c r="H124" s="258" t="s">
        <v>105</v>
      </c>
      <c r="I124" s="526"/>
      <c r="J124" s="526" t="s">
        <v>104</v>
      </c>
      <c r="K124" s="503">
        <v>40872</v>
      </c>
      <c r="L124" s="526" t="s">
        <v>10</v>
      </c>
      <c r="M124" s="254">
        <v>277</v>
      </c>
      <c r="N124" s="270">
        <v>2380</v>
      </c>
      <c r="O124" s="272">
        <v>605</v>
      </c>
      <c r="P124" s="270">
        <v>10950659</v>
      </c>
      <c r="Q124" s="272">
        <v>1173389</v>
      </c>
      <c r="R124" s="297">
        <v>40970</v>
      </c>
    </row>
    <row r="125" spans="1:18" ht="9" customHeight="1">
      <c r="A125" s="755"/>
      <c r="B125" s="755"/>
      <c r="C125" s="755"/>
      <c r="D125" s="755"/>
      <c r="E125" s="778"/>
      <c r="F125" s="757" t="s">
        <v>54</v>
      </c>
      <c r="G125" s="496" t="s">
        <v>104</v>
      </c>
      <c r="H125" s="492" t="s">
        <v>105</v>
      </c>
      <c r="I125" s="487"/>
      <c r="J125" s="487" t="s">
        <v>104</v>
      </c>
      <c r="K125" s="503">
        <v>40872</v>
      </c>
      <c r="L125" s="487" t="s">
        <v>10</v>
      </c>
      <c r="M125" s="254">
        <v>277</v>
      </c>
      <c r="N125" s="458">
        <v>2380</v>
      </c>
      <c r="O125" s="459">
        <v>595</v>
      </c>
      <c r="P125" s="458">
        <f>10945899+2380</f>
        <v>10948279</v>
      </c>
      <c r="Q125" s="459">
        <f>1172189+595</f>
        <v>1172784</v>
      </c>
      <c r="R125" s="297">
        <v>40963</v>
      </c>
    </row>
    <row r="126" spans="1:18" ht="9" customHeight="1">
      <c r="A126" s="760"/>
      <c r="B126" s="760"/>
      <c r="C126" s="760"/>
      <c r="D126" s="760"/>
      <c r="E126" s="781"/>
      <c r="F126" s="768" t="s">
        <v>54</v>
      </c>
      <c r="G126" s="68" t="s">
        <v>104</v>
      </c>
      <c r="H126" s="61" t="s">
        <v>105</v>
      </c>
      <c r="I126" s="64"/>
      <c r="J126" s="64" t="s">
        <v>104</v>
      </c>
      <c r="K126" s="221">
        <v>40872</v>
      </c>
      <c r="L126" s="64" t="s">
        <v>10</v>
      </c>
      <c r="M126" s="258">
        <v>277</v>
      </c>
      <c r="N126" s="270">
        <v>2380</v>
      </c>
      <c r="O126" s="272">
        <v>476</v>
      </c>
      <c r="P126" s="270">
        <v>10953039</v>
      </c>
      <c r="Q126" s="272">
        <v>1173865</v>
      </c>
      <c r="R126" s="297">
        <v>40977</v>
      </c>
    </row>
    <row r="127" spans="1:18" ht="9" customHeight="1">
      <c r="A127" s="755"/>
      <c r="B127" s="755"/>
      <c r="C127" s="755"/>
      <c r="D127" s="755"/>
      <c r="E127" s="778"/>
      <c r="F127" s="757" t="s">
        <v>54</v>
      </c>
      <c r="G127" s="495" t="s">
        <v>104</v>
      </c>
      <c r="H127" s="492" t="s">
        <v>105</v>
      </c>
      <c r="I127" s="487"/>
      <c r="J127" s="487" t="s">
        <v>104</v>
      </c>
      <c r="K127" s="503">
        <v>40872</v>
      </c>
      <c r="L127" s="487" t="s">
        <v>10</v>
      </c>
      <c r="M127" s="254">
        <v>277</v>
      </c>
      <c r="N127" s="458">
        <v>2354</v>
      </c>
      <c r="O127" s="459">
        <v>410</v>
      </c>
      <c r="P127" s="458">
        <v>10933585</v>
      </c>
      <c r="Q127" s="459">
        <v>1169555</v>
      </c>
      <c r="R127" s="218">
        <v>40935</v>
      </c>
    </row>
    <row r="128" spans="1:18" ht="9" customHeight="1">
      <c r="A128" s="755"/>
      <c r="B128" s="755"/>
      <c r="C128" s="755"/>
      <c r="D128" s="755"/>
      <c r="E128" s="778"/>
      <c r="F128" s="757" t="s">
        <v>54</v>
      </c>
      <c r="G128" s="495" t="s">
        <v>104</v>
      </c>
      <c r="H128" s="492" t="s">
        <v>105</v>
      </c>
      <c r="I128" s="487"/>
      <c r="J128" s="487" t="s">
        <v>104</v>
      </c>
      <c r="K128" s="503">
        <v>40872</v>
      </c>
      <c r="L128" s="487" t="s">
        <v>10</v>
      </c>
      <c r="M128" s="254">
        <v>277</v>
      </c>
      <c r="N128" s="458">
        <v>1206</v>
      </c>
      <c r="O128" s="459">
        <v>230</v>
      </c>
      <c r="P128" s="458">
        <v>10934791</v>
      </c>
      <c r="Q128" s="459">
        <v>1169785</v>
      </c>
      <c r="R128" s="218">
        <v>40942</v>
      </c>
    </row>
    <row r="129" spans="1:18" ht="9" customHeight="1">
      <c r="A129" s="755"/>
      <c r="B129" s="755"/>
      <c r="C129" s="774">
        <v>2</v>
      </c>
      <c r="D129" s="755"/>
      <c r="E129" s="755"/>
      <c r="F129" s="757" t="s">
        <v>54</v>
      </c>
      <c r="G129" s="491" t="s">
        <v>680</v>
      </c>
      <c r="H129" s="491" t="s">
        <v>686</v>
      </c>
      <c r="I129" s="491"/>
      <c r="J129" s="491" t="s">
        <v>680</v>
      </c>
      <c r="K129" s="488">
        <v>40669</v>
      </c>
      <c r="L129" s="487" t="s">
        <v>68</v>
      </c>
      <c r="M129" s="254">
        <v>31</v>
      </c>
      <c r="N129" s="458">
        <v>950.5</v>
      </c>
      <c r="O129" s="459">
        <v>190</v>
      </c>
      <c r="P129" s="458">
        <f>175019+105176.5+33821+39610.5+24959.5+21794.5+6227+4449+362+706+2230+1369.5+1342.5+950.5+240+2366+3801.5+950.5</f>
        <v>425375.5</v>
      </c>
      <c r="Q129" s="459">
        <f>19673+11998+4200+5352+3807+3790+1054+773+55+128+469+229+219+157+30+429+950+190</f>
        <v>53503</v>
      </c>
      <c r="R129" s="297">
        <v>40963</v>
      </c>
    </row>
    <row r="130" spans="1:18" ht="9" customHeight="1">
      <c r="A130" s="769" t="s">
        <v>223</v>
      </c>
      <c r="B130" s="755"/>
      <c r="C130" s="755"/>
      <c r="D130" s="755"/>
      <c r="E130" s="756"/>
      <c r="F130" s="756"/>
      <c r="G130" s="501" t="s">
        <v>344</v>
      </c>
      <c r="H130" s="492" t="s">
        <v>126</v>
      </c>
      <c r="I130" s="502" t="s">
        <v>89</v>
      </c>
      <c r="J130" s="502" t="s">
        <v>351</v>
      </c>
      <c r="K130" s="503">
        <v>40914</v>
      </c>
      <c r="L130" s="487" t="s">
        <v>68</v>
      </c>
      <c r="M130" s="516">
        <v>56</v>
      </c>
      <c r="N130" s="458">
        <v>212792</v>
      </c>
      <c r="O130" s="459">
        <v>19942</v>
      </c>
      <c r="P130" s="458">
        <f>212792</f>
        <v>212792</v>
      </c>
      <c r="Q130" s="296">
        <f>19942</f>
        <v>19942</v>
      </c>
      <c r="R130" s="218">
        <v>40914</v>
      </c>
    </row>
    <row r="131" spans="1:18" ht="9" customHeight="1">
      <c r="A131" s="769" t="s">
        <v>223</v>
      </c>
      <c r="B131" s="755"/>
      <c r="C131" s="755"/>
      <c r="D131" s="755"/>
      <c r="E131" s="756"/>
      <c r="F131" s="756"/>
      <c r="G131" s="501" t="s">
        <v>344</v>
      </c>
      <c r="H131" s="492" t="s">
        <v>126</v>
      </c>
      <c r="I131" s="502" t="s">
        <v>89</v>
      </c>
      <c r="J131" s="502" t="s">
        <v>351</v>
      </c>
      <c r="K131" s="503">
        <v>40914</v>
      </c>
      <c r="L131" s="487" t="s">
        <v>68</v>
      </c>
      <c r="M131" s="254">
        <v>56</v>
      </c>
      <c r="N131" s="458">
        <v>162247.5</v>
      </c>
      <c r="O131" s="459">
        <v>16768</v>
      </c>
      <c r="P131" s="458">
        <f>212792+162247.5</f>
        <v>375039.5</v>
      </c>
      <c r="Q131" s="459">
        <f>19942+16768</f>
        <v>36710</v>
      </c>
      <c r="R131" s="218">
        <v>40921</v>
      </c>
    </row>
    <row r="132" spans="1:18" ht="9" customHeight="1">
      <c r="A132" s="769" t="s">
        <v>223</v>
      </c>
      <c r="B132" s="766"/>
      <c r="C132" s="755"/>
      <c r="D132" s="766"/>
      <c r="E132" s="756"/>
      <c r="F132" s="756"/>
      <c r="G132" s="501" t="s">
        <v>336</v>
      </c>
      <c r="H132" s="502" t="s">
        <v>350</v>
      </c>
      <c r="I132" s="492" t="s">
        <v>138</v>
      </c>
      <c r="J132" s="502" t="s">
        <v>340</v>
      </c>
      <c r="K132" s="488">
        <v>39472</v>
      </c>
      <c r="L132" s="487" t="s">
        <v>53</v>
      </c>
      <c r="M132" s="448">
        <v>59</v>
      </c>
      <c r="N132" s="214">
        <v>1802</v>
      </c>
      <c r="O132" s="217">
        <v>360</v>
      </c>
      <c r="P132" s="214">
        <f>395290.5+262822+75939+23709.5+4083+1327+9321+1445+1267+2173+4575+201+1748+3343+728+28+948+1329+163+182+173+15521.5+171+40+110+75+183.5+127+124.5+1976+312+180+12+2398+1799+1799+1799+3598+1201+1802</f>
        <v>824023.5</v>
      </c>
      <c r="Q132" s="217">
        <f>47426+32442+9866+4010+887+225+2185+263+226+460+1077+33+367+887+230+4+139+355+32+35+32+3859+49+8+22+15+68+46+45+659+52+30+2+399+300+300+300+600+240+360</f>
        <v>108535</v>
      </c>
      <c r="R132" s="218">
        <v>40928</v>
      </c>
    </row>
    <row r="133" spans="1:18" ht="9" customHeight="1">
      <c r="A133" s="769" t="s">
        <v>223</v>
      </c>
      <c r="B133" s="766"/>
      <c r="C133" s="755"/>
      <c r="D133" s="766"/>
      <c r="E133" s="756"/>
      <c r="F133" s="756"/>
      <c r="G133" s="501" t="s">
        <v>336</v>
      </c>
      <c r="H133" s="502" t="s">
        <v>350</v>
      </c>
      <c r="I133" s="492" t="s">
        <v>138</v>
      </c>
      <c r="J133" s="502" t="s">
        <v>340</v>
      </c>
      <c r="K133" s="488">
        <v>39472</v>
      </c>
      <c r="L133" s="487" t="s">
        <v>53</v>
      </c>
      <c r="M133" s="256">
        <v>59</v>
      </c>
      <c r="N133" s="500">
        <v>1201</v>
      </c>
      <c r="O133" s="498">
        <v>240</v>
      </c>
      <c r="P133" s="500">
        <f>395290.5+262822+75939+23709.5+4083+1327+9321+1445+1267+2173+4575+201+1748+3343+728+28+948+1329+163+182+173+15521.5+171+40+110+75+183.5+127+124.5+1976+312+180+12+2398+1799+1799+1799+3598+1201</f>
        <v>822221.5</v>
      </c>
      <c r="Q133" s="298">
        <f>47426+32442+9866+4010+887+225+2185+263+226+460+1077+33+367+887+230+4+139+355+32+35+32+3859+49+8+22+15+68+46+45+659+52+30+2+399+300+300+300+600+240</f>
        <v>108175</v>
      </c>
      <c r="R133" s="218">
        <v>40914</v>
      </c>
    </row>
    <row r="134" spans="1:18" ht="9" customHeight="1">
      <c r="A134" s="755"/>
      <c r="B134" s="755"/>
      <c r="C134" s="755"/>
      <c r="D134" s="755"/>
      <c r="E134" s="756"/>
      <c r="F134" s="758"/>
      <c r="G134" s="494" t="s">
        <v>401</v>
      </c>
      <c r="H134" s="491" t="s">
        <v>404</v>
      </c>
      <c r="I134" s="491" t="s">
        <v>248</v>
      </c>
      <c r="J134" s="491" t="s">
        <v>402</v>
      </c>
      <c r="K134" s="488">
        <v>40746</v>
      </c>
      <c r="L134" s="487" t="s">
        <v>68</v>
      </c>
      <c r="M134" s="254">
        <v>5</v>
      </c>
      <c r="N134" s="458">
        <v>264</v>
      </c>
      <c r="O134" s="459">
        <v>44</v>
      </c>
      <c r="P134" s="458">
        <f>15287.5+10909.5+3453.5+1267.5+1495+5972+1476+196+990+2893+1323+722+1782+684+264</f>
        <v>48715</v>
      </c>
      <c r="Q134" s="459">
        <f>1370+1093+336+155+192+663+166+28+134+385+183+184+446+80+44</f>
        <v>5459</v>
      </c>
      <c r="R134" s="218">
        <v>40921</v>
      </c>
    </row>
    <row r="135" spans="1:18" ht="9" customHeight="1">
      <c r="A135" s="764"/>
      <c r="B135" s="764"/>
      <c r="C135" s="759"/>
      <c r="D135" s="764"/>
      <c r="E135" s="782"/>
      <c r="F135" s="757" t="s">
        <v>54</v>
      </c>
      <c r="G135" s="494" t="s">
        <v>107</v>
      </c>
      <c r="H135" s="491" t="s">
        <v>123</v>
      </c>
      <c r="I135" s="493"/>
      <c r="J135" s="491" t="s">
        <v>107</v>
      </c>
      <c r="K135" s="488">
        <v>40879</v>
      </c>
      <c r="L135" s="487" t="s">
        <v>68</v>
      </c>
      <c r="M135" s="254">
        <v>202</v>
      </c>
      <c r="N135" s="458">
        <v>299977</v>
      </c>
      <c r="O135" s="459">
        <v>39696</v>
      </c>
      <c r="P135" s="458">
        <f>1080241.5+1088121+871543+502064+299977</f>
        <v>3841946.5</v>
      </c>
      <c r="Q135" s="459">
        <f>121812+123965+100674+61096+39696</f>
        <v>447243</v>
      </c>
      <c r="R135" s="297">
        <v>40907</v>
      </c>
    </row>
    <row r="136" spans="1:18" ht="9" customHeight="1">
      <c r="A136" s="766"/>
      <c r="B136" s="766"/>
      <c r="C136" s="755"/>
      <c r="D136" s="766"/>
      <c r="E136" s="775"/>
      <c r="F136" s="757" t="s">
        <v>54</v>
      </c>
      <c r="G136" s="494" t="s">
        <v>107</v>
      </c>
      <c r="H136" s="491" t="s">
        <v>123</v>
      </c>
      <c r="I136" s="493"/>
      <c r="J136" s="491" t="s">
        <v>107</v>
      </c>
      <c r="K136" s="488">
        <v>40879</v>
      </c>
      <c r="L136" s="487" t="s">
        <v>68</v>
      </c>
      <c r="M136" s="254">
        <v>202</v>
      </c>
      <c r="N136" s="458">
        <v>131358.5</v>
      </c>
      <c r="O136" s="459">
        <v>19116</v>
      </c>
      <c r="P136" s="458">
        <f>1080241.5+1088121+871543+502064+300294.5+131358.5</f>
        <v>3973622.5</v>
      </c>
      <c r="Q136" s="296">
        <f>121812+123965+100674+61096+39726+19116</f>
        <v>466389</v>
      </c>
      <c r="R136" s="218">
        <v>40914</v>
      </c>
    </row>
    <row r="137" spans="1:18" ht="9" customHeight="1">
      <c r="A137" s="766"/>
      <c r="B137" s="766"/>
      <c r="C137" s="755"/>
      <c r="D137" s="766"/>
      <c r="E137" s="775"/>
      <c r="F137" s="757" t="s">
        <v>54</v>
      </c>
      <c r="G137" s="494" t="s">
        <v>107</v>
      </c>
      <c r="H137" s="491" t="s">
        <v>123</v>
      </c>
      <c r="I137" s="493"/>
      <c r="J137" s="491" t="s">
        <v>107</v>
      </c>
      <c r="K137" s="488">
        <v>40879</v>
      </c>
      <c r="L137" s="487" t="s">
        <v>68</v>
      </c>
      <c r="M137" s="254">
        <v>202</v>
      </c>
      <c r="N137" s="458">
        <v>96969.5</v>
      </c>
      <c r="O137" s="459">
        <v>14898</v>
      </c>
      <c r="P137" s="458">
        <f>1080241.5+1088121+871543+502064+300294.5+131358.5+96969.5</f>
        <v>4070592</v>
      </c>
      <c r="Q137" s="459">
        <f>121812+123965+100674+61096+39726+19116+14898</f>
        <v>481287</v>
      </c>
      <c r="R137" s="218">
        <v>40921</v>
      </c>
    </row>
    <row r="138" spans="1:18" ht="9" customHeight="1">
      <c r="A138" s="766"/>
      <c r="B138" s="766"/>
      <c r="C138" s="755"/>
      <c r="D138" s="766"/>
      <c r="E138" s="775"/>
      <c r="F138" s="757" t="s">
        <v>54</v>
      </c>
      <c r="G138" s="494" t="s">
        <v>107</v>
      </c>
      <c r="H138" s="491" t="s">
        <v>123</v>
      </c>
      <c r="I138" s="493"/>
      <c r="J138" s="491" t="s">
        <v>107</v>
      </c>
      <c r="K138" s="488">
        <v>40879</v>
      </c>
      <c r="L138" s="487" t="s">
        <v>68</v>
      </c>
      <c r="M138" s="254">
        <v>202</v>
      </c>
      <c r="N138" s="458">
        <v>68985</v>
      </c>
      <c r="O138" s="459">
        <v>10338</v>
      </c>
      <c r="P138" s="458">
        <f>1080241.5+1088121+871543+502064+300294.5+131358.5+96969.5+68985</f>
        <v>4139577</v>
      </c>
      <c r="Q138" s="459">
        <f>121812+123965+100674+61096+39726+19116+14898+10338</f>
        <v>491625</v>
      </c>
      <c r="R138" s="218">
        <v>40928</v>
      </c>
    </row>
    <row r="139" spans="1:18" ht="9" customHeight="1">
      <c r="A139" s="332"/>
      <c r="B139" s="332"/>
      <c r="C139" s="760"/>
      <c r="D139" s="332"/>
      <c r="E139" s="410"/>
      <c r="F139" s="768" t="s">
        <v>54</v>
      </c>
      <c r="G139" s="63" t="s">
        <v>107</v>
      </c>
      <c r="H139" s="63" t="s">
        <v>123</v>
      </c>
      <c r="I139" s="65"/>
      <c r="J139" s="63" t="s">
        <v>107</v>
      </c>
      <c r="K139" s="220">
        <v>40879</v>
      </c>
      <c r="L139" s="64" t="s">
        <v>68</v>
      </c>
      <c r="M139" s="258">
        <v>202</v>
      </c>
      <c r="N139" s="270">
        <v>21051.01</v>
      </c>
      <c r="O139" s="272">
        <v>5321</v>
      </c>
      <c r="P139" s="270">
        <f>1080241.5+1088121+871543+502064+300294.5+131358.5+96969.5+68985+9253.5+5204.5+1760.5+2732.5+950.5+21051.01</f>
        <v>4180529.51</v>
      </c>
      <c r="Q139" s="272">
        <f>121812+123965+100674+61096+39726+19116+14898+10338+1416+922+322+523+190+5321</f>
        <v>500319</v>
      </c>
      <c r="R139" s="297">
        <v>40977</v>
      </c>
    </row>
    <row r="140" spans="1:18" ht="9" customHeight="1">
      <c r="A140" s="766"/>
      <c r="B140" s="766"/>
      <c r="C140" s="755"/>
      <c r="D140" s="766"/>
      <c r="E140" s="775"/>
      <c r="F140" s="757" t="s">
        <v>54</v>
      </c>
      <c r="G140" s="494" t="s">
        <v>107</v>
      </c>
      <c r="H140" s="491" t="s">
        <v>123</v>
      </c>
      <c r="I140" s="493"/>
      <c r="J140" s="491" t="s">
        <v>107</v>
      </c>
      <c r="K140" s="488">
        <v>40879</v>
      </c>
      <c r="L140" s="487" t="s">
        <v>68</v>
      </c>
      <c r="M140" s="254">
        <v>202</v>
      </c>
      <c r="N140" s="458">
        <v>9253.5</v>
      </c>
      <c r="O140" s="459">
        <v>1416</v>
      </c>
      <c r="P140" s="458">
        <f>1080241.5+1088121+871543+502064+300294.5+131358.5+96969.5+68985+9253.5</f>
        <v>4148830.5</v>
      </c>
      <c r="Q140" s="459">
        <f>121812+123965+100674+61096+39726+19116+14898+10338+1416</f>
        <v>493041</v>
      </c>
      <c r="R140" s="218">
        <v>40935</v>
      </c>
    </row>
    <row r="141" spans="1:18" ht="9" customHeight="1">
      <c r="A141" s="766"/>
      <c r="B141" s="766"/>
      <c r="C141" s="755"/>
      <c r="D141" s="766"/>
      <c r="E141" s="775"/>
      <c r="F141" s="757" t="s">
        <v>54</v>
      </c>
      <c r="G141" s="494" t="s">
        <v>107</v>
      </c>
      <c r="H141" s="491" t="s">
        <v>123</v>
      </c>
      <c r="I141" s="493"/>
      <c r="J141" s="491" t="s">
        <v>107</v>
      </c>
      <c r="K141" s="488">
        <v>40879</v>
      </c>
      <c r="L141" s="487" t="s">
        <v>68</v>
      </c>
      <c r="M141" s="254">
        <v>202</v>
      </c>
      <c r="N141" s="458">
        <v>5204.5</v>
      </c>
      <c r="O141" s="459">
        <v>922</v>
      </c>
      <c r="P141" s="458">
        <f>1080241.5+1088121+871543+502064+300294.5+131358.5+96969.5+68985+9253.5+5204.5</f>
        <v>4154035</v>
      </c>
      <c r="Q141" s="459">
        <f>121812+123965+100674+61096+39726+19116+14898+10338+1416+922</f>
        <v>493963</v>
      </c>
      <c r="R141" s="218">
        <v>40942</v>
      </c>
    </row>
    <row r="142" spans="1:18" ht="9" customHeight="1">
      <c r="A142" s="766"/>
      <c r="B142" s="766"/>
      <c r="C142" s="755"/>
      <c r="D142" s="766"/>
      <c r="E142" s="775"/>
      <c r="F142" s="757" t="s">
        <v>54</v>
      </c>
      <c r="G142" s="491" t="s">
        <v>107</v>
      </c>
      <c r="H142" s="491" t="s">
        <v>123</v>
      </c>
      <c r="I142" s="493"/>
      <c r="J142" s="491" t="s">
        <v>107</v>
      </c>
      <c r="K142" s="488">
        <v>40879</v>
      </c>
      <c r="L142" s="487" t="s">
        <v>68</v>
      </c>
      <c r="M142" s="254">
        <v>202</v>
      </c>
      <c r="N142" s="458">
        <v>2732.5</v>
      </c>
      <c r="O142" s="459">
        <v>523</v>
      </c>
      <c r="P142" s="458">
        <f>1080241.5+1088121+871543+502064+300294.5+131358.5+96969.5+68985+9253.5+5204.5+1760.5+2732.5</f>
        <v>4158528</v>
      </c>
      <c r="Q142" s="459">
        <f>121812+123965+100674+61096+39726+19116+14898+10338+1416+922+322+523</f>
        <v>494808</v>
      </c>
      <c r="R142" s="297">
        <v>40963</v>
      </c>
    </row>
    <row r="143" spans="1:18" ht="9" customHeight="1">
      <c r="A143" s="766"/>
      <c r="B143" s="766"/>
      <c r="C143" s="755"/>
      <c r="D143" s="766"/>
      <c r="E143" s="775"/>
      <c r="F143" s="757" t="s">
        <v>54</v>
      </c>
      <c r="G143" s="491" t="s">
        <v>107</v>
      </c>
      <c r="H143" s="491" t="s">
        <v>123</v>
      </c>
      <c r="I143" s="493"/>
      <c r="J143" s="491" t="s">
        <v>107</v>
      </c>
      <c r="K143" s="488">
        <v>40879</v>
      </c>
      <c r="L143" s="487" t="s">
        <v>68</v>
      </c>
      <c r="M143" s="254">
        <v>202</v>
      </c>
      <c r="N143" s="458">
        <v>1760.5</v>
      </c>
      <c r="O143" s="459">
        <v>322</v>
      </c>
      <c r="P143" s="458">
        <f>1080241.5+1088121+871543+502064+300294.5+131358.5+96969.5+68985+9253.5+5204.5+1760.5</f>
        <v>4155795.5</v>
      </c>
      <c r="Q143" s="296">
        <f>121812+123965+100674+61096+39726+19116+14898+10338+1416+922+322</f>
        <v>494285</v>
      </c>
      <c r="R143" s="218">
        <v>40949</v>
      </c>
    </row>
    <row r="144" spans="1:18" ht="9" customHeight="1">
      <c r="A144" s="332"/>
      <c r="B144" s="332"/>
      <c r="C144" s="760"/>
      <c r="D144" s="332"/>
      <c r="E144" s="410"/>
      <c r="F144" s="768" t="s">
        <v>54</v>
      </c>
      <c r="G144" s="528" t="s">
        <v>107</v>
      </c>
      <c r="H144" s="528" t="s">
        <v>123</v>
      </c>
      <c r="I144" s="527"/>
      <c r="J144" s="528" t="s">
        <v>107</v>
      </c>
      <c r="K144" s="488">
        <v>40879</v>
      </c>
      <c r="L144" s="526" t="s">
        <v>68</v>
      </c>
      <c r="M144" s="254">
        <v>202</v>
      </c>
      <c r="N144" s="270">
        <v>950.5</v>
      </c>
      <c r="O144" s="272">
        <v>190</v>
      </c>
      <c r="P144" s="270">
        <f>1080241.5+1088121+871543+502064+300294.5+131358.5+96969.5+68985+9253.5+5204.5+1760.5+2732.5+950.5</f>
        <v>4159478.5</v>
      </c>
      <c r="Q144" s="272">
        <f>121812+123965+100674+61096+39726+19116+14898+10338+1416+922+322+523+190</f>
        <v>494998</v>
      </c>
      <c r="R144" s="297">
        <v>40970</v>
      </c>
    </row>
    <row r="145" spans="1:18" ht="9" customHeight="1">
      <c r="A145" s="755"/>
      <c r="B145" s="755"/>
      <c r="C145" s="755"/>
      <c r="D145" s="755"/>
      <c r="E145" s="756"/>
      <c r="F145" s="756"/>
      <c r="G145" s="494" t="s">
        <v>271</v>
      </c>
      <c r="H145" s="492" t="s">
        <v>290</v>
      </c>
      <c r="I145" s="493" t="s">
        <v>79</v>
      </c>
      <c r="J145" s="491" t="s">
        <v>287</v>
      </c>
      <c r="K145" s="488">
        <v>40823</v>
      </c>
      <c r="L145" s="487" t="s">
        <v>68</v>
      </c>
      <c r="M145" s="254">
        <v>10</v>
      </c>
      <c r="N145" s="458">
        <v>3784</v>
      </c>
      <c r="O145" s="459">
        <v>612</v>
      </c>
      <c r="P145" s="458">
        <f>31458.5+18316.5+9973.5+2181+7429+3551+2891+512+313+372+806+3784</f>
        <v>81587.5</v>
      </c>
      <c r="Q145" s="459">
        <f>2922+2132+1224+343+1097+635+770+85+39+50+137+612</f>
        <v>10046</v>
      </c>
      <c r="R145" s="218">
        <v>40921</v>
      </c>
    </row>
    <row r="146" spans="1:18" ht="9" customHeight="1">
      <c r="A146" s="755"/>
      <c r="B146" s="755"/>
      <c r="C146" s="755"/>
      <c r="D146" s="755"/>
      <c r="E146" s="756"/>
      <c r="F146" s="756"/>
      <c r="G146" s="494" t="s">
        <v>271</v>
      </c>
      <c r="H146" s="492" t="s">
        <v>290</v>
      </c>
      <c r="I146" s="493" t="s">
        <v>79</v>
      </c>
      <c r="J146" s="491" t="s">
        <v>287</v>
      </c>
      <c r="K146" s="488">
        <v>40823</v>
      </c>
      <c r="L146" s="487" t="s">
        <v>68</v>
      </c>
      <c r="M146" s="254">
        <v>10</v>
      </c>
      <c r="N146" s="458">
        <v>1099</v>
      </c>
      <c r="O146" s="459">
        <v>158</v>
      </c>
      <c r="P146" s="458">
        <f>31458.5+18316.5+9973.5+2181+7429+3551+2891+512+313+372+806+3784+1705</f>
        <v>83292.5</v>
      </c>
      <c r="Q146" s="459">
        <f>2922+2132+1224+343+1097+635+770+85+39+50+137+612+248</f>
        <v>10294</v>
      </c>
      <c r="R146" s="218">
        <v>40928</v>
      </c>
    </row>
    <row r="147" spans="1:18" ht="9" customHeight="1">
      <c r="A147" s="755"/>
      <c r="B147" s="755"/>
      <c r="C147" s="755"/>
      <c r="D147" s="755"/>
      <c r="E147" s="756"/>
      <c r="F147" s="756"/>
      <c r="G147" s="491" t="s">
        <v>271</v>
      </c>
      <c r="H147" s="492" t="s">
        <v>290</v>
      </c>
      <c r="I147" s="493" t="s">
        <v>79</v>
      </c>
      <c r="J147" s="491" t="s">
        <v>287</v>
      </c>
      <c r="K147" s="488">
        <v>40823</v>
      </c>
      <c r="L147" s="487" t="s">
        <v>68</v>
      </c>
      <c r="M147" s="254">
        <v>10</v>
      </c>
      <c r="N147" s="458">
        <v>1087.5</v>
      </c>
      <c r="O147" s="459">
        <v>153</v>
      </c>
      <c r="P147" s="458">
        <f>31458.5+18316.5+9973.5+2181+7429+3551+2891+512+313+372+806+3784+1705+1087.5</f>
        <v>84380</v>
      </c>
      <c r="Q147" s="296">
        <f>2922+2132+1224+343+1097+635+770+85+39+50+137+612+248+153</f>
        <v>10447</v>
      </c>
      <c r="R147" s="218">
        <v>40949</v>
      </c>
    </row>
    <row r="148" spans="1:18" ht="9" customHeight="1">
      <c r="A148" s="755"/>
      <c r="B148" s="755"/>
      <c r="C148" s="755"/>
      <c r="D148" s="755"/>
      <c r="E148" s="756"/>
      <c r="F148" s="756"/>
      <c r="G148" s="494" t="s">
        <v>271</v>
      </c>
      <c r="H148" s="492" t="s">
        <v>290</v>
      </c>
      <c r="I148" s="493" t="s">
        <v>79</v>
      </c>
      <c r="J148" s="491" t="s">
        <v>287</v>
      </c>
      <c r="K148" s="488">
        <v>40823</v>
      </c>
      <c r="L148" s="487" t="s">
        <v>68</v>
      </c>
      <c r="M148" s="254">
        <v>10</v>
      </c>
      <c r="N148" s="458">
        <v>806</v>
      </c>
      <c r="O148" s="459">
        <v>137</v>
      </c>
      <c r="P148" s="458">
        <f>31458.5+18316.5+9973.5+2181+7429+3551+2891+512+313+372+806</f>
        <v>77803.5</v>
      </c>
      <c r="Q148" s="296">
        <f>2922+2132+1224+343+1097+635+770+85+39+50+137</f>
        <v>9434</v>
      </c>
      <c r="R148" s="218">
        <v>40914</v>
      </c>
    </row>
    <row r="149" spans="1:18" ht="9" customHeight="1">
      <c r="A149" s="759"/>
      <c r="B149" s="759"/>
      <c r="C149" s="759"/>
      <c r="D149" s="759"/>
      <c r="E149" s="758"/>
      <c r="F149" s="758"/>
      <c r="G149" s="494" t="s">
        <v>271</v>
      </c>
      <c r="H149" s="492" t="s">
        <v>290</v>
      </c>
      <c r="I149" s="493" t="s">
        <v>79</v>
      </c>
      <c r="J149" s="491" t="s">
        <v>287</v>
      </c>
      <c r="K149" s="488">
        <v>40823</v>
      </c>
      <c r="L149" s="487" t="s">
        <v>68</v>
      </c>
      <c r="M149" s="254">
        <v>10</v>
      </c>
      <c r="N149" s="458">
        <v>372</v>
      </c>
      <c r="O149" s="459">
        <v>50</v>
      </c>
      <c r="P149" s="458">
        <f>31458.5+18316.5+9973.5+2181+7429+3551+2891+512+313+372</f>
        <v>76997.5</v>
      </c>
      <c r="Q149" s="459">
        <f>2922+2132+1224+343+1097+635+770+85+39+50</f>
        <v>9297</v>
      </c>
      <c r="R149" s="297">
        <v>40907</v>
      </c>
    </row>
    <row r="150" spans="1:18" ht="9" customHeight="1">
      <c r="A150" s="766"/>
      <c r="B150" s="779">
        <v>3</v>
      </c>
      <c r="C150" s="755"/>
      <c r="D150" s="771" t="s">
        <v>292</v>
      </c>
      <c r="E150" s="763"/>
      <c r="F150" s="758"/>
      <c r="G150" s="506" t="s">
        <v>57</v>
      </c>
      <c r="H150" s="492" t="s">
        <v>97</v>
      </c>
      <c r="I150" s="487" t="s">
        <v>95</v>
      </c>
      <c r="J150" s="487" t="s">
        <v>58</v>
      </c>
      <c r="K150" s="503">
        <v>40795</v>
      </c>
      <c r="L150" s="487" t="s">
        <v>10</v>
      </c>
      <c r="M150" s="257">
        <v>142</v>
      </c>
      <c r="N150" s="458">
        <v>3430</v>
      </c>
      <c r="O150" s="459">
        <v>385</v>
      </c>
      <c r="P150" s="458">
        <f>4013616+3430</f>
        <v>4017046</v>
      </c>
      <c r="Q150" s="296">
        <f>390462+385</f>
        <v>390847</v>
      </c>
      <c r="R150" s="218">
        <v>40914</v>
      </c>
    </row>
    <row r="151" spans="1:18" ht="9" customHeight="1">
      <c r="A151" s="764"/>
      <c r="B151" s="764"/>
      <c r="C151" s="759"/>
      <c r="D151" s="771" t="s">
        <v>292</v>
      </c>
      <c r="E151" s="763"/>
      <c r="F151" s="758"/>
      <c r="G151" s="506" t="s">
        <v>57</v>
      </c>
      <c r="H151" s="492" t="s">
        <v>97</v>
      </c>
      <c r="I151" s="487" t="s">
        <v>95</v>
      </c>
      <c r="J151" s="487" t="s">
        <v>58</v>
      </c>
      <c r="K151" s="503">
        <v>40795</v>
      </c>
      <c r="L151" s="487" t="s">
        <v>10</v>
      </c>
      <c r="M151" s="257">
        <v>142</v>
      </c>
      <c r="N151" s="458">
        <v>948</v>
      </c>
      <c r="O151" s="459">
        <v>133</v>
      </c>
      <c r="P151" s="458">
        <v>4013616</v>
      </c>
      <c r="Q151" s="459">
        <v>390462</v>
      </c>
      <c r="R151" s="297">
        <v>40907</v>
      </c>
    </row>
    <row r="152" spans="1:18" ht="9" customHeight="1">
      <c r="A152" s="766"/>
      <c r="B152" s="779">
        <v>3</v>
      </c>
      <c r="C152" s="755"/>
      <c r="D152" s="771" t="s">
        <v>292</v>
      </c>
      <c r="E152" s="763"/>
      <c r="F152" s="758"/>
      <c r="G152" s="506" t="s">
        <v>57</v>
      </c>
      <c r="H152" s="492" t="s">
        <v>97</v>
      </c>
      <c r="I152" s="487" t="s">
        <v>95</v>
      </c>
      <c r="J152" s="487" t="s">
        <v>58</v>
      </c>
      <c r="K152" s="503">
        <v>40795</v>
      </c>
      <c r="L152" s="487" t="s">
        <v>10</v>
      </c>
      <c r="M152" s="257">
        <v>142</v>
      </c>
      <c r="N152" s="458">
        <v>180</v>
      </c>
      <c r="O152" s="459">
        <v>30</v>
      </c>
      <c r="P152" s="458">
        <v>4017226</v>
      </c>
      <c r="Q152" s="459">
        <v>390877</v>
      </c>
      <c r="R152" s="218">
        <v>40921</v>
      </c>
    </row>
    <row r="153" spans="1:18" ht="9" customHeight="1">
      <c r="A153" s="759"/>
      <c r="B153" s="759"/>
      <c r="C153" s="759"/>
      <c r="D153" s="759"/>
      <c r="E153" s="758"/>
      <c r="F153" s="757" t="s">
        <v>54</v>
      </c>
      <c r="G153" s="494" t="s">
        <v>73</v>
      </c>
      <c r="H153" s="491" t="s">
        <v>87</v>
      </c>
      <c r="I153" s="491"/>
      <c r="J153" s="491" t="s">
        <v>73</v>
      </c>
      <c r="K153" s="488">
        <v>40858</v>
      </c>
      <c r="L153" s="487" t="s">
        <v>68</v>
      </c>
      <c r="M153" s="254">
        <v>32</v>
      </c>
      <c r="N153" s="458">
        <v>5519</v>
      </c>
      <c r="O153" s="459">
        <v>782</v>
      </c>
      <c r="P153" s="458">
        <f>119417+74006.5+30939.5+15734+17682+7740+3814.5+5519</f>
        <v>274852.5</v>
      </c>
      <c r="Q153" s="459">
        <f>12383+8559+4204+1986+2778+1301+707+782</f>
        <v>32700</v>
      </c>
      <c r="R153" s="297">
        <v>40907</v>
      </c>
    </row>
    <row r="154" spans="1:18" ht="9" customHeight="1">
      <c r="A154" s="755"/>
      <c r="B154" s="755"/>
      <c r="C154" s="755"/>
      <c r="D154" s="755"/>
      <c r="E154" s="756"/>
      <c r="F154" s="757" t="s">
        <v>54</v>
      </c>
      <c r="G154" s="494" t="s">
        <v>73</v>
      </c>
      <c r="H154" s="491" t="s">
        <v>87</v>
      </c>
      <c r="I154" s="491"/>
      <c r="J154" s="491" t="s">
        <v>73</v>
      </c>
      <c r="K154" s="488">
        <v>40858</v>
      </c>
      <c r="L154" s="487" t="s">
        <v>68</v>
      </c>
      <c r="M154" s="254">
        <v>32</v>
      </c>
      <c r="N154" s="458">
        <v>1782</v>
      </c>
      <c r="O154" s="459">
        <v>325</v>
      </c>
      <c r="P154" s="458">
        <f>119417+74006.5+30939.5+15734+17682+7740+3814.5+5519+937+732+479+1782</f>
        <v>278782.5</v>
      </c>
      <c r="Q154" s="459">
        <f>12383+8559+4204+1986+2778+1301+707+782+165+115+82+325</f>
        <v>33387</v>
      </c>
      <c r="R154" s="218">
        <v>40935</v>
      </c>
    </row>
    <row r="155" spans="1:18" ht="9" customHeight="1">
      <c r="A155" s="755"/>
      <c r="B155" s="755"/>
      <c r="C155" s="755"/>
      <c r="D155" s="755"/>
      <c r="E155" s="756"/>
      <c r="F155" s="757" t="s">
        <v>54</v>
      </c>
      <c r="G155" s="494" t="s">
        <v>73</v>
      </c>
      <c r="H155" s="491" t="s">
        <v>87</v>
      </c>
      <c r="I155" s="491"/>
      <c r="J155" s="491" t="s">
        <v>73</v>
      </c>
      <c r="K155" s="488">
        <v>40858</v>
      </c>
      <c r="L155" s="487" t="s">
        <v>68</v>
      </c>
      <c r="M155" s="254">
        <v>32</v>
      </c>
      <c r="N155" s="458">
        <v>1188</v>
      </c>
      <c r="O155" s="459">
        <v>238</v>
      </c>
      <c r="P155" s="458">
        <f>119417+74006.5+30939.5+15734+17682+7740+3814.5+5519+937+732+479+1782+1188</f>
        <v>279970.5</v>
      </c>
      <c r="Q155" s="459">
        <f>12383+8559+4204+1986+2778+1301+707+782+165+115+82+325+238</f>
        <v>33625</v>
      </c>
      <c r="R155" s="218">
        <v>40942</v>
      </c>
    </row>
    <row r="156" spans="1:18" ht="9" customHeight="1">
      <c r="A156" s="755"/>
      <c r="B156" s="755"/>
      <c r="C156" s="755"/>
      <c r="D156" s="755"/>
      <c r="E156" s="756"/>
      <c r="F156" s="757" t="s">
        <v>54</v>
      </c>
      <c r="G156" s="494" t="s">
        <v>73</v>
      </c>
      <c r="H156" s="491" t="s">
        <v>87</v>
      </c>
      <c r="I156" s="491"/>
      <c r="J156" s="491" t="s">
        <v>73</v>
      </c>
      <c r="K156" s="488">
        <v>40858</v>
      </c>
      <c r="L156" s="487" t="s">
        <v>68</v>
      </c>
      <c r="M156" s="254">
        <v>32</v>
      </c>
      <c r="N156" s="458">
        <v>937</v>
      </c>
      <c r="O156" s="459">
        <v>165</v>
      </c>
      <c r="P156" s="458">
        <f>119417+74006.5+30939.5+15734+17682+7740+3814.5+5519+937</f>
        <v>275789.5</v>
      </c>
      <c r="Q156" s="296">
        <f>12383+8559+4204+1986+2778+1301+707+782+165</f>
        <v>32865</v>
      </c>
      <c r="R156" s="218">
        <v>40914</v>
      </c>
    </row>
    <row r="157" spans="1:18" ht="9" customHeight="1">
      <c r="A157" s="755"/>
      <c r="B157" s="755"/>
      <c r="C157" s="755"/>
      <c r="D157" s="755"/>
      <c r="E157" s="756"/>
      <c r="F157" s="757" t="s">
        <v>54</v>
      </c>
      <c r="G157" s="491" t="s">
        <v>73</v>
      </c>
      <c r="H157" s="491" t="s">
        <v>87</v>
      </c>
      <c r="I157" s="491"/>
      <c r="J157" s="491" t="s">
        <v>73</v>
      </c>
      <c r="K157" s="488">
        <v>40858</v>
      </c>
      <c r="L157" s="487" t="s">
        <v>68</v>
      </c>
      <c r="M157" s="254">
        <v>32</v>
      </c>
      <c r="N157" s="458">
        <v>745</v>
      </c>
      <c r="O157" s="459">
        <v>132</v>
      </c>
      <c r="P157" s="458">
        <f>119417+74006.5+30939.5+15734+17682+7740+3814.5+5519+937+732+479+1782+1188+713+96+745</f>
        <v>281524.5</v>
      </c>
      <c r="Q157" s="459">
        <f>12383+8559+4204+1986+2778+1301+707+782+165+115+82+325+238+143+32+132</f>
        <v>33932</v>
      </c>
      <c r="R157" s="297">
        <v>40963</v>
      </c>
    </row>
    <row r="158" spans="1:18" ht="9" customHeight="1">
      <c r="A158" s="755"/>
      <c r="B158" s="755"/>
      <c r="C158" s="755"/>
      <c r="D158" s="755"/>
      <c r="E158" s="756"/>
      <c r="F158" s="757" t="s">
        <v>54</v>
      </c>
      <c r="G158" s="494" t="s">
        <v>73</v>
      </c>
      <c r="H158" s="491" t="s">
        <v>87</v>
      </c>
      <c r="I158" s="491"/>
      <c r="J158" s="491" t="s">
        <v>73</v>
      </c>
      <c r="K158" s="488">
        <v>40858</v>
      </c>
      <c r="L158" s="487" t="s">
        <v>68</v>
      </c>
      <c r="M158" s="254">
        <v>32</v>
      </c>
      <c r="N158" s="458">
        <v>732</v>
      </c>
      <c r="O158" s="459">
        <v>115</v>
      </c>
      <c r="P158" s="458">
        <f>119417+74006.5+30939.5+15734+17682+7740+3814.5+5519+937+732</f>
        <v>276521.5</v>
      </c>
      <c r="Q158" s="459">
        <f>12383+8559+4204+1986+2778+1301+707+782+165+115</f>
        <v>32980</v>
      </c>
      <c r="R158" s="218">
        <v>40921</v>
      </c>
    </row>
    <row r="159" spans="1:18" ht="9" customHeight="1">
      <c r="A159" s="755"/>
      <c r="B159" s="755"/>
      <c r="C159" s="755"/>
      <c r="D159" s="755"/>
      <c r="E159" s="756"/>
      <c r="F159" s="757" t="s">
        <v>54</v>
      </c>
      <c r="G159" s="491" t="s">
        <v>73</v>
      </c>
      <c r="H159" s="491" t="s">
        <v>87</v>
      </c>
      <c r="I159" s="491"/>
      <c r="J159" s="491" t="s">
        <v>73</v>
      </c>
      <c r="K159" s="488">
        <v>40858</v>
      </c>
      <c r="L159" s="487" t="s">
        <v>68</v>
      </c>
      <c r="M159" s="254">
        <v>32</v>
      </c>
      <c r="N159" s="458">
        <v>713</v>
      </c>
      <c r="O159" s="459">
        <v>143</v>
      </c>
      <c r="P159" s="458">
        <f>119417+74006.5+30939.5+15734+17682+7740+3814.5+5519+937+732+479+1782+1188+713</f>
        <v>280683.5</v>
      </c>
      <c r="Q159" s="296">
        <f>12383+8559+4204+1986+2778+1301+707+782+165+115+82+325+238+143</f>
        <v>33768</v>
      </c>
      <c r="R159" s="218">
        <v>40949</v>
      </c>
    </row>
    <row r="160" spans="1:18" ht="9" customHeight="1">
      <c r="A160" s="755"/>
      <c r="B160" s="755"/>
      <c r="C160" s="755"/>
      <c r="D160" s="755"/>
      <c r="E160" s="756"/>
      <c r="F160" s="757" t="s">
        <v>54</v>
      </c>
      <c r="G160" s="494" t="s">
        <v>73</v>
      </c>
      <c r="H160" s="491" t="s">
        <v>87</v>
      </c>
      <c r="I160" s="491"/>
      <c r="J160" s="491" t="s">
        <v>73</v>
      </c>
      <c r="K160" s="488">
        <v>40858</v>
      </c>
      <c r="L160" s="487" t="s">
        <v>68</v>
      </c>
      <c r="M160" s="254">
        <v>32</v>
      </c>
      <c r="N160" s="458">
        <v>479</v>
      </c>
      <c r="O160" s="459">
        <v>82</v>
      </c>
      <c r="P160" s="458">
        <f>119417+74006.5+30939.5+15734+17682+7740+3814.5+5519+937+732+479</f>
        <v>277000.5</v>
      </c>
      <c r="Q160" s="459">
        <f>12383+8559+4204+1986+2778+1301+707+782+165+115+82</f>
        <v>33062</v>
      </c>
      <c r="R160" s="218">
        <v>40928</v>
      </c>
    </row>
    <row r="161" spans="1:18" ht="9" customHeight="1">
      <c r="A161" s="755"/>
      <c r="B161" s="755"/>
      <c r="C161" s="755"/>
      <c r="D161" s="755"/>
      <c r="E161" s="756"/>
      <c r="F161" s="757" t="s">
        <v>54</v>
      </c>
      <c r="G161" s="491" t="s">
        <v>73</v>
      </c>
      <c r="H161" s="491" t="s">
        <v>87</v>
      </c>
      <c r="I161" s="491"/>
      <c r="J161" s="491" t="s">
        <v>73</v>
      </c>
      <c r="K161" s="488">
        <v>40858</v>
      </c>
      <c r="L161" s="487" t="s">
        <v>68</v>
      </c>
      <c r="M161" s="254">
        <v>32</v>
      </c>
      <c r="N161" s="458">
        <v>96</v>
      </c>
      <c r="O161" s="459">
        <v>32</v>
      </c>
      <c r="P161" s="458">
        <f>119417+74006.5+30939.5+15734+17682+7740+3814.5+5519+937+732+479+1782+1188+713+96</f>
        <v>280779.5</v>
      </c>
      <c r="Q161" s="459">
        <f>12383+8559+4204+1986+2778+1301+707+782+165+115+82+325+238+143+32</f>
        <v>33800</v>
      </c>
      <c r="R161" s="218">
        <v>40956</v>
      </c>
    </row>
    <row r="162" spans="1:18" ht="9" customHeight="1">
      <c r="A162" s="769" t="s">
        <v>223</v>
      </c>
      <c r="B162" s="755"/>
      <c r="C162" s="766"/>
      <c r="D162" s="771" t="s">
        <v>292</v>
      </c>
      <c r="E162" s="765" t="s">
        <v>55</v>
      </c>
      <c r="F162" s="758"/>
      <c r="G162" s="494" t="s">
        <v>441</v>
      </c>
      <c r="H162" s="491" t="s">
        <v>458</v>
      </c>
      <c r="I162" s="491" t="s">
        <v>89</v>
      </c>
      <c r="J162" s="491" t="s">
        <v>467</v>
      </c>
      <c r="K162" s="488">
        <v>40697</v>
      </c>
      <c r="L162" s="487" t="s">
        <v>68</v>
      </c>
      <c r="M162" s="254">
        <v>71</v>
      </c>
      <c r="N162" s="458">
        <v>7128</v>
      </c>
      <c r="O162" s="459">
        <v>1783</v>
      </c>
      <c r="P162" s="458">
        <f>204018.5+92011.75+38624.5+27400+22817+12697.5+8373+8455.5+6781+2290+2830+1048+3163+3005+2166+6840+1490+14+6415.5+3721.5+7267.5+3007+701.5+608.5+3931+316+1244+768+1787+1197+7128</f>
        <v>482117.25</v>
      </c>
      <c r="Q162" s="459">
        <f>20915+10991+4900+3855+3433+1986+1329+1415+1032+399+409+237+591+657+312+1653+293+7+1605+687+1458+678+106+95+900+62+202+109+514+390+1783</f>
        <v>63003</v>
      </c>
      <c r="R162" s="218">
        <v>40928</v>
      </c>
    </row>
    <row r="163" spans="1:18" ht="9" customHeight="1">
      <c r="A163" s="769" t="s">
        <v>223</v>
      </c>
      <c r="B163" s="755"/>
      <c r="C163" s="766"/>
      <c r="D163" s="771" t="s">
        <v>292</v>
      </c>
      <c r="E163" s="765" t="s">
        <v>55</v>
      </c>
      <c r="F163" s="758"/>
      <c r="G163" s="494" t="s">
        <v>441</v>
      </c>
      <c r="H163" s="491" t="s">
        <v>458</v>
      </c>
      <c r="I163" s="491" t="s">
        <v>89</v>
      </c>
      <c r="J163" s="491" t="s">
        <v>467</v>
      </c>
      <c r="K163" s="488">
        <v>40697</v>
      </c>
      <c r="L163" s="487" t="s">
        <v>68</v>
      </c>
      <c r="M163" s="254">
        <v>71</v>
      </c>
      <c r="N163" s="458">
        <v>3008</v>
      </c>
      <c r="O163" s="459">
        <v>720</v>
      </c>
      <c r="P163" s="458">
        <f>204018.5+92011.75+38624.5+27400+22817+12697.5+8373+8455.5+6781+2290+2830+1048+3163+3005+2166+6840+1490+14+6415.5+3721.5+7267.5+3007+701.5+608.5+3931+316+1244+768+1787+1197+7128+1188+3008</f>
        <v>486313.25</v>
      </c>
      <c r="Q163" s="459">
        <f>20915+10991+4900+3855+3433+1986+1329+1415+1032+399+409+237+591+657+312+1653+293+7+1605+687+1458+678+106+95+900+62+202+109+514+390+1783+238+720</f>
        <v>63961</v>
      </c>
      <c r="R163" s="218">
        <v>40942</v>
      </c>
    </row>
    <row r="164" spans="1:18" ht="9" customHeight="1">
      <c r="A164" s="769" t="s">
        <v>223</v>
      </c>
      <c r="B164" s="755"/>
      <c r="C164" s="766"/>
      <c r="D164" s="771" t="s">
        <v>292</v>
      </c>
      <c r="E164" s="765" t="s">
        <v>55</v>
      </c>
      <c r="F164" s="758"/>
      <c r="G164" s="491" t="s">
        <v>441</v>
      </c>
      <c r="H164" s="491" t="s">
        <v>458</v>
      </c>
      <c r="I164" s="491" t="s">
        <v>89</v>
      </c>
      <c r="J164" s="491" t="s">
        <v>467</v>
      </c>
      <c r="K164" s="488">
        <v>40697</v>
      </c>
      <c r="L164" s="487" t="s">
        <v>68</v>
      </c>
      <c r="M164" s="254">
        <v>71</v>
      </c>
      <c r="N164" s="458">
        <v>1425.5</v>
      </c>
      <c r="O164" s="459">
        <v>285</v>
      </c>
      <c r="P164" s="458">
        <f>204018.5+92011.75+38624.5+27400+22817+12697.5+8373+8455.5+6781+2290+2830+1048+3163+3005+2166+6840+1490+14+6415.5+3721.5+7267.5+3007+701.5+608.5+3931+316+1244+768+1787+1197+7128+1188+3008+2446+1425.5+1425.5</f>
        <v>491610.25</v>
      </c>
      <c r="Q164" s="459">
        <f>20915+10991+4900+3855+3433+1986+1329+1415+1032+399+409+237+591+657+312+1653+293+7+1605+687+1458+678+106+95+900+62+202+109+514+390+1783+238+720+1164+285+285</f>
        <v>65695</v>
      </c>
      <c r="R164" s="297">
        <v>40963</v>
      </c>
    </row>
    <row r="165" spans="1:18" ht="9" customHeight="1">
      <c r="A165" s="769" t="s">
        <v>223</v>
      </c>
      <c r="B165" s="755"/>
      <c r="C165" s="766"/>
      <c r="D165" s="771" t="s">
        <v>292</v>
      </c>
      <c r="E165" s="765" t="s">
        <v>55</v>
      </c>
      <c r="F165" s="758"/>
      <c r="G165" s="494" t="s">
        <v>441</v>
      </c>
      <c r="H165" s="491" t="s">
        <v>458</v>
      </c>
      <c r="I165" s="491" t="s">
        <v>89</v>
      </c>
      <c r="J165" s="491" t="s">
        <v>467</v>
      </c>
      <c r="K165" s="488">
        <v>40697</v>
      </c>
      <c r="L165" s="487" t="s">
        <v>68</v>
      </c>
      <c r="M165" s="254">
        <v>71</v>
      </c>
      <c r="N165" s="458">
        <v>1188</v>
      </c>
      <c r="O165" s="459">
        <v>238</v>
      </c>
      <c r="P165" s="458">
        <f>204018.5+92011.75+38624.5+27400+22817+12697.5+8373+8455.5+6781+2290+2830+1048+3163+3005+2166+6840+1490+14+6415.5+3721.5+7267.5+3007+701.5+608.5+3931+316+1244+768+1787+1197+7128+1188</f>
        <v>483305.25</v>
      </c>
      <c r="Q165" s="459">
        <f>20915+10991+4900+3855+3433+1986+1329+1415+1032+399+409+237+591+657+312+1653+293+7+1605+687+1458+678+106+95+900+62+202+109+514+390+1783+238</f>
        <v>63241</v>
      </c>
      <c r="R165" s="218">
        <v>40935</v>
      </c>
    </row>
    <row r="166" spans="1:18" ht="9" customHeight="1">
      <c r="A166" s="772" t="s">
        <v>223</v>
      </c>
      <c r="B166" s="760"/>
      <c r="C166" s="332"/>
      <c r="D166" s="773" t="s">
        <v>292</v>
      </c>
      <c r="E166" s="767" t="s">
        <v>55</v>
      </c>
      <c r="F166" s="762"/>
      <c r="G166" s="528" t="s">
        <v>441</v>
      </c>
      <c r="H166" s="528" t="s">
        <v>458</v>
      </c>
      <c r="I166" s="528" t="s">
        <v>89</v>
      </c>
      <c r="J166" s="528" t="s">
        <v>467</v>
      </c>
      <c r="K166" s="488">
        <v>40697</v>
      </c>
      <c r="L166" s="526" t="s">
        <v>68</v>
      </c>
      <c r="M166" s="254">
        <v>71</v>
      </c>
      <c r="N166" s="270">
        <v>1030.5</v>
      </c>
      <c r="O166" s="272">
        <v>199</v>
      </c>
      <c r="P166" s="270">
        <f>204018.5+92011.75+38624.5+27400+22817+12697.5+8373+8455.5+6781+2290+2830+1048+3163+3005+2166+6840+1490+14+6415.5+3721.5+7267.5+3007+701.5+608.5+3931+316+1244+768+1787+1197+7128+1188+3008+2446+1425.5+1425.5+1030.5</f>
        <v>492640.75</v>
      </c>
      <c r="Q166" s="272">
        <f>20915+10991+4900+3855+3433+1986+1329+1415+1032+399+409+237+591+657+312+1653+293+7+1605+687+1458+678+106+95+900+62+202+109+514+390+1783+238+720+1164+285+285+199</f>
        <v>65894</v>
      </c>
      <c r="R166" s="297">
        <v>40970</v>
      </c>
    </row>
    <row r="167" spans="1:18" ht="9" customHeight="1">
      <c r="A167" s="769" t="s">
        <v>223</v>
      </c>
      <c r="B167" s="755"/>
      <c r="C167" s="766"/>
      <c r="D167" s="771" t="s">
        <v>292</v>
      </c>
      <c r="E167" s="765" t="s">
        <v>55</v>
      </c>
      <c r="F167" s="758"/>
      <c r="G167" s="494" t="s">
        <v>446</v>
      </c>
      <c r="H167" s="491" t="s">
        <v>450</v>
      </c>
      <c r="I167" s="491"/>
      <c r="J167" s="491" t="s">
        <v>454</v>
      </c>
      <c r="K167" s="488">
        <v>39878</v>
      </c>
      <c r="L167" s="487" t="s">
        <v>68</v>
      </c>
      <c r="M167" s="254">
        <v>39</v>
      </c>
      <c r="N167" s="458">
        <v>2852</v>
      </c>
      <c r="O167" s="459">
        <v>713</v>
      </c>
      <c r="P167" s="458">
        <f>143992.5+82756.5+42509+41229+27290.5+16668+27602+17675+4710+8504.5+2403+4164+2272+3469+1997+135+299+674+178+30+240+1413+1006+209+393+680+1780+4040+1780+1780+952+745+2376+2376+2376+4752+2376+708+2852</f>
        <v>461392</v>
      </c>
      <c r="Q167" s="459">
        <f>15320+9228+5096+5970+4485+3115+5134+3946+1139+2307+509+879+411+637+472+29+62+165+32+6+48+348+139+43+54+68+445+1010+445+445+238+149+594+594+594+1188+594+164+713</f>
        <v>66815</v>
      </c>
      <c r="R167" s="218">
        <v>40928</v>
      </c>
    </row>
    <row r="168" spans="1:18" ht="9" customHeight="1">
      <c r="A168" s="769" t="s">
        <v>223</v>
      </c>
      <c r="B168" s="755"/>
      <c r="C168" s="766"/>
      <c r="D168" s="771" t="s">
        <v>292</v>
      </c>
      <c r="E168" s="765" t="s">
        <v>55</v>
      </c>
      <c r="F168" s="758"/>
      <c r="G168" s="491" t="s">
        <v>446</v>
      </c>
      <c r="H168" s="491" t="s">
        <v>639</v>
      </c>
      <c r="I168" s="491" t="s">
        <v>89</v>
      </c>
      <c r="J168" s="491" t="s">
        <v>454</v>
      </c>
      <c r="K168" s="488">
        <v>39878</v>
      </c>
      <c r="L168" s="487" t="s">
        <v>68</v>
      </c>
      <c r="M168" s="254">
        <v>39</v>
      </c>
      <c r="N168" s="458">
        <v>2446</v>
      </c>
      <c r="O168" s="459">
        <v>1164</v>
      </c>
      <c r="P168" s="458">
        <f>204018.5+92011.75+38624.5+27400+22817+12697.5+8373+8455.5+6781+2290+2830+1048+3163+3005+2166+6840+1490+14+6415.5+3721.5+7267.5+3007+701.5+608.5+3931+316+1244+768+1787+1197+7128+1188+3008+2446</f>
        <v>488759.25</v>
      </c>
      <c r="Q168" s="296">
        <f>20915+10991+4900+3855+3433+1986+1329+1415+1032+399+409+237+591+657+312+1653+293+7+1605+687+1458+678+106+95+900+62+202+109+514+390+1783+238+720+1164</f>
        <v>65125</v>
      </c>
      <c r="R168" s="218">
        <v>40949</v>
      </c>
    </row>
    <row r="169" spans="1:18" ht="9" customHeight="1">
      <c r="A169" s="769" t="s">
        <v>223</v>
      </c>
      <c r="B169" s="755"/>
      <c r="C169" s="766"/>
      <c r="D169" s="771" t="s">
        <v>292</v>
      </c>
      <c r="E169" s="765" t="s">
        <v>55</v>
      </c>
      <c r="F169" s="758"/>
      <c r="G169" s="491" t="s">
        <v>446</v>
      </c>
      <c r="H169" s="491" t="s">
        <v>639</v>
      </c>
      <c r="I169" s="491" t="s">
        <v>89</v>
      </c>
      <c r="J169" s="491" t="s">
        <v>454</v>
      </c>
      <c r="K169" s="488">
        <v>39878</v>
      </c>
      <c r="L169" s="487" t="s">
        <v>68</v>
      </c>
      <c r="M169" s="254">
        <v>39</v>
      </c>
      <c r="N169" s="458">
        <v>1780</v>
      </c>
      <c r="O169" s="459">
        <v>356</v>
      </c>
      <c r="P169" s="458">
        <f>143992.5+82756.5+42509+41229+27290.5+16668+27602+17675+4710+8504.5+2403+4164+2272+3469+1997+135+299+674+178+30+240+1413+1006+209+393+680+1780+4040+1780+1780+952+745+2376+2376+2376+4752+2376+708+2852+1780</f>
        <v>463172</v>
      </c>
      <c r="Q169" s="459">
        <f>15320+9228+5096+5970+4485+3115+5134+3946+1139+2307+509+879+411+637+472+29+62+165+32+6+48+348+139+43+54+68+445+1010+445+445+238+149+594+594+594+1188+594+164+713+356</f>
        <v>67171</v>
      </c>
      <c r="R169" s="297">
        <v>40963</v>
      </c>
    </row>
    <row r="170" spans="1:18" ht="9" customHeight="1">
      <c r="A170" s="755"/>
      <c r="B170" s="755"/>
      <c r="C170" s="759"/>
      <c r="D170" s="755"/>
      <c r="E170" s="758"/>
      <c r="F170" s="758"/>
      <c r="G170" s="504" t="s">
        <v>253</v>
      </c>
      <c r="H170" s="487" t="s">
        <v>254</v>
      </c>
      <c r="I170" s="487" t="s">
        <v>79</v>
      </c>
      <c r="J170" s="487" t="s">
        <v>255</v>
      </c>
      <c r="K170" s="488">
        <v>40802</v>
      </c>
      <c r="L170" s="487" t="s">
        <v>13</v>
      </c>
      <c r="M170" s="505">
        <v>8</v>
      </c>
      <c r="N170" s="214">
        <v>302.5</v>
      </c>
      <c r="O170" s="217">
        <v>67</v>
      </c>
      <c r="P170" s="214">
        <v>73390</v>
      </c>
      <c r="Q170" s="217">
        <v>8093</v>
      </c>
      <c r="R170" s="297">
        <v>40907</v>
      </c>
    </row>
    <row r="171" spans="1:18" ht="9" customHeight="1">
      <c r="A171" s="755"/>
      <c r="B171" s="755"/>
      <c r="C171" s="755"/>
      <c r="D171" s="755"/>
      <c r="E171" s="758"/>
      <c r="F171" s="757" t="s">
        <v>54</v>
      </c>
      <c r="G171" s="504" t="s">
        <v>237</v>
      </c>
      <c r="H171" s="487" t="s">
        <v>238</v>
      </c>
      <c r="I171" s="487"/>
      <c r="J171" s="487" t="s">
        <v>237</v>
      </c>
      <c r="K171" s="488">
        <v>40613</v>
      </c>
      <c r="L171" s="487" t="s">
        <v>13</v>
      </c>
      <c r="M171" s="254">
        <v>25</v>
      </c>
      <c r="N171" s="214">
        <v>605</v>
      </c>
      <c r="O171" s="217">
        <v>121</v>
      </c>
      <c r="P171" s="214">
        <v>212148.5</v>
      </c>
      <c r="Q171" s="517">
        <v>28587</v>
      </c>
      <c r="R171" s="218">
        <v>40935</v>
      </c>
    </row>
    <row r="172" spans="1:18" ht="9" customHeight="1">
      <c r="A172" s="755"/>
      <c r="B172" s="755"/>
      <c r="C172" s="759"/>
      <c r="D172" s="755"/>
      <c r="E172" s="758"/>
      <c r="F172" s="757" t="s">
        <v>54</v>
      </c>
      <c r="G172" s="504" t="s">
        <v>237</v>
      </c>
      <c r="H172" s="487" t="s">
        <v>238</v>
      </c>
      <c r="I172" s="487"/>
      <c r="J172" s="487" t="s">
        <v>237</v>
      </c>
      <c r="K172" s="488">
        <v>40613</v>
      </c>
      <c r="L172" s="487" t="s">
        <v>13</v>
      </c>
      <c r="M172" s="505">
        <v>25</v>
      </c>
      <c r="N172" s="214">
        <v>594</v>
      </c>
      <c r="O172" s="217">
        <v>118</v>
      </c>
      <c r="P172" s="214">
        <v>211543.5</v>
      </c>
      <c r="Q172" s="217">
        <v>28466</v>
      </c>
      <c r="R172" s="297">
        <v>40907</v>
      </c>
    </row>
    <row r="173" spans="1:18" ht="9" customHeight="1">
      <c r="A173" s="769" t="s">
        <v>223</v>
      </c>
      <c r="B173" s="755"/>
      <c r="C173" s="755"/>
      <c r="D173" s="755"/>
      <c r="E173" s="765" t="s">
        <v>55</v>
      </c>
      <c r="F173" s="758"/>
      <c r="G173" s="494" t="s">
        <v>400</v>
      </c>
      <c r="H173" s="491" t="s">
        <v>126</v>
      </c>
      <c r="I173" s="491" t="s">
        <v>89</v>
      </c>
      <c r="J173" s="491" t="s">
        <v>403</v>
      </c>
      <c r="K173" s="488">
        <v>40543</v>
      </c>
      <c r="L173" s="487" t="s">
        <v>68</v>
      </c>
      <c r="M173" s="254">
        <v>99</v>
      </c>
      <c r="N173" s="458">
        <v>1425.5</v>
      </c>
      <c r="O173" s="459">
        <v>356</v>
      </c>
      <c r="P173" s="458">
        <f>74157.5+721285.5+410076+112730.5+28262.5+6646+19483.5+940+1245+2674.5+7128+1782+331+245+6545.5+694+1782+1782+1782+1188+306+1188+3340+316+713+2376+1425.5</f>
        <v>1410425</v>
      </c>
      <c r="Q173" s="459">
        <f>7361+62279+35611+10987+4077+689+3901+125+178+502+1781+445+78+59+1496+114+446+446+446+297+61+297+668+53+178+594+356</f>
        <v>133525</v>
      </c>
      <c r="R173" s="218">
        <v>40921</v>
      </c>
    </row>
    <row r="174" spans="1:18" ht="9" customHeight="1">
      <c r="A174" s="759"/>
      <c r="B174" s="779">
        <v>3</v>
      </c>
      <c r="C174" s="759"/>
      <c r="D174" s="755"/>
      <c r="E174" s="758"/>
      <c r="F174" s="758"/>
      <c r="G174" s="494" t="s">
        <v>282</v>
      </c>
      <c r="H174" s="492" t="s">
        <v>281</v>
      </c>
      <c r="I174" s="493" t="s">
        <v>248</v>
      </c>
      <c r="J174" s="491" t="s">
        <v>280</v>
      </c>
      <c r="K174" s="488">
        <v>40767</v>
      </c>
      <c r="L174" s="487" t="s">
        <v>68</v>
      </c>
      <c r="M174" s="254">
        <v>39</v>
      </c>
      <c r="N174" s="458">
        <v>754.5</v>
      </c>
      <c r="O174" s="459">
        <v>110</v>
      </c>
      <c r="P174" s="458">
        <f>227782+93706+36180+21819+14718.5+11547.5+9757.5+8598+8681+8538+4936.5+48+662+5495+26+1437+754.5</f>
        <v>454686.5</v>
      </c>
      <c r="Q174" s="459">
        <f>21125+9522+4298+2881+1947+1746+1401+1176+1202+1176+682+7+103+939+4+204+110</f>
        <v>48523</v>
      </c>
      <c r="R174" s="297">
        <v>40907</v>
      </c>
    </row>
    <row r="175" spans="1:18" ht="9" customHeight="1">
      <c r="A175" s="755"/>
      <c r="B175" s="779">
        <v>3</v>
      </c>
      <c r="C175" s="759"/>
      <c r="D175" s="755"/>
      <c r="E175" s="756"/>
      <c r="F175" s="758"/>
      <c r="G175" s="494" t="s">
        <v>282</v>
      </c>
      <c r="H175" s="492" t="s">
        <v>281</v>
      </c>
      <c r="I175" s="493" t="s">
        <v>248</v>
      </c>
      <c r="J175" s="491" t="s">
        <v>280</v>
      </c>
      <c r="K175" s="488">
        <v>40767</v>
      </c>
      <c r="L175" s="487" t="s">
        <v>68</v>
      </c>
      <c r="M175" s="254">
        <v>39</v>
      </c>
      <c r="N175" s="458">
        <v>389.5</v>
      </c>
      <c r="O175" s="459">
        <v>56</v>
      </c>
      <c r="P175" s="458">
        <f>227782+93706+36180+21819+14718.5+11547.5+9757.5+8598+8681+8538+4936.5+48+662+5495+26+1437+754.5+389.5</f>
        <v>455076</v>
      </c>
      <c r="Q175" s="296">
        <f>21125+9522+4298+2881+1947+1746+1401+1176+1202+1176+682+7+103+939+4+204+110+56</f>
        <v>48579</v>
      </c>
      <c r="R175" s="218">
        <v>40914</v>
      </c>
    </row>
    <row r="176" spans="1:18" ht="9" customHeight="1">
      <c r="A176" s="755"/>
      <c r="B176" s="755"/>
      <c r="C176" s="759"/>
      <c r="D176" s="755"/>
      <c r="E176" s="765" t="s">
        <v>55</v>
      </c>
      <c r="F176" s="758"/>
      <c r="G176" s="506" t="s">
        <v>157</v>
      </c>
      <c r="H176" s="487" t="s">
        <v>163</v>
      </c>
      <c r="I176" s="487" t="s">
        <v>128</v>
      </c>
      <c r="J176" s="487" t="s">
        <v>160</v>
      </c>
      <c r="K176" s="488">
        <v>40907</v>
      </c>
      <c r="L176" s="487" t="s">
        <v>13</v>
      </c>
      <c r="M176" s="254">
        <v>2</v>
      </c>
      <c r="N176" s="214">
        <v>2845</v>
      </c>
      <c r="O176" s="217">
        <v>437</v>
      </c>
      <c r="P176" s="214">
        <v>2845</v>
      </c>
      <c r="Q176" s="217">
        <v>437</v>
      </c>
      <c r="R176" s="297">
        <v>40907</v>
      </c>
    </row>
    <row r="177" spans="1:18" ht="9" customHeight="1">
      <c r="A177" s="769" t="s">
        <v>223</v>
      </c>
      <c r="B177" s="779">
        <v>3</v>
      </c>
      <c r="C177" s="755"/>
      <c r="D177" s="755"/>
      <c r="E177" s="765" t="s">
        <v>55</v>
      </c>
      <c r="F177" s="756"/>
      <c r="G177" s="501" t="s">
        <v>557</v>
      </c>
      <c r="H177" s="492" t="s">
        <v>558</v>
      </c>
      <c r="I177" s="502" t="s">
        <v>559</v>
      </c>
      <c r="J177" s="502" t="s">
        <v>560</v>
      </c>
      <c r="K177" s="488">
        <v>40669</v>
      </c>
      <c r="L177" s="487" t="s">
        <v>8</v>
      </c>
      <c r="M177" s="518">
        <v>51</v>
      </c>
      <c r="N177" s="456">
        <v>129</v>
      </c>
      <c r="O177" s="457">
        <v>20</v>
      </c>
      <c r="P177" s="456">
        <v>479058</v>
      </c>
      <c r="Q177" s="457">
        <v>49174</v>
      </c>
      <c r="R177" s="218">
        <v>40935</v>
      </c>
    </row>
    <row r="178" spans="1:18" ht="9" customHeight="1">
      <c r="A178" s="769" t="s">
        <v>223</v>
      </c>
      <c r="B178" s="779">
        <v>3</v>
      </c>
      <c r="C178" s="755"/>
      <c r="D178" s="755"/>
      <c r="E178" s="765" t="s">
        <v>55</v>
      </c>
      <c r="F178" s="756"/>
      <c r="G178" s="501" t="s">
        <v>557</v>
      </c>
      <c r="H178" s="492" t="s">
        <v>558</v>
      </c>
      <c r="I178" s="502" t="s">
        <v>559</v>
      </c>
      <c r="J178" s="502" t="s">
        <v>560</v>
      </c>
      <c r="K178" s="488">
        <v>40669</v>
      </c>
      <c r="L178" s="487" t="s">
        <v>8</v>
      </c>
      <c r="M178" s="518">
        <v>51</v>
      </c>
      <c r="N178" s="458">
        <v>46</v>
      </c>
      <c r="O178" s="459">
        <v>6</v>
      </c>
      <c r="P178" s="458">
        <v>479104</v>
      </c>
      <c r="Q178" s="459">
        <v>49180</v>
      </c>
      <c r="R178" s="218">
        <v>40942</v>
      </c>
    </row>
    <row r="179" spans="1:18" ht="9" customHeight="1">
      <c r="A179" s="769" t="s">
        <v>223</v>
      </c>
      <c r="B179" s="759"/>
      <c r="C179" s="759"/>
      <c r="D179" s="759"/>
      <c r="E179" s="765" t="s">
        <v>55</v>
      </c>
      <c r="F179" s="758"/>
      <c r="G179" s="506" t="s">
        <v>152</v>
      </c>
      <c r="H179" s="492" t="s">
        <v>217</v>
      </c>
      <c r="I179" s="510" t="s">
        <v>94</v>
      </c>
      <c r="J179" s="487" t="s">
        <v>152</v>
      </c>
      <c r="K179" s="488">
        <v>40676</v>
      </c>
      <c r="L179" s="487" t="s">
        <v>12</v>
      </c>
      <c r="M179" s="254">
        <v>100</v>
      </c>
      <c r="N179" s="214">
        <v>372</v>
      </c>
      <c r="O179" s="217">
        <v>46</v>
      </c>
      <c r="P179" s="214">
        <v>1184752</v>
      </c>
      <c r="Q179" s="307">
        <v>129821</v>
      </c>
      <c r="R179" s="297">
        <v>40907</v>
      </c>
    </row>
    <row r="180" spans="1:18" ht="9" customHeight="1">
      <c r="A180" s="769" t="s">
        <v>223</v>
      </c>
      <c r="B180" s="764"/>
      <c r="C180" s="759"/>
      <c r="D180" s="764"/>
      <c r="E180" s="758"/>
      <c r="F180" s="776"/>
      <c r="G180" s="501" t="s">
        <v>176</v>
      </c>
      <c r="H180" s="502" t="s">
        <v>179</v>
      </c>
      <c r="I180" s="492" t="s">
        <v>138</v>
      </c>
      <c r="J180" s="502" t="s">
        <v>180</v>
      </c>
      <c r="K180" s="488">
        <v>40837</v>
      </c>
      <c r="L180" s="487" t="s">
        <v>53</v>
      </c>
      <c r="M180" s="448">
        <v>33</v>
      </c>
      <c r="N180" s="214">
        <v>511</v>
      </c>
      <c r="O180" s="217">
        <v>50</v>
      </c>
      <c r="P180" s="454">
        <v>307870</v>
      </c>
      <c r="Q180" s="455">
        <v>23173</v>
      </c>
      <c r="R180" s="297">
        <v>40907</v>
      </c>
    </row>
    <row r="181" spans="1:18" ht="9" customHeight="1">
      <c r="A181" s="755"/>
      <c r="B181" s="779">
        <v>3</v>
      </c>
      <c r="C181" s="774">
        <v>2</v>
      </c>
      <c r="D181" s="764"/>
      <c r="E181" s="755"/>
      <c r="F181" s="775"/>
      <c r="G181" s="502" t="s">
        <v>672</v>
      </c>
      <c r="H181" s="502" t="s">
        <v>342</v>
      </c>
      <c r="I181" s="492" t="s">
        <v>189</v>
      </c>
      <c r="J181" s="502" t="s">
        <v>671</v>
      </c>
      <c r="K181" s="503">
        <v>40586</v>
      </c>
      <c r="L181" s="487" t="s">
        <v>8</v>
      </c>
      <c r="M181" s="448">
        <v>90</v>
      </c>
      <c r="N181" s="458">
        <v>98096</v>
      </c>
      <c r="O181" s="459">
        <v>7734</v>
      </c>
      <c r="P181" s="458">
        <v>1295712</v>
      </c>
      <c r="Q181" s="459">
        <v>103299</v>
      </c>
      <c r="R181" s="297">
        <v>40963</v>
      </c>
    </row>
    <row r="182" spans="1:18" ht="9" customHeight="1">
      <c r="A182" s="760"/>
      <c r="B182" s="783">
        <v>3</v>
      </c>
      <c r="C182" s="774">
        <v>2</v>
      </c>
      <c r="D182" s="325"/>
      <c r="E182" s="760"/>
      <c r="F182" s="320"/>
      <c r="G182" s="266" t="s">
        <v>672</v>
      </c>
      <c r="H182" s="266" t="s">
        <v>342</v>
      </c>
      <c r="I182" s="258" t="s">
        <v>189</v>
      </c>
      <c r="J182" s="266" t="s">
        <v>671</v>
      </c>
      <c r="K182" s="503">
        <v>40586</v>
      </c>
      <c r="L182" s="526" t="s">
        <v>8</v>
      </c>
      <c r="M182" s="448">
        <v>90</v>
      </c>
      <c r="N182" s="270">
        <v>60768</v>
      </c>
      <c r="O182" s="272">
        <v>4270</v>
      </c>
      <c r="P182" s="270">
        <v>1356480</v>
      </c>
      <c r="Q182" s="272">
        <v>107569</v>
      </c>
      <c r="R182" s="297">
        <v>40970</v>
      </c>
    </row>
    <row r="183" spans="1:18" ht="9" customHeight="1">
      <c r="A183" s="760"/>
      <c r="B183" s="783">
        <v>3</v>
      </c>
      <c r="C183" s="774">
        <v>2</v>
      </c>
      <c r="D183" s="325"/>
      <c r="E183" s="760"/>
      <c r="F183" s="320"/>
      <c r="G183" s="66" t="s">
        <v>672</v>
      </c>
      <c r="H183" s="66" t="s">
        <v>342</v>
      </c>
      <c r="I183" s="61" t="s">
        <v>189</v>
      </c>
      <c r="J183" s="66" t="s">
        <v>671</v>
      </c>
      <c r="K183" s="221">
        <v>40586</v>
      </c>
      <c r="L183" s="64" t="s">
        <v>8</v>
      </c>
      <c r="M183" s="274">
        <v>90</v>
      </c>
      <c r="N183" s="270">
        <v>19569</v>
      </c>
      <c r="O183" s="272">
        <v>1214</v>
      </c>
      <c r="P183" s="270">
        <v>1376049</v>
      </c>
      <c r="Q183" s="272">
        <v>108783</v>
      </c>
      <c r="R183" s="297">
        <v>40977</v>
      </c>
    </row>
    <row r="184" spans="1:18" ht="9" customHeight="1">
      <c r="A184" s="760"/>
      <c r="B184" s="760"/>
      <c r="C184" s="760"/>
      <c r="D184" s="760"/>
      <c r="E184" s="761"/>
      <c r="F184" s="761"/>
      <c r="G184" s="303" t="s">
        <v>702</v>
      </c>
      <c r="H184" s="526" t="s">
        <v>707</v>
      </c>
      <c r="I184" s="526" t="s">
        <v>708</v>
      </c>
      <c r="J184" s="526" t="s">
        <v>703</v>
      </c>
      <c r="K184" s="488">
        <v>40922</v>
      </c>
      <c r="L184" s="526" t="s">
        <v>332</v>
      </c>
      <c r="M184" s="258">
        <v>7</v>
      </c>
      <c r="N184" s="261">
        <v>2376</v>
      </c>
      <c r="O184" s="262">
        <v>476</v>
      </c>
      <c r="P184" s="261">
        <v>108609</v>
      </c>
      <c r="Q184" s="262">
        <v>8894</v>
      </c>
      <c r="R184" s="297">
        <v>40970</v>
      </c>
    </row>
    <row r="185" spans="1:18" ht="9" customHeight="1">
      <c r="A185" s="755"/>
      <c r="B185" s="755"/>
      <c r="C185" s="755"/>
      <c r="D185" s="755"/>
      <c r="E185" s="756"/>
      <c r="F185" s="756"/>
      <c r="G185" s="506" t="s">
        <v>159</v>
      </c>
      <c r="H185" s="487" t="s">
        <v>164</v>
      </c>
      <c r="I185" s="487" t="s">
        <v>79</v>
      </c>
      <c r="J185" s="487" t="s">
        <v>165</v>
      </c>
      <c r="K185" s="503">
        <v>40886</v>
      </c>
      <c r="L185" s="487" t="s">
        <v>13</v>
      </c>
      <c r="M185" s="254">
        <v>3</v>
      </c>
      <c r="N185" s="214">
        <v>3735</v>
      </c>
      <c r="O185" s="217">
        <v>565</v>
      </c>
      <c r="P185" s="214">
        <v>14161</v>
      </c>
      <c r="Q185" s="217">
        <v>2041</v>
      </c>
      <c r="R185" s="218">
        <v>40921</v>
      </c>
    </row>
    <row r="186" spans="1:18" ht="9" customHeight="1">
      <c r="A186" s="760"/>
      <c r="B186" s="760"/>
      <c r="C186" s="760"/>
      <c r="D186" s="760"/>
      <c r="E186" s="761"/>
      <c r="F186" s="761"/>
      <c r="G186" s="526" t="s">
        <v>159</v>
      </c>
      <c r="H186" s="526" t="s">
        <v>164</v>
      </c>
      <c r="I186" s="526" t="s">
        <v>79</v>
      </c>
      <c r="J186" s="526" t="s">
        <v>165</v>
      </c>
      <c r="K186" s="503">
        <v>40886</v>
      </c>
      <c r="L186" s="526" t="s">
        <v>13</v>
      </c>
      <c r="M186" s="258">
        <v>3</v>
      </c>
      <c r="N186" s="261">
        <v>2376</v>
      </c>
      <c r="O186" s="262">
        <v>476</v>
      </c>
      <c r="P186" s="261">
        <v>24341</v>
      </c>
      <c r="Q186" s="262">
        <v>3690</v>
      </c>
      <c r="R186" s="297">
        <v>40970</v>
      </c>
    </row>
    <row r="187" spans="1:18" ht="9" customHeight="1">
      <c r="A187" s="755"/>
      <c r="B187" s="755"/>
      <c r="C187" s="755"/>
      <c r="D187" s="755"/>
      <c r="E187" s="756"/>
      <c r="F187" s="756"/>
      <c r="G187" s="487" t="s">
        <v>159</v>
      </c>
      <c r="H187" s="487" t="s">
        <v>164</v>
      </c>
      <c r="I187" s="487" t="s">
        <v>79</v>
      </c>
      <c r="J187" s="487" t="s">
        <v>165</v>
      </c>
      <c r="K187" s="503">
        <v>40886</v>
      </c>
      <c r="L187" s="487" t="s">
        <v>13</v>
      </c>
      <c r="M187" s="254">
        <v>3</v>
      </c>
      <c r="N187" s="214">
        <v>2127</v>
      </c>
      <c r="O187" s="217">
        <v>377</v>
      </c>
      <c r="P187" s="214">
        <v>21965</v>
      </c>
      <c r="Q187" s="307">
        <v>3214</v>
      </c>
      <c r="R187" s="218">
        <v>40949</v>
      </c>
    </row>
    <row r="188" spans="1:18" ht="9" customHeight="1">
      <c r="A188" s="755"/>
      <c r="B188" s="755"/>
      <c r="C188" s="755"/>
      <c r="D188" s="755"/>
      <c r="E188" s="756"/>
      <c r="F188" s="756"/>
      <c r="G188" s="506" t="s">
        <v>159</v>
      </c>
      <c r="H188" s="487" t="s">
        <v>164</v>
      </c>
      <c r="I188" s="487" t="s">
        <v>79</v>
      </c>
      <c r="J188" s="487" t="s">
        <v>165</v>
      </c>
      <c r="K188" s="503">
        <v>40886</v>
      </c>
      <c r="L188" s="487" t="s">
        <v>13</v>
      </c>
      <c r="M188" s="254">
        <v>3</v>
      </c>
      <c r="N188" s="214">
        <v>2071</v>
      </c>
      <c r="O188" s="217">
        <v>307</v>
      </c>
      <c r="P188" s="214">
        <v>18615</v>
      </c>
      <c r="Q188" s="517">
        <v>2718</v>
      </c>
      <c r="R188" s="218">
        <v>40935</v>
      </c>
    </row>
    <row r="189" spans="1:18" ht="9" customHeight="1">
      <c r="A189" s="755"/>
      <c r="B189" s="755"/>
      <c r="C189" s="755"/>
      <c r="D189" s="755"/>
      <c r="E189" s="756"/>
      <c r="F189" s="756"/>
      <c r="G189" s="506" t="s">
        <v>159</v>
      </c>
      <c r="H189" s="487" t="s">
        <v>164</v>
      </c>
      <c r="I189" s="487" t="s">
        <v>79</v>
      </c>
      <c r="J189" s="487" t="s">
        <v>165</v>
      </c>
      <c r="K189" s="503">
        <v>40886</v>
      </c>
      <c r="L189" s="487" t="s">
        <v>13</v>
      </c>
      <c r="M189" s="254">
        <v>3</v>
      </c>
      <c r="N189" s="214">
        <v>1223</v>
      </c>
      <c r="O189" s="217">
        <v>119</v>
      </c>
      <c r="P189" s="214">
        <v>19838</v>
      </c>
      <c r="Q189" s="517">
        <v>2837</v>
      </c>
      <c r="R189" s="218">
        <v>40942</v>
      </c>
    </row>
    <row r="190" spans="1:18" ht="9" customHeight="1">
      <c r="A190" s="755"/>
      <c r="B190" s="755"/>
      <c r="C190" s="755"/>
      <c r="D190" s="755"/>
      <c r="E190" s="756"/>
      <c r="F190" s="756"/>
      <c r="G190" s="506" t="s">
        <v>159</v>
      </c>
      <c r="H190" s="487" t="s">
        <v>164</v>
      </c>
      <c r="I190" s="487" t="s">
        <v>79</v>
      </c>
      <c r="J190" s="487" t="s">
        <v>165</v>
      </c>
      <c r="K190" s="503">
        <v>40886</v>
      </c>
      <c r="L190" s="487" t="s">
        <v>13</v>
      </c>
      <c r="M190" s="254">
        <v>3</v>
      </c>
      <c r="N190" s="214">
        <v>453</v>
      </c>
      <c r="O190" s="217">
        <v>74</v>
      </c>
      <c r="P190" s="214">
        <v>16544</v>
      </c>
      <c r="Q190" s="217">
        <v>2411</v>
      </c>
      <c r="R190" s="218">
        <v>40928</v>
      </c>
    </row>
    <row r="191" spans="1:18" ht="9" customHeight="1">
      <c r="A191" s="755"/>
      <c r="B191" s="755"/>
      <c r="C191" s="755"/>
      <c r="D191" s="755"/>
      <c r="E191" s="756"/>
      <c r="F191" s="756"/>
      <c r="G191" s="506" t="s">
        <v>159</v>
      </c>
      <c r="H191" s="487" t="s">
        <v>164</v>
      </c>
      <c r="I191" s="487" t="s">
        <v>79</v>
      </c>
      <c r="J191" s="487" t="s">
        <v>165</v>
      </c>
      <c r="K191" s="503">
        <v>40886</v>
      </c>
      <c r="L191" s="487" t="s">
        <v>13</v>
      </c>
      <c r="M191" s="254">
        <v>3</v>
      </c>
      <c r="N191" s="497">
        <v>402</v>
      </c>
      <c r="O191" s="498">
        <v>90</v>
      </c>
      <c r="P191" s="497">
        <v>12356</v>
      </c>
      <c r="Q191" s="298">
        <v>1772</v>
      </c>
      <c r="R191" s="218">
        <v>40914</v>
      </c>
    </row>
    <row r="192" spans="1:18" ht="9" customHeight="1">
      <c r="A192" s="755"/>
      <c r="B192" s="755"/>
      <c r="C192" s="759"/>
      <c r="D192" s="755"/>
      <c r="E192" s="758"/>
      <c r="F192" s="758"/>
      <c r="G192" s="506" t="s">
        <v>159</v>
      </c>
      <c r="H192" s="487" t="s">
        <v>164</v>
      </c>
      <c r="I192" s="487" t="s">
        <v>79</v>
      </c>
      <c r="J192" s="487" t="s">
        <v>165</v>
      </c>
      <c r="K192" s="503">
        <v>40886</v>
      </c>
      <c r="L192" s="487" t="s">
        <v>13</v>
      </c>
      <c r="M192" s="254">
        <v>3</v>
      </c>
      <c r="N192" s="214">
        <v>368</v>
      </c>
      <c r="O192" s="217">
        <v>44</v>
      </c>
      <c r="P192" s="214">
        <v>11954</v>
      </c>
      <c r="Q192" s="217">
        <v>1682</v>
      </c>
      <c r="R192" s="297">
        <v>40907</v>
      </c>
    </row>
    <row r="193" spans="1:18" ht="9" customHeight="1">
      <c r="A193" s="760"/>
      <c r="B193" s="760"/>
      <c r="C193" s="760"/>
      <c r="D193" s="760"/>
      <c r="E193" s="761"/>
      <c r="F193" s="761"/>
      <c r="G193" s="64" t="s">
        <v>159</v>
      </c>
      <c r="H193" s="64" t="s">
        <v>164</v>
      </c>
      <c r="I193" s="64" t="s">
        <v>79</v>
      </c>
      <c r="J193" s="64" t="s">
        <v>165</v>
      </c>
      <c r="K193" s="221">
        <v>40886</v>
      </c>
      <c r="L193" s="64" t="s">
        <v>13</v>
      </c>
      <c r="M193" s="258">
        <v>3</v>
      </c>
      <c r="N193" s="261">
        <v>354</v>
      </c>
      <c r="O193" s="262">
        <v>44</v>
      </c>
      <c r="P193" s="261">
        <v>24695</v>
      </c>
      <c r="Q193" s="262">
        <v>3734</v>
      </c>
      <c r="R193" s="297">
        <v>40977</v>
      </c>
    </row>
    <row r="194" spans="1:18" ht="9" customHeight="1">
      <c r="A194" s="769" t="s">
        <v>223</v>
      </c>
      <c r="B194" s="779">
        <v>3</v>
      </c>
      <c r="C194" s="766"/>
      <c r="D194" s="771" t="s">
        <v>292</v>
      </c>
      <c r="E194" s="765" t="s">
        <v>55</v>
      </c>
      <c r="F194" s="758"/>
      <c r="G194" s="494" t="s">
        <v>447</v>
      </c>
      <c r="H194" s="491" t="s">
        <v>461</v>
      </c>
      <c r="I194" s="491" t="s">
        <v>89</v>
      </c>
      <c r="J194" s="491" t="s">
        <v>455</v>
      </c>
      <c r="K194" s="488">
        <v>39995</v>
      </c>
      <c r="L194" s="487" t="s">
        <v>68</v>
      </c>
      <c r="M194" s="254">
        <v>209</v>
      </c>
      <c r="N194" s="458">
        <v>1188</v>
      </c>
      <c r="O194" s="459">
        <v>297</v>
      </c>
      <c r="P194" s="458">
        <f>11405777.5+385+1188+6614+2968+1417+277+2612+1424+952+1780+952+364.5+1188+1188+2852+3019.5+305+1188+286+1188</f>
        <v>11437925.5</v>
      </c>
      <c r="Q194" s="459">
        <f>1424397+63+297+1638+742+364+66+653+356+238+445+238+27+297+297+713+734+61+297+71+297</f>
        <v>1432291</v>
      </c>
      <c r="R194" s="218">
        <v>40928</v>
      </c>
    </row>
    <row r="195" spans="1:18" ht="9" customHeight="1">
      <c r="A195" s="759"/>
      <c r="B195" s="779">
        <v>3</v>
      </c>
      <c r="C195" s="759"/>
      <c r="D195" s="755"/>
      <c r="E195" s="758"/>
      <c r="F195" s="758"/>
      <c r="G195" s="504" t="s">
        <v>72</v>
      </c>
      <c r="H195" s="492" t="s">
        <v>83</v>
      </c>
      <c r="I195" s="492" t="s">
        <v>189</v>
      </c>
      <c r="J195" s="492" t="s">
        <v>182</v>
      </c>
      <c r="K195" s="488">
        <v>40858</v>
      </c>
      <c r="L195" s="487" t="s">
        <v>8</v>
      </c>
      <c r="M195" s="254">
        <v>132</v>
      </c>
      <c r="N195" s="458">
        <v>11571</v>
      </c>
      <c r="O195" s="459">
        <v>1573</v>
      </c>
      <c r="P195" s="458">
        <v>314058</v>
      </c>
      <c r="Q195" s="459">
        <v>39844</v>
      </c>
      <c r="R195" s="297">
        <v>40907</v>
      </c>
    </row>
    <row r="196" spans="1:18" ht="9" customHeight="1">
      <c r="A196" s="759"/>
      <c r="B196" s="779">
        <v>3</v>
      </c>
      <c r="C196" s="759"/>
      <c r="D196" s="755"/>
      <c r="E196" s="758"/>
      <c r="F196" s="756"/>
      <c r="G196" s="504" t="s">
        <v>72</v>
      </c>
      <c r="H196" s="492" t="s">
        <v>83</v>
      </c>
      <c r="I196" s="492" t="s">
        <v>189</v>
      </c>
      <c r="J196" s="492" t="s">
        <v>182</v>
      </c>
      <c r="K196" s="488">
        <v>40858</v>
      </c>
      <c r="L196" s="487" t="s">
        <v>8</v>
      </c>
      <c r="M196" s="254">
        <v>132</v>
      </c>
      <c r="N196" s="458">
        <v>6952</v>
      </c>
      <c r="O196" s="459">
        <v>968</v>
      </c>
      <c r="P196" s="458">
        <v>6001835</v>
      </c>
      <c r="Q196" s="296">
        <v>539058</v>
      </c>
      <c r="R196" s="218">
        <v>40914</v>
      </c>
    </row>
    <row r="197" spans="1:18" ht="9" customHeight="1">
      <c r="A197" s="759"/>
      <c r="B197" s="779">
        <v>3</v>
      </c>
      <c r="C197" s="759"/>
      <c r="D197" s="755"/>
      <c r="E197" s="758"/>
      <c r="F197" s="756"/>
      <c r="G197" s="504" t="s">
        <v>72</v>
      </c>
      <c r="H197" s="492" t="s">
        <v>83</v>
      </c>
      <c r="I197" s="492" t="s">
        <v>189</v>
      </c>
      <c r="J197" s="492" t="s">
        <v>182</v>
      </c>
      <c r="K197" s="488">
        <v>40858</v>
      </c>
      <c r="L197" s="487" t="s">
        <v>8</v>
      </c>
      <c r="M197" s="254">
        <v>132</v>
      </c>
      <c r="N197" s="458">
        <v>4936</v>
      </c>
      <c r="O197" s="459">
        <v>726</v>
      </c>
      <c r="P197" s="458">
        <v>6011645</v>
      </c>
      <c r="Q197" s="459">
        <v>540678</v>
      </c>
      <c r="R197" s="218">
        <v>40928</v>
      </c>
    </row>
    <row r="198" spans="1:18" ht="9" customHeight="1">
      <c r="A198" s="759"/>
      <c r="B198" s="779">
        <v>3</v>
      </c>
      <c r="C198" s="759"/>
      <c r="D198" s="755"/>
      <c r="E198" s="758"/>
      <c r="F198" s="756"/>
      <c r="G198" s="504" t="s">
        <v>72</v>
      </c>
      <c r="H198" s="492" t="s">
        <v>83</v>
      </c>
      <c r="I198" s="492" t="s">
        <v>189</v>
      </c>
      <c r="J198" s="492" t="s">
        <v>182</v>
      </c>
      <c r="K198" s="488">
        <v>40858</v>
      </c>
      <c r="L198" s="487" t="s">
        <v>8</v>
      </c>
      <c r="M198" s="254">
        <v>132</v>
      </c>
      <c r="N198" s="456">
        <v>4875</v>
      </c>
      <c r="O198" s="457">
        <v>894</v>
      </c>
      <c r="P198" s="458">
        <v>6004374</v>
      </c>
      <c r="Q198" s="459">
        <v>539462</v>
      </c>
      <c r="R198" s="218">
        <v>40921</v>
      </c>
    </row>
    <row r="199" spans="1:18" ht="9" customHeight="1">
      <c r="A199" s="759"/>
      <c r="B199" s="779">
        <v>3</v>
      </c>
      <c r="C199" s="759"/>
      <c r="D199" s="755"/>
      <c r="E199" s="758"/>
      <c r="F199" s="756"/>
      <c r="G199" s="492" t="s">
        <v>72</v>
      </c>
      <c r="H199" s="492" t="s">
        <v>83</v>
      </c>
      <c r="I199" s="492" t="s">
        <v>189</v>
      </c>
      <c r="J199" s="492" t="s">
        <v>182</v>
      </c>
      <c r="K199" s="488">
        <v>40858</v>
      </c>
      <c r="L199" s="487" t="s">
        <v>8</v>
      </c>
      <c r="M199" s="254">
        <v>132</v>
      </c>
      <c r="N199" s="458">
        <v>1437</v>
      </c>
      <c r="O199" s="459">
        <v>505</v>
      </c>
      <c r="P199" s="458">
        <v>6014227</v>
      </c>
      <c r="Q199" s="296">
        <v>541312</v>
      </c>
      <c r="R199" s="218">
        <v>40949</v>
      </c>
    </row>
    <row r="200" spans="1:18" ht="9" customHeight="1">
      <c r="A200" s="759"/>
      <c r="B200" s="779">
        <v>3</v>
      </c>
      <c r="C200" s="759"/>
      <c r="D200" s="755"/>
      <c r="E200" s="758"/>
      <c r="F200" s="756"/>
      <c r="G200" s="504" t="s">
        <v>72</v>
      </c>
      <c r="H200" s="492" t="s">
        <v>83</v>
      </c>
      <c r="I200" s="492" t="s">
        <v>189</v>
      </c>
      <c r="J200" s="492" t="s">
        <v>182</v>
      </c>
      <c r="K200" s="488">
        <v>40858</v>
      </c>
      <c r="L200" s="487" t="s">
        <v>8</v>
      </c>
      <c r="M200" s="254">
        <v>132</v>
      </c>
      <c r="N200" s="458">
        <v>617</v>
      </c>
      <c r="O200" s="459">
        <v>72</v>
      </c>
      <c r="P200" s="458">
        <v>6012790</v>
      </c>
      <c r="Q200" s="459">
        <v>540807</v>
      </c>
      <c r="R200" s="218">
        <v>40942</v>
      </c>
    </row>
    <row r="201" spans="1:18" ht="9" customHeight="1">
      <c r="A201" s="759"/>
      <c r="B201" s="779">
        <v>3</v>
      </c>
      <c r="C201" s="759"/>
      <c r="D201" s="755"/>
      <c r="E201" s="758"/>
      <c r="F201" s="756"/>
      <c r="G201" s="504" t="s">
        <v>72</v>
      </c>
      <c r="H201" s="492" t="s">
        <v>83</v>
      </c>
      <c r="I201" s="492" t="s">
        <v>189</v>
      </c>
      <c r="J201" s="492" t="s">
        <v>182</v>
      </c>
      <c r="K201" s="488">
        <v>40858</v>
      </c>
      <c r="L201" s="487" t="s">
        <v>8</v>
      </c>
      <c r="M201" s="254">
        <v>132</v>
      </c>
      <c r="N201" s="456">
        <v>528</v>
      </c>
      <c r="O201" s="457">
        <v>57</v>
      </c>
      <c r="P201" s="456">
        <v>6012173</v>
      </c>
      <c r="Q201" s="457">
        <v>540735</v>
      </c>
      <c r="R201" s="218">
        <v>40935</v>
      </c>
    </row>
    <row r="202" spans="1:18" ht="9" customHeight="1">
      <c r="A202" s="784"/>
      <c r="B202" s="783">
        <v>3</v>
      </c>
      <c r="C202" s="784"/>
      <c r="D202" s="760"/>
      <c r="E202" s="762"/>
      <c r="F202" s="761"/>
      <c r="G202" s="61" t="s">
        <v>72</v>
      </c>
      <c r="H202" s="61" t="s">
        <v>83</v>
      </c>
      <c r="I202" s="61" t="s">
        <v>189</v>
      </c>
      <c r="J202" s="61" t="s">
        <v>182</v>
      </c>
      <c r="K202" s="220">
        <v>40858</v>
      </c>
      <c r="L202" s="64" t="s">
        <v>8</v>
      </c>
      <c r="M202" s="258">
        <v>132</v>
      </c>
      <c r="N202" s="270">
        <v>388</v>
      </c>
      <c r="O202" s="272">
        <v>60</v>
      </c>
      <c r="P202" s="270">
        <v>6014615</v>
      </c>
      <c r="Q202" s="272">
        <v>541372</v>
      </c>
      <c r="R202" s="297">
        <v>40977</v>
      </c>
    </row>
    <row r="203" spans="1:18" ht="9" customHeight="1">
      <c r="A203" s="755"/>
      <c r="B203" s="755"/>
      <c r="C203" s="766"/>
      <c r="D203" s="771" t="s">
        <v>292</v>
      </c>
      <c r="E203" s="765" t="s">
        <v>55</v>
      </c>
      <c r="F203" s="758"/>
      <c r="G203" s="494" t="s">
        <v>442</v>
      </c>
      <c r="H203" s="491" t="s">
        <v>459</v>
      </c>
      <c r="I203" s="491" t="s">
        <v>89</v>
      </c>
      <c r="J203" s="491" t="s">
        <v>464</v>
      </c>
      <c r="K203" s="488">
        <v>39738</v>
      </c>
      <c r="L203" s="487" t="s">
        <v>68</v>
      </c>
      <c r="M203" s="254">
        <v>67</v>
      </c>
      <c r="N203" s="458">
        <v>4040</v>
      </c>
      <c r="O203" s="459">
        <v>1010</v>
      </c>
      <c r="P203" s="458">
        <f>575413.5+2968+2376+2737+2376+2376+4752+2376+952+1780+226+286+162+6416+4040</f>
        <v>609236.5</v>
      </c>
      <c r="Q203" s="459">
        <f>83313+742+594+635+594+594+1188+594+238+445+36+42+39+1604+1010</f>
        <v>91668</v>
      </c>
      <c r="R203" s="218">
        <v>40928</v>
      </c>
    </row>
    <row r="204" spans="1:18" ht="9" customHeight="1">
      <c r="A204" s="755"/>
      <c r="B204" s="755"/>
      <c r="C204" s="766"/>
      <c r="D204" s="771" t="s">
        <v>292</v>
      </c>
      <c r="E204" s="765" t="s">
        <v>55</v>
      </c>
      <c r="F204" s="758"/>
      <c r="G204" s="494" t="s">
        <v>442</v>
      </c>
      <c r="H204" s="491" t="s">
        <v>459</v>
      </c>
      <c r="I204" s="491" t="s">
        <v>89</v>
      </c>
      <c r="J204" s="491" t="s">
        <v>464</v>
      </c>
      <c r="K204" s="488">
        <v>39738</v>
      </c>
      <c r="L204" s="487" t="s">
        <v>68</v>
      </c>
      <c r="M204" s="254">
        <v>67</v>
      </c>
      <c r="N204" s="458">
        <v>1780</v>
      </c>
      <c r="O204" s="459">
        <v>356</v>
      </c>
      <c r="P204" s="458">
        <f>575413.5+2968+2376+2737+2376+2376+4752+2376+952+1780+226+286+162+6416+4040+1780</f>
        <v>611016.5</v>
      </c>
      <c r="Q204" s="459">
        <f>83313+742+594+635+594+594+1188+594+238+445+36+42+39+1604+1010+356</f>
        <v>92024</v>
      </c>
      <c r="R204" s="218">
        <v>40935</v>
      </c>
    </row>
    <row r="205" spans="1:18" ht="9" customHeight="1">
      <c r="A205" s="755"/>
      <c r="B205" s="755"/>
      <c r="C205" s="766"/>
      <c r="D205" s="771" t="s">
        <v>292</v>
      </c>
      <c r="E205" s="765" t="s">
        <v>55</v>
      </c>
      <c r="F205" s="758"/>
      <c r="G205" s="491" t="s">
        <v>442</v>
      </c>
      <c r="H205" s="491" t="s">
        <v>459</v>
      </c>
      <c r="I205" s="491" t="s">
        <v>89</v>
      </c>
      <c r="J205" s="491" t="s">
        <v>464</v>
      </c>
      <c r="K205" s="488">
        <v>39738</v>
      </c>
      <c r="L205" s="487" t="s">
        <v>68</v>
      </c>
      <c r="M205" s="254">
        <v>67</v>
      </c>
      <c r="N205" s="458">
        <v>1780</v>
      </c>
      <c r="O205" s="459">
        <v>356</v>
      </c>
      <c r="P205" s="458">
        <f>575413.5+2968+2376+2737+2376+2376+4752+2376+952+1780+226+286+162+6416+4040+1780+1780</f>
        <v>612796.5</v>
      </c>
      <c r="Q205" s="459">
        <f>83313+742+594+635+594+594+1188+594+238+445+36+42+39+1604+1010+356+356</f>
        <v>92380</v>
      </c>
      <c r="R205" s="218">
        <v>40956</v>
      </c>
    </row>
    <row r="206" spans="1:18" ht="9" customHeight="1">
      <c r="A206" s="759"/>
      <c r="B206" s="759"/>
      <c r="C206" s="759"/>
      <c r="D206" s="759"/>
      <c r="E206" s="758"/>
      <c r="F206" s="758"/>
      <c r="G206" s="494" t="s">
        <v>69</v>
      </c>
      <c r="H206" s="492" t="s">
        <v>88</v>
      </c>
      <c r="I206" s="491" t="s">
        <v>89</v>
      </c>
      <c r="J206" s="493" t="s">
        <v>70</v>
      </c>
      <c r="K206" s="503">
        <v>40844</v>
      </c>
      <c r="L206" s="487" t="s">
        <v>68</v>
      </c>
      <c r="M206" s="254">
        <v>65</v>
      </c>
      <c r="N206" s="458">
        <v>7426</v>
      </c>
      <c r="O206" s="459">
        <v>1233</v>
      </c>
      <c r="P206" s="458">
        <f>436701.5+604505+232735.5+57290.5+18114+16414.5+17253.5+4587+2405+7426</f>
        <v>1397432.5</v>
      </c>
      <c r="Q206" s="459">
        <f>39979+54264+21249+5324+1678+2463+2408+819+357+1233</f>
        <v>129774</v>
      </c>
      <c r="R206" s="297">
        <v>40907</v>
      </c>
    </row>
    <row r="207" spans="1:18" ht="9" customHeight="1">
      <c r="A207" s="755"/>
      <c r="B207" s="755"/>
      <c r="C207" s="755"/>
      <c r="D207" s="755"/>
      <c r="E207" s="756"/>
      <c r="F207" s="756"/>
      <c r="G207" s="494" t="s">
        <v>69</v>
      </c>
      <c r="H207" s="492" t="s">
        <v>88</v>
      </c>
      <c r="I207" s="491" t="s">
        <v>89</v>
      </c>
      <c r="J207" s="493" t="s">
        <v>70</v>
      </c>
      <c r="K207" s="503">
        <v>40844</v>
      </c>
      <c r="L207" s="487" t="s">
        <v>68</v>
      </c>
      <c r="M207" s="254">
        <v>65</v>
      </c>
      <c r="N207" s="458">
        <v>4990</v>
      </c>
      <c r="O207" s="459">
        <v>999</v>
      </c>
      <c r="P207" s="458">
        <f>436701.5+604505+232735.5+57290.5+18114+16414.5+17253.5+4587+2405+7426+2522+4990</f>
        <v>1404944.5</v>
      </c>
      <c r="Q207" s="459">
        <f>39979+54264+21249+5324+1678+2463+2408+819+357+1233+383+999</f>
        <v>131156</v>
      </c>
      <c r="R207" s="218">
        <v>40942</v>
      </c>
    </row>
    <row r="208" spans="1:18" ht="9" customHeight="1">
      <c r="A208" s="755"/>
      <c r="B208" s="755"/>
      <c r="C208" s="755"/>
      <c r="D208" s="755"/>
      <c r="E208" s="756"/>
      <c r="F208" s="756"/>
      <c r="G208" s="491" t="s">
        <v>69</v>
      </c>
      <c r="H208" s="492" t="s">
        <v>88</v>
      </c>
      <c r="I208" s="491" t="s">
        <v>89</v>
      </c>
      <c r="J208" s="493" t="s">
        <v>70</v>
      </c>
      <c r="K208" s="503">
        <v>40844</v>
      </c>
      <c r="L208" s="487" t="s">
        <v>68</v>
      </c>
      <c r="M208" s="254">
        <v>65</v>
      </c>
      <c r="N208" s="458">
        <v>3920.5</v>
      </c>
      <c r="O208" s="459">
        <v>784</v>
      </c>
      <c r="P208" s="458">
        <f>436701.5+604505+232735.5+57290.5+18114+16414.5+17253.5+4587+2405+7426+2522+4990+3920.5</f>
        <v>1408865</v>
      </c>
      <c r="Q208" s="296">
        <f>39979+54264+21249+5324+1678+2463+2408+819+357+1233+383+999+784</f>
        <v>131940</v>
      </c>
      <c r="R208" s="218">
        <v>40949</v>
      </c>
    </row>
    <row r="209" spans="1:18" ht="9" customHeight="1">
      <c r="A209" s="755"/>
      <c r="B209" s="755"/>
      <c r="C209" s="755"/>
      <c r="D209" s="755"/>
      <c r="E209" s="756"/>
      <c r="F209" s="756"/>
      <c r="G209" s="494" t="s">
        <v>69</v>
      </c>
      <c r="H209" s="492" t="s">
        <v>88</v>
      </c>
      <c r="I209" s="491" t="s">
        <v>89</v>
      </c>
      <c r="J209" s="493" t="s">
        <v>70</v>
      </c>
      <c r="K209" s="503">
        <v>40844</v>
      </c>
      <c r="L209" s="487" t="s">
        <v>68</v>
      </c>
      <c r="M209" s="254">
        <v>65</v>
      </c>
      <c r="N209" s="458">
        <v>2522</v>
      </c>
      <c r="O209" s="459">
        <v>383</v>
      </c>
      <c r="P209" s="458">
        <f>436701.5+604505+232735.5+57290.5+18114+16414.5+17253.5+4587+2405+7426+2522</f>
        <v>1399954.5</v>
      </c>
      <c r="Q209" s="296">
        <f>39979+54264+21249+5324+1678+2463+2408+819+357+1233+383</f>
        <v>130157</v>
      </c>
      <c r="R209" s="218">
        <v>40914</v>
      </c>
    </row>
    <row r="210" spans="1:18" ht="9" customHeight="1">
      <c r="A210" s="755"/>
      <c r="B210" s="755"/>
      <c r="C210" s="766"/>
      <c r="D210" s="755"/>
      <c r="E210" s="756"/>
      <c r="F210" s="758"/>
      <c r="G210" s="494" t="s">
        <v>469</v>
      </c>
      <c r="H210" s="491" t="s">
        <v>463</v>
      </c>
      <c r="I210" s="491" t="s">
        <v>89</v>
      </c>
      <c r="J210" s="491" t="s">
        <v>457</v>
      </c>
      <c r="K210" s="488">
        <v>40837</v>
      </c>
      <c r="L210" s="487" t="s">
        <v>68</v>
      </c>
      <c r="M210" s="254">
        <v>10</v>
      </c>
      <c r="N210" s="458">
        <v>519</v>
      </c>
      <c r="O210" s="459">
        <v>86</v>
      </c>
      <c r="P210" s="458">
        <f>10225+2950+986+451+172+519</f>
        <v>15303</v>
      </c>
      <c r="Q210" s="459">
        <f>1095+291+123+65+22+86</f>
        <v>1682</v>
      </c>
      <c r="R210" s="218">
        <v>40928</v>
      </c>
    </row>
    <row r="211" spans="1:18" ht="9" customHeight="1">
      <c r="A211" s="766"/>
      <c r="B211" s="766"/>
      <c r="C211" s="759"/>
      <c r="D211" s="759"/>
      <c r="E211" s="758"/>
      <c r="F211" s="757" t="s">
        <v>54</v>
      </c>
      <c r="G211" s="494" t="s">
        <v>574</v>
      </c>
      <c r="H211" s="492" t="s">
        <v>575</v>
      </c>
      <c r="I211" s="502"/>
      <c r="J211" s="502" t="s">
        <v>574</v>
      </c>
      <c r="K211" s="488">
        <v>40585</v>
      </c>
      <c r="L211" s="487" t="s">
        <v>68</v>
      </c>
      <c r="M211" s="257">
        <v>58</v>
      </c>
      <c r="N211" s="458">
        <v>950.5</v>
      </c>
      <c r="O211" s="459">
        <v>190</v>
      </c>
      <c r="P211" s="458">
        <f>236018+209847.25+105622+138051.5+64189.5+34454+20202.5+27754+16946+8179.5+9672.5+8494+21812+25095+12109+8066+3824+4092+15394+226700+172575.5+127465+93972+96529+77366.5+63475.5+48505.5+31769.5+29482+10986+6164+59+1093.5+1386+279+950.5</f>
        <v>1958581.25</v>
      </c>
      <c r="Q211" s="459">
        <f>25731+24506+13184+19079+9581+4996+3067+4392+3122+1175+1530+1410+3175+3587+1436+923+420+447+1629+25969+20073+15455+11876+13635+10490+9269+7265+5116+4049+1598+1517+8+257+323+37+190</f>
        <v>250517</v>
      </c>
      <c r="R211" s="218">
        <v>40935</v>
      </c>
    </row>
    <row r="212" spans="1:18" ht="9" customHeight="1">
      <c r="A212" s="755"/>
      <c r="B212" s="755"/>
      <c r="C212" s="755"/>
      <c r="D212" s="755"/>
      <c r="E212" s="756"/>
      <c r="F212" s="758"/>
      <c r="G212" s="491" t="s">
        <v>399</v>
      </c>
      <c r="H212" s="491" t="s">
        <v>405</v>
      </c>
      <c r="I212" s="491" t="s">
        <v>89</v>
      </c>
      <c r="J212" s="491" t="s">
        <v>399</v>
      </c>
      <c r="K212" s="488">
        <v>40886</v>
      </c>
      <c r="L212" s="487" t="s">
        <v>68</v>
      </c>
      <c r="M212" s="254">
        <v>9</v>
      </c>
      <c r="N212" s="458">
        <v>4115.4</v>
      </c>
      <c r="O212" s="459">
        <v>563</v>
      </c>
      <c r="P212" s="458">
        <f>55869.5+42730+1422+522+1782+4115.4</f>
        <v>106440.9</v>
      </c>
      <c r="Q212" s="296">
        <f>3902+3837+240+87+356+563</f>
        <v>8985</v>
      </c>
      <c r="R212" s="218">
        <v>40949</v>
      </c>
    </row>
    <row r="213" spans="1:18" ht="9" customHeight="1">
      <c r="A213" s="755"/>
      <c r="B213" s="755"/>
      <c r="C213" s="755"/>
      <c r="D213" s="755"/>
      <c r="E213" s="756"/>
      <c r="F213" s="758"/>
      <c r="G213" s="494" t="s">
        <v>399</v>
      </c>
      <c r="H213" s="491" t="s">
        <v>405</v>
      </c>
      <c r="I213" s="491"/>
      <c r="J213" s="491" t="s">
        <v>399</v>
      </c>
      <c r="K213" s="488">
        <v>40886</v>
      </c>
      <c r="L213" s="487" t="s">
        <v>68</v>
      </c>
      <c r="M213" s="254">
        <v>9</v>
      </c>
      <c r="N213" s="458">
        <v>1782</v>
      </c>
      <c r="O213" s="459">
        <v>356</v>
      </c>
      <c r="P213" s="458">
        <f>55869.5+42730+1422+522+1782</f>
        <v>102325.5</v>
      </c>
      <c r="Q213" s="459">
        <f>3902+3837+240+87+356</f>
        <v>8422</v>
      </c>
      <c r="R213" s="218">
        <v>40942</v>
      </c>
    </row>
    <row r="214" spans="1:18" ht="9" customHeight="1">
      <c r="A214" s="755"/>
      <c r="B214" s="755"/>
      <c r="C214" s="755"/>
      <c r="D214" s="755"/>
      <c r="E214" s="756"/>
      <c r="F214" s="758"/>
      <c r="G214" s="494" t="s">
        <v>399</v>
      </c>
      <c r="H214" s="491" t="s">
        <v>405</v>
      </c>
      <c r="I214" s="491" t="s">
        <v>89</v>
      </c>
      <c r="J214" s="491" t="s">
        <v>399</v>
      </c>
      <c r="K214" s="488">
        <v>40886</v>
      </c>
      <c r="L214" s="487" t="s">
        <v>68</v>
      </c>
      <c r="M214" s="254">
        <v>9</v>
      </c>
      <c r="N214" s="458">
        <v>1422</v>
      </c>
      <c r="O214" s="459">
        <v>240</v>
      </c>
      <c r="P214" s="458">
        <f>55869.5+42730+1422</f>
        <v>100021.5</v>
      </c>
      <c r="Q214" s="459">
        <f>3902+3837+240</f>
        <v>7979</v>
      </c>
      <c r="R214" s="218">
        <v>40921</v>
      </c>
    </row>
    <row r="215" spans="1:18" ht="9" customHeight="1">
      <c r="A215" s="755"/>
      <c r="B215" s="755"/>
      <c r="C215" s="755"/>
      <c r="D215" s="755"/>
      <c r="E215" s="756"/>
      <c r="F215" s="758"/>
      <c r="G215" s="491" t="s">
        <v>399</v>
      </c>
      <c r="H215" s="491" t="s">
        <v>405</v>
      </c>
      <c r="I215" s="491" t="s">
        <v>89</v>
      </c>
      <c r="J215" s="491" t="s">
        <v>399</v>
      </c>
      <c r="K215" s="488">
        <v>40886</v>
      </c>
      <c r="L215" s="487" t="s">
        <v>68</v>
      </c>
      <c r="M215" s="254">
        <v>9</v>
      </c>
      <c r="N215" s="458">
        <v>1188</v>
      </c>
      <c r="O215" s="459">
        <v>238</v>
      </c>
      <c r="P215" s="458">
        <f>55869.5+42730+1422+522+1782+4115.4+1188</f>
        <v>107628.9</v>
      </c>
      <c r="Q215" s="459">
        <f>3902+3837+240+87+356+563+238</f>
        <v>9223</v>
      </c>
      <c r="R215" s="297">
        <v>40963</v>
      </c>
    </row>
    <row r="216" spans="1:18" ht="9" customHeight="1">
      <c r="A216" s="760"/>
      <c r="B216" s="760"/>
      <c r="C216" s="760"/>
      <c r="D216" s="760"/>
      <c r="E216" s="761"/>
      <c r="F216" s="762"/>
      <c r="G216" s="63" t="s">
        <v>399</v>
      </c>
      <c r="H216" s="63" t="s">
        <v>405</v>
      </c>
      <c r="I216" s="63" t="s">
        <v>89</v>
      </c>
      <c r="J216" s="63" t="s">
        <v>399</v>
      </c>
      <c r="K216" s="220">
        <v>40886</v>
      </c>
      <c r="L216" s="64" t="s">
        <v>68</v>
      </c>
      <c r="M216" s="258">
        <v>9</v>
      </c>
      <c r="N216" s="270">
        <v>1188</v>
      </c>
      <c r="O216" s="272">
        <v>238</v>
      </c>
      <c r="P216" s="270">
        <f>55869.5+42730+1422+522+1782+4115.4+1188+1188</f>
        <v>108816.9</v>
      </c>
      <c r="Q216" s="272">
        <f>3902+3837+240+87+356+563+238+238</f>
        <v>9461</v>
      </c>
      <c r="R216" s="297">
        <v>40977</v>
      </c>
    </row>
    <row r="217" spans="1:18" ht="9" customHeight="1">
      <c r="A217" s="755"/>
      <c r="B217" s="755"/>
      <c r="C217" s="755"/>
      <c r="D217" s="755"/>
      <c r="E217" s="756"/>
      <c r="F217" s="758"/>
      <c r="G217" s="494" t="s">
        <v>399</v>
      </c>
      <c r="H217" s="491" t="s">
        <v>405</v>
      </c>
      <c r="I217" s="491"/>
      <c r="J217" s="491" t="s">
        <v>399</v>
      </c>
      <c r="K217" s="488">
        <v>40886</v>
      </c>
      <c r="L217" s="487" t="s">
        <v>68</v>
      </c>
      <c r="M217" s="254">
        <v>9</v>
      </c>
      <c r="N217" s="458">
        <v>522</v>
      </c>
      <c r="O217" s="459">
        <v>87</v>
      </c>
      <c r="P217" s="458">
        <f>55869.5+42730+1422+522</f>
        <v>100543.5</v>
      </c>
      <c r="Q217" s="459">
        <f>3902+3837+240+87</f>
        <v>8066</v>
      </c>
      <c r="R217" s="218">
        <v>40928</v>
      </c>
    </row>
    <row r="218" spans="1:18" ht="9" customHeight="1">
      <c r="A218" s="760"/>
      <c r="B218" s="760"/>
      <c r="C218" s="760"/>
      <c r="D218" s="760"/>
      <c r="E218" s="761"/>
      <c r="F218" s="761"/>
      <c r="G218" s="303" t="s">
        <v>258</v>
      </c>
      <c r="H218" s="526" t="s">
        <v>259</v>
      </c>
      <c r="I218" s="526" t="s">
        <v>260</v>
      </c>
      <c r="J218" s="526" t="s">
        <v>239</v>
      </c>
      <c r="K218" s="488">
        <v>40725</v>
      </c>
      <c r="L218" s="526" t="s">
        <v>13</v>
      </c>
      <c r="M218" s="258">
        <v>3</v>
      </c>
      <c r="N218" s="261">
        <v>7410.5</v>
      </c>
      <c r="O218" s="262">
        <v>902</v>
      </c>
      <c r="P218" s="261">
        <v>73139.5</v>
      </c>
      <c r="Q218" s="262">
        <v>8951</v>
      </c>
      <c r="R218" s="297">
        <v>40970</v>
      </c>
    </row>
    <row r="219" spans="1:18" ht="9" customHeight="1">
      <c r="A219" s="760"/>
      <c r="B219" s="760"/>
      <c r="C219" s="760"/>
      <c r="D219" s="760"/>
      <c r="E219" s="761"/>
      <c r="F219" s="761"/>
      <c r="G219" s="303" t="s">
        <v>258</v>
      </c>
      <c r="H219" s="64" t="s">
        <v>259</v>
      </c>
      <c r="I219" s="64" t="s">
        <v>260</v>
      </c>
      <c r="J219" s="64" t="s">
        <v>239</v>
      </c>
      <c r="K219" s="220">
        <v>40725</v>
      </c>
      <c r="L219" s="64" t="s">
        <v>13</v>
      </c>
      <c r="M219" s="258">
        <v>3</v>
      </c>
      <c r="N219" s="261">
        <v>3966.5</v>
      </c>
      <c r="O219" s="262">
        <v>331</v>
      </c>
      <c r="P219" s="261">
        <v>77106</v>
      </c>
      <c r="Q219" s="262">
        <v>9282</v>
      </c>
      <c r="R219" s="297">
        <v>40977</v>
      </c>
    </row>
    <row r="220" spans="1:18" ht="9" customHeight="1">
      <c r="A220" s="755"/>
      <c r="B220" s="755"/>
      <c r="C220" s="755"/>
      <c r="D220" s="755"/>
      <c r="E220" s="756"/>
      <c r="F220" s="756"/>
      <c r="G220" s="504" t="s">
        <v>258</v>
      </c>
      <c r="H220" s="487" t="s">
        <v>259</v>
      </c>
      <c r="I220" s="487" t="s">
        <v>260</v>
      </c>
      <c r="J220" s="487" t="s">
        <v>239</v>
      </c>
      <c r="K220" s="488">
        <v>40725</v>
      </c>
      <c r="L220" s="487" t="s">
        <v>13</v>
      </c>
      <c r="M220" s="254">
        <v>3</v>
      </c>
      <c r="N220" s="497">
        <v>2970</v>
      </c>
      <c r="O220" s="498">
        <v>594</v>
      </c>
      <c r="P220" s="497">
        <v>65729</v>
      </c>
      <c r="Q220" s="298">
        <v>8049</v>
      </c>
      <c r="R220" s="218">
        <v>40914</v>
      </c>
    </row>
    <row r="221" spans="1:18" ht="9" customHeight="1">
      <c r="A221" s="755"/>
      <c r="B221" s="755"/>
      <c r="C221" s="759"/>
      <c r="D221" s="755"/>
      <c r="E221" s="758"/>
      <c r="F221" s="758"/>
      <c r="G221" s="504" t="s">
        <v>258</v>
      </c>
      <c r="H221" s="487" t="s">
        <v>259</v>
      </c>
      <c r="I221" s="487" t="s">
        <v>260</v>
      </c>
      <c r="J221" s="487" t="s">
        <v>239</v>
      </c>
      <c r="K221" s="488">
        <v>40725</v>
      </c>
      <c r="L221" s="487" t="s">
        <v>13</v>
      </c>
      <c r="M221" s="505">
        <v>3</v>
      </c>
      <c r="N221" s="214">
        <v>1188</v>
      </c>
      <c r="O221" s="217">
        <v>237</v>
      </c>
      <c r="P221" s="214">
        <v>62759</v>
      </c>
      <c r="Q221" s="217">
        <v>7455</v>
      </c>
      <c r="R221" s="297">
        <v>40907</v>
      </c>
    </row>
    <row r="222" spans="1:18" ht="9" customHeight="1">
      <c r="A222" s="759"/>
      <c r="B222" s="755"/>
      <c r="C222" s="755"/>
      <c r="D222" s="771" t="s">
        <v>292</v>
      </c>
      <c r="E222" s="755"/>
      <c r="F222" s="756"/>
      <c r="G222" s="495" t="s">
        <v>385</v>
      </c>
      <c r="H222" s="492" t="s">
        <v>83</v>
      </c>
      <c r="I222" s="496" t="s">
        <v>94</v>
      </c>
      <c r="J222" s="496" t="s">
        <v>390</v>
      </c>
      <c r="K222" s="488">
        <v>40844</v>
      </c>
      <c r="L222" s="487" t="s">
        <v>12</v>
      </c>
      <c r="M222" s="254">
        <v>41</v>
      </c>
      <c r="N222" s="214">
        <v>1678</v>
      </c>
      <c r="O222" s="217">
        <v>236</v>
      </c>
      <c r="P222" s="214">
        <v>514931</v>
      </c>
      <c r="Q222" s="217">
        <v>42338</v>
      </c>
      <c r="R222" s="218">
        <v>40935</v>
      </c>
    </row>
    <row r="223" spans="1:18" ht="9" customHeight="1">
      <c r="A223" s="759"/>
      <c r="B223" s="755"/>
      <c r="C223" s="755"/>
      <c r="D223" s="771" t="s">
        <v>292</v>
      </c>
      <c r="E223" s="755"/>
      <c r="F223" s="756"/>
      <c r="G223" s="495" t="s">
        <v>385</v>
      </c>
      <c r="H223" s="492" t="s">
        <v>83</v>
      </c>
      <c r="I223" s="496" t="s">
        <v>94</v>
      </c>
      <c r="J223" s="496" t="s">
        <v>390</v>
      </c>
      <c r="K223" s="488">
        <v>40844</v>
      </c>
      <c r="L223" s="487" t="s">
        <v>12</v>
      </c>
      <c r="M223" s="254">
        <v>41</v>
      </c>
      <c r="N223" s="214">
        <v>1192</v>
      </c>
      <c r="O223" s="217">
        <v>188</v>
      </c>
      <c r="P223" s="214">
        <v>513253</v>
      </c>
      <c r="Q223" s="307">
        <v>42102</v>
      </c>
      <c r="R223" s="218">
        <v>40921</v>
      </c>
    </row>
    <row r="224" spans="1:18" ht="9" customHeight="1">
      <c r="A224" s="759"/>
      <c r="B224" s="755"/>
      <c r="C224" s="755"/>
      <c r="D224" s="771" t="s">
        <v>292</v>
      </c>
      <c r="E224" s="755"/>
      <c r="F224" s="756"/>
      <c r="G224" s="495" t="s">
        <v>385</v>
      </c>
      <c r="H224" s="492" t="s">
        <v>83</v>
      </c>
      <c r="I224" s="496" t="s">
        <v>94</v>
      </c>
      <c r="J224" s="496" t="s">
        <v>390</v>
      </c>
      <c r="K224" s="488">
        <v>40844</v>
      </c>
      <c r="L224" s="487" t="s">
        <v>12</v>
      </c>
      <c r="M224" s="254">
        <v>41</v>
      </c>
      <c r="N224" s="214">
        <v>136</v>
      </c>
      <c r="O224" s="217">
        <v>17</v>
      </c>
      <c r="P224" s="214">
        <v>515067</v>
      </c>
      <c r="Q224" s="217">
        <v>42355</v>
      </c>
      <c r="R224" s="218">
        <v>40942</v>
      </c>
    </row>
    <row r="225" spans="1:18" ht="9" customHeight="1">
      <c r="A225" s="755"/>
      <c r="B225" s="755"/>
      <c r="C225" s="755"/>
      <c r="D225" s="755"/>
      <c r="E225" s="756"/>
      <c r="F225" s="757" t="s">
        <v>54</v>
      </c>
      <c r="G225" s="494" t="s">
        <v>353</v>
      </c>
      <c r="H225" s="491" t="s">
        <v>364</v>
      </c>
      <c r="I225" s="493"/>
      <c r="J225" s="491" t="s">
        <v>353</v>
      </c>
      <c r="K225" s="488">
        <v>40676</v>
      </c>
      <c r="L225" s="487" t="s">
        <v>68</v>
      </c>
      <c r="M225" s="254">
        <v>10</v>
      </c>
      <c r="N225" s="458">
        <v>3801.5</v>
      </c>
      <c r="O225" s="459">
        <v>950</v>
      </c>
      <c r="P225" s="458">
        <f>19776.5+5289.5+3941.5+4149+6030.5+491+2263+886+669+235+576+182+578+116+1188+1782+1782+1782+1782+3801.5</f>
        <v>57300.5</v>
      </c>
      <c r="Q225" s="296">
        <f>2214+710+772+646+1024+103+434+139+105+46+100+16+62+13+297+446+446+446+446+950</f>
        <v>9415</v>
      </c>
      <c r="R225" s="218">
        <v>40914</v>
      </c>
    </row>
    <row r="226" spans="1:18" ht="9" customHeight="1">
      <c r="A226" s="755"/>
      <c r="B226" s="755"/>
      <c r="C226" s="755"/>
      <c r="D226" s="755"/>
      <c r="E226" s="756"/>
      <c r="F226" s="757" t="s">
        <v>54</v>
      </c>
      <c r="G226" s="494" t="s">
        <v>353</v>
      </c>
      <c r="H226" s="491" t="s">
        <v>364</v>
      </c>
      <c r="I226" s="493"/>
      <c r="J226" s="491" t="s">
        <v>353</v>
      </c>
      <c r="K226" s="488">
        <v>40676</v>
      </c>
      <c r="L226" s="487" t="s">
        <v>68</v>
      </c>
      <c r="M226" s="254">
        <v>10</v>
      </c>
      <c r="N226" s="458">
        <v>2138.5</v>
      </c>
      <c r="O226" s="459">
        <v>535</v>
      </c>
      <c r="P226" s="458">
        <f>19776.5+5289.5+3941.5+4149+6030.5+491+2263+886+669+235+576+182+578+116+1188+1782+1782+1782+1782+3801.5+2138.5</f>
        <v>59439</v>
      </c>
      <c r="Q226" s="459">
        <f>2214+710+772+646+1024+103+434+139+105+46+100+16+62+13+297+446+446+446+446+950+535</f>
        <v>9950</v>
      </c>
      <c r="R226" s="218">
        <v>40921</v>
      </c>
    </row>
    <row r="227" spans="1:18" ht="9" customHeight="1">
      <c r="A227" s="755"/>
      <c r="B227" s="755"/>
      <c r="C227" s="755"/>
      <c r="D227" s="755"/>
      <c r="E227" s="756"/>
      <c r="F227" s="757" t="s">
        <v>54</v>
      </c>
      <c r="G227" s="491" t="s">
        <v>353</v>
      </c>
      <c r="H227" s="491" t="s">
        <v>364</v>
      </c>
      <c r="I227" s="493"/>
      <c r="J227" s="491" t="s">
        <v>353</v>
      </c>
      <c r="K227" s="488">
        <v>40676</v>
      </c>
      <c r="L227" s="487" t="s">
        <v>68</v>
      </c>
      <c r="M227" s="254">
        <v>11</v>
      </c>
      <c r="N227" s="458">
        <v>357</v>
      </c>
      <c r="O227" s="459">
        <v>158</v>
      </c>
      <c r="P227" s="458">
        <f>19776.5+5289.5+3941.5+4149+6030.5+491+2263+886+669+235+576+182+578+116+1188+1782+1782+1782+1782+3801.5+2138.5+357</f>
        <v>59796</v>
      </c>
      <c r="Q227" s="459">
        <f>2214+710+772+646+1024+103+434+139+105+46+100+16+62+13+297+446+446+446+446+950+535+158</f>
        <v>10108</v>
      </c>
      <c r="R227" s="297">
        <v>40963</v>
      </c>
    </row>
    <row r="228" spans="1:18" ht="9" customHeight="1">
      <c r="A228" s="755"/>
      <c r="B228" s="755"/>
      <c r="C228" s="755"/>
      <c r="D228" s="755"/>
      <c r="E228" s="765" t="s">
        <v>55</v>
      </c>
      <c r="F228" s="758"/>
      <c r="G228" s="494" t="s">
        <v>368</v>
      </c>
      <c r="H228" s="491" t="s">
        <v>367</v>
      </c>
      <c r="I228" s="491" t="s">
        <v>128</v>
      </c>
      <c r="J228" s="491" t="s">
        <v>363</v>
      </c>
      <c r="K228" s="488">
        <v>40746</v>
      </c>
      <c r="L228" s="487" t="s">
        <v>68</v>
      </c>
      <c r="M228" s="254">
        <v>1</v>
      </c>
      <c r="N228" s="458">
        <v>2138.5</v>
      </c>
      <c r="O228" s="459">
        <v>535</v>
      </c>
      <c r="P228" s="458">
        <f>5298+3611+922.5+907+181+268.5+2138.5+2138.5+2138.5</f>
        <v>17603.5</v>
      </c>
      <c r="Q228" s="459">
        <f>334+225+67+122+18+21+535+535+535</f>
        <v>2392</v>
      </c>
      <c r="R228" s="218">
        <v>40921</v>
      </c>
    </row>
    <row r="229" spans="1:18" ht="9" customHeight="1">
      <c r="A229" s="755"/>
      <c r="B229" s="755"/>
      <c r="C229" s="755"/>
      <c r="D229" s="755"/>
      <c r="E229" s="765" t="s">
        <v>55</v>
      </c>
      <c r="F229" s="758"/>
      <c r="G229" s="494" t="s">
        <v>368</v>
      </c>
      <c r="H229" s="491" t="s">
        <v>367</v>
      </c>
      <c r="I229" s="491" t="s">
        <v>128</v>
      </c>
      <c r="J229" s="491" t="s">
        <v>363</v>
      </c>
      <c r="K229" s="488">
        <v>40746</v>
      </c>
      <c r="L229" s="487" t="s">
        <v>68</v>
      </c>
      <c r="M229" s="254">
        <v>1</v>
      </c>
      <c r="N229" s="458">
        <v>2138.5</v>
      </c>
      <c r="O229" s="459">
        <v>535</v>
      </c>
      <c r="P229" s="458">
        <f>5298+3611+922.5+907+181+268.5+2138.5+2138.5</f>
        <v>15465</v>
      </c>
      <c r="Q229" s="296">
        <f>334+225+67+122+18+21+535+535</f>
        <v>1857</v>
      </c>
      <c r="R229" s="218">
        <v>40914</v>
      </c>
    </row>
    <row r="230" spans="1:18" ht="9" customHeight="1">
      <c r="A230" s="755"/>
      <c r="B230" s="755"/>
      <c r="C230" s="755"/>
      <c r="D230" s="755"/>
      <c r="E230" s="765" t="s">
        <v>55</v>
      </c>
      <c r="F230" s="758"/>
      <c r="G230" s="494" t="s">
        <v>368</v>
      </c>
      <c r="H230" s="491" t="s">
        <v>367</v>
      </c>
      <c r="I230" s="491" t="s">
        <v>128</v>
      </c>
      <c r="J230" s="491" t="s">
        <v>363</v>
      </c>
      <c r="K230" s="488">
        <v>40746</v>
      </c>
      <c r="L230" s="487" t="s">
        <v>68</v>
      </c>
      <c r="M230" s="254">
        <v>1</v>
      </c>
      <c r="N230" s="458">
        <v>2138.5</v>
      </c>
      <c r="O230" s="459">
        <v>535</v>
      </c>
      <c r="P230" s="458">
        <f>5298+3611+922.5+907+181+268.5+2138.5+2138.5+2138.5+2138.5</f>
        <v>19742</v>
      </c>
      <c r="Q230" s="459">
        <f>334+225+67+122+18+21+535+535+535+535</f>
        <v>2927</v>
      </c>
      <c r="R230" s="218">
        <v>40928</v>
      </c>
    </row>
    <row r="231" spans="1:18" ht="9" customHeight="1">
      <c r="A231" s="755"/>
      <c r="B231" s="755"/>
      <c r="C231" s="755"/>
      <c r="D231" s="755"/>
      <c r="E231" s="756"/>
      <c r="F231" s="757" t="s">
        <v>54</v>
      </c>
      <c r="G231" s="494" t="s">
        <v>398</v>
      </c>
      <c r="H231" s="491" t="s">
        <v>218</v>
      </c>
      <c r="I231" s="491"/>
      <c r="J231" s="491" t="s">
        <v>398</v>
      </c>
      <c r="K231" s="488">
        <v>40627</v>
      </c>
      <c r="L231" s="487" t="s">
        <v>68</v>
      </c>
      <c r="M231" s="254">
        <v>137</v>
      </c>
      <c r="N231" s="458">
        <v>3801.5</v>
      </c>
      <c r="O231" s="459">
        <v>950</v>
      </c>
      <c r="P231" s="458">
        <f>1066061.5+1061275+813239.75+606216+468367.5+266511+137274.5+89937.5+9478+4671.5+2215.5+593.5+2273.5+2234+1858+10514.5+2603+2122+2001+349+713+2613.5+475.5+3801.5</f>
        <v>4557399.75</v>
      </c>
      <c r="Q231" s="459">
        <f>110278+106719+82858+62672+50883+32012+17904+13463+1427+637+352+91+261+268+240+2410+402+325+272+26+178+653+109+950</f>
        <v>485390</v>
      </c>
      <c r="R231" s="218">
        <v>40921</v>
      </c>
    </row>
    <row r="232" spans="1:18" ht="9" customHeight="1">
      <c r="A232" s="755"/>
      <c r="B232" s="755"/>
      <c r="C232" s="755"/>
      <c r="D232" s="755"/>
      <c r="E232" s="756"/>
      <c r="F232" s="757" t="s">
        <v>54</v>
      </c>
      <c r="G232" s="491" t="s">
        <v>398</v>
      </c>
      <c r="H232" s="491" t="s">
        <v>218</v>
      </c>
      <c r="I232" s="491"/>
      <c r="J232" s="491" t="s">
        <v>398</v>
      </c>
      <c r="K232" s="488">
        <v>40627</v>
      </c>
      <c r="L232" s="487" t="s">
        <v>68</v>
      </c>
      <c r="M232" s="254">
        <v>137</v>
      </c>
      <c r="N232" s="458">
        <v>950</v>
      </c>
      <c r="O232" s="459">
        <v>190</v>
      </c>
      <c r="P232" s="458">
        <f>1066061.5+1061275+813239.75+606216+468367.5+266511+137274.5+89937.5+9478+4671.5+2215.5+593.5+2273.5+2234+1858+10514.5+2603+2122+2001+349+713+2613.5+475.5+3801.5+950</f>
        <v>4558349.75</v>
      </c>
      <c r="Q232" s="296">
        <f>110278+106719+82858+62672+50883+32012+17904+13463+1427+637+352+91+261+268+240+2410+402+325+272+26+178+653+109+950+190</f>
        <v>485580</v>
      </c>
      <c r="R232" s="218">
        <v>40949</v>
      </c>
    </row>
    <row r="233" spans="1:18" ht="9" customHeight="1">
      <c r="A233" s="755"/>
      <c r="B233" s="755"/>
      <c r="C233" s="755"/>
      <c r="D233" s="755"/>
      <c r="E233" s="756"/>
      <c r="F233" s="756"/>
      <c r="G233" s="486" t="s">
        <v>667</v>
      </c>
      <c r="H233" s="492" t="s">
        <v>669</v>
      </c>
      <c r="I233" s="486" t="s">
        <v>138</v>
      </c>
      <c r="J233" s="493" t="s">
        <v>668</v>
      </c>
      <c r="K233" s="488">
        <v>41175</v>
      </c>
      <c r="L233" s="487" t="s">
        <v>53</v>
      </c>
      <c r="M233" s="448">
        <v>51</v>
      </c>
      <c r="N233" s="458">
        <v>808</v>
      </c>
      <c r="O233" s="459">
        <v>81</v>
      </c>
      <c r="P233" s="458">
        <f>365324+274223.5+203452+116521.5+40713.5+8734.5+7823+1091+1063.5+451+808</f>
        <v>1020205.5</v>
      </c>
      <c r="Q233" s="459">
        <f>32747+24923+18547+11662+5049+1079+999+148+136+54+81</f>
        <v>95425</v>
      </c>
      <c r="R233" s="297">
        <v>40963</v>
      </c>
    </row>
    <row r="234" spans="1:18" ht="9" customHeight="1">
      <c r="A234" s="769" t="s">
        <v>223</v>
      </c>
      <c r="B234" s="755"/>
      <c r="C234" s="755"/>
      <c r="D234" s="771" t="s">
        <v>292</v>
      </c>
      <c r="E234" s="765" t="s">
        <v>55</v>
      </c>
      <c r="F234" s="756"/>
      <c r="G234" s="495" t="s">
        <v>103</v>
      </c>
      <c r="H234" s="492" t="s">
        <v>91</v>
      </c>
      <c r="I234" s="496" t="s">
        <v>94</v>
      </c>
      <c r="J234" s="496" t="s">
        <v>103</v>
      </c>
      <c r="K234" s="488">
        <v>40704</v>
      </c>
      <c r="L234" s="487" t="s">
        <v>12</v>
      </c>
      <c r="M234" s="254">
        <v>144</v>
      </c>
      <c r="N234" s="497">
        <v>1197</v>
      </c>
      <c r="O234" s="498">
        <v>189</v>
      </c>
      <c r="P234" s="497">
        <v>3760800</v>
      </c>
      <c r="Q234" s="298">
        <v>344761</v>
      </c>
      <c r="R234" s="218">
        <v>40914</v>
      </c>
    </row>
    <row r="235" spans="1:18" ht="9" customHeight="1">
      <c r="A235" s="769" t="s">
        <v>223</v>
      </c>
      <c r="B235" s="755"/>
      <c r="C235" s="755"/>
      <c r="D235" s="771" t="s">
        <v>292</v>
      </c>
      <c r="E235" s="765" t="s">
        <v>55</v>
      </c>
      <c r="F235" s="756"/>
      <c r="G235" s="495" t="s">
        <v>103</v>
      </c>
      <c r="H235" s="492" t="s">
        <v>91</v>
      </c>
      <c r="I235" s="496" t="s">
        <v>94</v>
      </c>
      <c r="J235" s="496" t="s">
        <v>103</v>
      </c>
      <c r="K235" s="488">
        <v>40704</v>
      </c>
      <c r="L235" s="487" t="s">
        <v>12</v>
      </c>
      <c r="M235" s="254">
        <v>144</v>
      </c>
      <c r="N235" s="214">
        <v>1197</v>
      </c>
      <c r="O235" s="217">
        <v>189</v>
      </c>
      <c r="P235" s="214">
        <v>3761997</v>
      </c>
      <c r="Q235" s="217">
        <v>344950</v>
      </c>
      <c r="R235" s="218">
        <v>40928</v>
      </c>
    </row>
    <row r="236" spans="1:18" ht="9" customHeight="1">
      <c r="A236" s="769" t="s">
        <v>223</v>
      </c>
      <c r="B236" s="759"/>
      <c r="C236" s="759"/>
      <c r="D236" s="771" t="s">
        <v>292</v>
      </c>
      <c r="E236" s="765" t="s">
        <v>55</v>
      </c>
      <c r="F236" s="763"/>
      <c r="G236" s="495" t="s">
        <v>103</v>
      </c>
      <c r="H236" s="492" t="s">
        <v>91</v>
      </c>
      <c r="I236" s="496" t="s">
        <v>94</v>
      </c>
      <c r="J236" s="496" t="s">
        <v>103</v>
      </c>
      <c r="K236" s="503">
        <v>40704</v>
      </c>
      <c r="L236" s="487" t="s">
        <v>12</v>
      </c>
      <c r="M236" s="254">
        <v>144</v>
      </c>
      <c r="N236" s="214">
        <v>45</v>
      </c>
      <c r="O236" s="217">
        <v>9</v>
      </c>
      <c r="P236" s="214">
        <v>3759603</v>
      </c>
      <c r="Q236" s="307">
        <v>344572</v>
      </c>
      <c r="R236" s="297">
        <v>40907</v>
      </c>
    </row>
    <row r="237" spans="1:18" ht="9" customHeight="1">
      <c r="A237" s="755"/>
      <c r="B237" s="755"/>
      <c r="C237" s="755"/>
      <c r="D237" s="755"/>
      <c r="E237" s="756"/>
      <c r="F237" s="757" t="s">
        <v>54</v>
      </c>
      <c r="G237" s="495" t="s">
        <v>347</v>
      </c>
      <c r="H237" s="492" t="s">
        <v>348</v>
      </c>
      <c r="I237" s="496" t="s">
        <v>94</v>
      </c>
      <c r="J237" s="496" t="s">
        <v>347</v>
      </c>
      <c r="K237" s="488">
        <v>40914</v>
      </c>
      <c r="L237" s="487" t="s">
        <v>12</v>
      </c>
      <c r="M237" s="254">
        <v>204</v>
      </c>
      <c r="N237" s="497">
        <v>1571916</v>
      </c>
      <c r="O237" s="498">
        <v>166869</v>
      </c>
      <c r="P237" s="497">
        <v>1571916</v>
      </c>
      <c r="Q237" s="298">
        <v>166869</v>
      </c>
      <c r="R237" s="218">
        <v>40914</v>
      </c>
    </row>
    <row r="238" spans="1:18" ht="9" customHeight="1">
      <c r="A238" s="755"/>
      <c r="B238" s="755"/>
      <c r="C238" s="755"/>
      <c r="D238" s="755"/>
      <c r="E238" s="756"/>
      <c r="F238" s="757" t="s">
        <v>54</v>
      </c>
      <c r="G238" s="495" t="s">
        <v>347</v>
      </c>
      <c r="H238" s="492" t="s">
        <v>348</v>
      </c>
      <c r="I238" s="496" t="s">
        <v>94</v>
      </c>
      <c r="J238" s="496" t="s">
        <v>347</v>
      </c>
      <c r="K238" s="488">
        <v>40914</v>
      </c>
      <c r="L238" s="487" t="s">
        <v>12</v>
      </c>
      <c r="M238" s="254">
        <v>204</v>
      </c>
      <c r="N238" s="214">
        <v>1545867</v>
      </c>
      <c r="O238" s="217">
        <v>166896</v>
      </c>
      <c r="P238" s="214">
        <v>3117783</v>
      </c>
      <c r="Q238" s="307">
        <v>333765</v>
      </c>
      <c r="R238" s="218">
        <v>40921</v>
      </c>
    </row>
    <row r="239" spans="1:18" ht="9" customHeight="1">
      <c r="A239" s="766"/>
      <c r="B239" s="766"/>
      <c r="C239" s="755"/>
      <c r="D239" s="766"/>
      <c r="E239" s="756"/>
      <c r="F239" s="758"/>
      <c r="G239" s="506" t="s">
        <v>378</v>
      </c>
      <c r="H239" s="492" t="s">
        <v>377</v>
      </c>
      <c r="I239" s="487" t="s">
        <v>248</v>
      </c>
      <c r="J239" s="487" t="s">
        <v>379</v>
      </c>
      <c r="K239" s="488">
        <v>40893</v>
      </c>
      <c r="L239" s="487" t="s">
        <v>332</v>
      </c>
      <c r="M239" s="254">
        <v>8</v>
      </c>
      <c r="N239" s="214">
        <v>10431.5</v>
      </c>
      <c r="O239" s="217">
        <v>1186</v>
      </c>
      <c r="P239" s="214">
        <v>34975.5</v>
      </c>
      <c r="Q239" s="217">
        <v>3096</v>
      </c>
      <c r="R239" s="218">
        <v>40928</v>
      </c>
    </row>
    <row r="240" spans="1:18" ht="9" customHeight="1">
      <c r="A240" s="766"/>
      <c r="B240" s="766"/>
      <c r="C240" s="755"/>
      <c r="D240" s="766"/>
      <c r="E240" s="756"/>
      <c r="F240" s="758"/>
      <c r="G240" s="487" t="s">
        <v>378</v>
      </c>
      <c r="H240" s="492" t="s">
        <v>377</v>
      </c>
      <c r="I240" s="487" t="s">
        <v>248</v>
      </c>
      <c r="J240" s="487" t="s">
        <v>379</v>
      </c>
      <c r="K240" s="488">
        <v>40893</v>
      </c>
      <c r="L240" s="487" t="s">
        <v>332</v>
      </c>
      <c r="M240" s="254">
        <v>8</v>
      </c>
      <c r="N240" s="458">
        <v>4480</v>
      </c>
      <c r="O240" s="459">
        <v>896</v>
      </c>
      <c r="P240" s="458">
        <v>40589.5</v>
      </c>
      <c r="Q240" s="459">
        <v>4102</v>
      </c>
      <c r="R240" s="297">
        <v>40963</v>
      </c>
    </row>
    <row r="241" spans="1:18" ht="9" customHeight="1">
      <c r="A241" s="332"/>
      <c r="B241" s="332"/>
      <c r="C241" s="760"/>
      <c r="D241" s="332"/>
      <c r="E241" s="761"/>
      <c r="F241" s="762"/>
      <c r="G241" s="526" t="s">
        <v>378</v>
      </c>
      <c r="H241" s="258" t="s">
        <v>377</v>
      </c>
      <c r="I241" s="526" t="s">
        <v>248</v>
      </c>
      <c r="J241" s="526" t="s">
        <v>379</v>
      </c>
      <c r="K241" s="488">
        <v>40893</v>
      </c>
      <c r="L241" s="526" t="s">
        <v>332</v>
      </c>
      <c r="M241" s="254">
        <v>8</v>
      </c>
      <c r="N241" s="261">
        <v>2376</v>
      </c>
      <c r="O241" s="262">
        <v>476</v>
      </c>
      <c r="P241" s="261">
        <v>42965.5</v>
      </c>
      <c r="Q241" s="262">
        <v>4578</v>
      </c>
      <c r="R241" s="297">
        <v>40970</v>
      </c>
    </row>
    <row r="242" spans="1:18" ht="9" customHeight="1">
      <c r="A242" s="766"/>
      <c r="B242" s="766"/>
      <c r="C242" s="755"/>
      <c r="D242" s="766"/>
      <c r="E242" s="756"/>
      <c r="F242" s="758"/>
      <c r="G242" s="506" t="s">
        <v>378</v>
      </c>
      <c r="H242" s="492" t="s">
        <v>377</v>
      </c>
      <c r="I242" s="487" t="s">
        <v>248</v>
      </c>
      <c r="J242" s="487" t="s">
        <v>379</v>
      </c>
      <c r="K242" s="488">
        <v>40893</v>
      </c>
      <c r="L242" s="487" t="s">
        <v>332</v>
      </c>
      <c r="M242" s="254">
        <v>8</v>
      </c>
      <c r="N242" s="214">
        <v>1134</v>
      </c>
      <c r="O242" s="217">
        <v>110</v>
      </c>
      <c r="P242" s="214">
        <v>36109.5</v>
      </c>
      <c r="Q242" s="517">
        <v>3206</v>
      </c>
      <c r="R242" s="218">
        <v>40935</v>
      </c>
    </row>
    <row r="243" spans="1:18" ht="9" customHeight="1">
      <c r="A243" s="766"/>
      <c r="B243" s="766"/>
      <c r="C243" s="755"/>
      <c r="D243" s="766"/>
      <c r="E243" s="756"/>
      <c r="F243" s="758"/>
      <c r="G243" s="506" t="s">
        <v>378</v>
      </c>
      <c r="H243" s="492" t="s">
        <v>377</v>
      </c>
      <c r="I243" s="487" t="s">
        <v>248</v>
      </c>
      <c r="J243" s="487" t="s">
        <v>379</v>
      </c>
      <c r="K243" s="488">
        <v>40893</v>
      </c>
      <c r="L243" s="487" t="s">
        <v>332</v>
      </c>
      <c r="M243" s="254">
        <v>8</v>
      </c>
      <c r="N243" s="214">
        <v>113</v>
      </c>
      <c r="O243" s="217">
        <v>14</v>
      </c>
      <c r="P243" s="214">
        <v>24528</v>
      </c>
      <c r="Q243" s="217">
        <v>1908</v>
      </c>
      <c r="R243" s="218">
        <v>40921</v>
      </c>
    </row>
    <row r="244" spans="1:18" ht="9" customHeight="1">
      <c r="A244" s="755"/>
      <c r="B244" s="755"/>
      <c r="C244" s="755"/>
      <c r="D244" s="755"/>
      <c r="E244" s="756"/>
      <c r="F244" s="756"/>
      <c r="G244" s="494" t="s">
        <v>224</v>
      </c>
      <c r="H244" s="492" t="s">
        <v>193</v>
      </c>
      <c r="I244" s="493" t="s">
        <v>128</v>
      </c>
      <c r="J244" s="491" t="s">
        <v>191</v>
      </c>
      <c r="K244" s="503">
        <v>40907</v>
      </c>
      <c r="L244" s="487" t="s">
        <v>68</v>
      </c>
      <c r="M244" s="254">
        <v>19</v>
      </c>
      <c r="N244" s="458">
        <v>115157</v>
      </c>
      <c r="O244" s="459">
        <v>8628</v>
      </c>
      <c r="P244" s="458">
        <f>108631+115157</f>
        <v>223788</v>
      </c>
      <c r="Q244" s="296">
        <f>8552+8628</f>
        <v>17180</v>
      </c>
      <c r="R244" s="218">
        <v>40914</v>
      </c>
    </row>
    <row r="245" spans="1:18" ht="9" customHeight="1">
      <c r="A245" s="759"/>
      <c r="B245" s="759"/>
      <c r="C245" s="759"/>
      <c r="D245" s="759"/>
      <c r="E245" s="758"/>
      <c r="F245" s="758"/>
      <c r="G245" s="494" t="s">
        <v>224</v>
      </c>
      <c r="H245" s="492" t="s">
        <v>193</v>
      </c>
      <c r="I245" s="493" t="s">
        <v>128</v>
      </c>
      <c r="J245" s="491" t="s">
        <v>191</v>
      </c>
      <c r="K245" s="503">
        <v>41273</v>
      </c>
      <c r="L245" s="487" t="s">
        <v>68</v>
      </c>
      <c r="M245" s="254">
        <v>19</v>
      </c>
      <c r="N245" s="458">
        <v>108199</v>
      </c>
      <c r="O245" s="459">
        <v>8513</v>
      </c>
      <c r="P245" s="458">
        <f>108199</f>
        <v>108199</v>
      </c>
      <c r="Q245" s="459">
        <f>8513</f>
        <v>8513</v>
      </c>
      <c r="R245" s="297">
        <v>40907</v>
      </c>
    </row>
    <row r="246" spans="1:18" ht="9" customHeight="1">
      <c r="A246" s="755"/>
      <c r="B246" s="755"/>
      <c r="C246" s="755"/>
      <c r="D246" s="755"/>
      <c r="E246" s="756"/>
      <c r="F246" s="756"/>
      <c r="G246" s="494" t="s">
        <v>224</v>
      </c>
      <c r="H246" s="492" t="s">
        <v>193</v>
      </c>
      <c r="I246" s="493" t="s">
        <v>128</v>
      </c>
      <c r="J246" s="491" t="s">
        <v>191</v>
      </c>
      <c r="K246" s="503">
        <v>40907</v>
      </c>
      <c r="L246" s="487" t="s">
        <v>68</v>
      </c>
      <c r="M246" s="254">
        <v>19</v>
      </c>
      <c r="N246" s="458">
        <v>28332.5</v>
      </c>
      <c r="O246" s="459">
        <v>2468</v>
      </c>
      <c r="P246" s="458">
        <f>108631+115157+28332.5</f>
        <v>252120.5</v>
      </c>
      <c r="Q246" s="459">
        <f>8552+8628+2468</f>
        <v>19648</v>
      </c>
      <c r="R246" s="218">
        <v>40921</v>
      </c>
    </row>
    <row r="247" spans="1:18" ht="9" customHeight="1">
      <c r="A247" s="759"/>
      <c r="B247" s="759"/>
      <c r="C247" s="759"/>
      <c r="D247" s="759"/>
      <c r="E247" s="758"/>
      <c r="F247" s="757" t="s">
        <v>54</v>
      </c>
      <c r="G247" s="494" t="s">
        <v>151</v>
      </c>
      <c r="H247" s="492" t="s">
        <v>218</v>
      </c>
      <c r="I247" s="493" t="s">
        <v>89</v>
      </c>
      <c r="J247" s="491" t="s">
        <v>151</v>
      </c>
      <c r="K247" s="488">
        <v>40900</v>
      </c>
      <c r="L247" s="487" t="s">
        <v>68</v>
      </c>
      <c r="M247" s="254">
        <v>197</v>
      </c>
      <c r="N247" s="458">
        <v>656291</v>
      </c>
      <c r="O247" s="459">
        <v>73110</v>
      </c>
      <c r="P247" s="458">
        <f>985836.5+656291</f>
        <v>1642127.5</v>
      </c>
      <c r="Q247" s="459">
        <f>106718+73110</f>
        <v>179828</v>
      </c>
      <c r="R247" s="297">
        <v>40907</v>
      </c>
    </row>
    <row r="248" spans="1:18" ht="9" customHeight="1">
      <c r="A248" s="755"/>
      <c r="B248" s="755"/>
      <c r="C248" s="755"/>
      <c r="D248" s="759"/>
      <c r="E248" s="756"/>
      <c r="F248" s="757" t="s">
        <v>54</v>
      </c>
      <c r="G248" s="494" t="s">
        <v>151</v>
      </c>
      <c r="H248" s="492" t="s">
        <v>218</v>
      </c>
      <c r="I248" s="493" t="s">
        <v>89</v>
      </c>
      <c r="J248" s="491" t="s">
        <v>151</v>
      </c>
      <c r="K248" s="488">
        <v>40900</v>
      </c>
      <c r="L248" s="487" t="s">
        <v>68</v>
      </c>
      <c r="M248" s="254">
        <v>197</v>
      </c>
      <c r="N248" s="458">
        <v>454728.5</v>
      </c>
      <c r="O248" s="459">
        <v>50608</v>
      </c>
      <c r="P248" s="458">
        <f>985836.5+657011.5+454728.5</f>
        <v>2097576.5</v>
      </c>
      <c r="Q248" s="296">
        <f>106718+73176+50608</f>
        <v>230502</v>
      </c>
      <c r="R248" s="218">
        <v>40914</v>
      </c>
    </row>
    <row r="249" spans="1:18" ht="9" customHeight="1">
      <c r="A249" s="755"/>
      <c r="B249" s="755"/>
      <c r="C249" s="755"/>
      <c r="D249" s="759"/>
      <c r="E249" s="756"/>
      <c r="F249" s="757" t="s">
        <v>54</v>
      </c>
      <c r="G249" s="494" t="s">
        <v>151</v>
      </c>
      <c r="H249" s="492" t="s">
        <v>218</v>
      </c>
      <c r="I249" s="493" t="s">
        <v>89</v>
      </c>
      <c r="J249" s="491" t="s">
        <v>151</v>
      </c>
      <c r="K249" s="488">
        <v>40900</v>
      </c>
      <c r="L249" s="487" t="s">
        <v>68</v>
      </c>
      <c r="M249" s="254">
        <v>197</v>
      </c>
      <c r="N249" s="458">
        <v>206447</v>
      </c>
      <c r="O249" s="459">
        <v>29112</v>
      </c>
      <c r="P249" s="458">
        <f>985836.5+657011.5+454728.5+206447</f>
        <v>2304023.5</v>
      </c>
      <c r="Q249" s="459">
        <f>106718+73176+50608+29112</f>
        <v>259614</v>
      </c>
      <c r="R249" s="218">
        <v>40921</v>
      </c>
    </row>
    <row r="250" spans="1:18" ht="9" customHeight="1">
      <c r="A250" s="755"/>
      <c r="B250" s="755"/>
      <c r="C250" s="755"/>
      <c r="D250" s="759"/>
      <c r="E250" s="756"/>
      <c r="F250" s="757" t="s">
        <v>54</v>
      </c>
      <c r="G250" s="494" t="s">
        <v>151</v>
      </c>
      <c r="H250" s="492" t="s">
        <v>218</v>
      </c>
      <c r="I250" s="493"/>
      <c r="J250" s="491" t="s">
        <v>151</v>
      </c>
      <c r="K250" s="488">
        <v>40900</v>
      </c>
      <c r="L250" s="487" t="s">
        <v>68</v>
      </c>
      <c r="M250" s="254">
        <v>197</v>
      </c>
      <c r="N250" s="458">
        <v>72029</v>
      </c>
      <c r="O250" s="459">
        <v>10776</v>
      </c>
      <c r="P250" s="458">
        <f>985836.5+657011.5+454728.5+206461+72029</f>
        <v>2376066.5</v>
      </c>
      <c r="Q250" s="459">
        <f>106718+73176+50608+29114+10776</f>
        <v>270392</v>
      </c>
      <c r="R250" s="218">
        <v>40928</v>
      </c>
    </row>
    <row r="251" spans="1:18" ht="9" customHeight="1">
      <c r="A251" s="755"/>
      <c r="B251" s="755"/>
      <c r="C251" s="755"/>
      <c r="D251" s="759"/>
      <c r="E251" s="756"/>
      <c r="F251" s="757" t="s">
        <v>54</v>
      </c>
      <c r="G251" s="494" t="s">
        <v>151</v>
      </c>
      <c r="H251" s="492" t="s">
        <v>218</v>
      </c>
      <c r="I251" s="493"/>
      <c r="J251" s="491" t="s">
        <v>151</v>
      </c>
      <c r="K251" s="488">
        <v>40900</v>
      </c>
      <c r="L251" s="487" t="s">
        <v>68</v>
      </c>
      <c r="M251" s="254">
        <v>197</v>
      </c>
      <c r="N251" s="458">
        <v>16105.51</v>
      </c>
      <c r="O251" s="459">
        <v>3413</v>
      </c>
      <c r="P251" s="458">
        <f>985836.5+657011.5+454728.5+206461+72029+16105.51</f>
        <v>2392172.01</v>
      </c>
      <c r="Q251" s="459">
        <f>106718+73176+50608+29114+10776+3413</f>
        <v>273805</v>
      </c>
      <c r="R251" s="218">
        <v>40935</v>
      </c>
    </row>
    <row r="252" spans="1:18" ht="9" customHeight="1">
      <c r="A252" s="755"/>
      <c r="B252" s="755"/>
      <c r="C252" s="755"/>
      <c r="D252" s="759"/>
      <c r="E252" s="756"/>
      <c r="F252" s="757" t="s">
        <v>54</v>
      </c>
      <c r="G252" s="494" t="s">
        <v>151</v>
      </c>
      <c r="H252" s="492" t="s">
        <v>218</v>
      </c>
      <c r="I252" s="493"/>
      <c r="J252" s="491" t="s">
        <v>151</v>
      </c>
      <c r="K252" s="488">
        <v>40900</v>
      </c>
      <c r="L252" s="487" t="s">
        <v>68</v>
      </c>
      <c r="M252" s="254">
        <v>197</v>
      </c>
      <c r="N252" s="458">
        <v>5902</v>
      </c>
      <c r="O252" s="459">
        <v>1375</v>
      </c>
      <c r="P252" s="458">
        <f>985836.5+657011.5+454728.5+206461+72029+16105.51+5902</f>
        <v>2398074.01</v>
      </c>
      <c r="Q252" s="459">
        <f>106718+73176+50608+29114+10776+3413+1375</f>
        <v>275180</v>
      </c>
      <c r="R252" s="218">
        <v>40942</v>
      </c>
    </row>
    <row r="253" spans="1:18" ht="9" customHeight="1">
      <c r="A253" s="755"/>
      <c r="B253" s="755"/>
      <c r="C253" s="755"/>
      <c r="D253" s="759"/>
      <c r="E253" s="756"/>
      <c r="F253" s="757" t="s">
        <v>54</v>
      </c>
      <c r="G253" s="491" t="s">
        <v>151</v>
      </c>
      <c r="H253" s="492" t="s">
        <v>218</v>
      </c>
      <c r="I253" s="493"/>
      <c r="J253" s="491" t="s">
        <v>151</v>
      </c>
      <c r="K253" s="488">
        <v>40900</v>
      </c>
      <c r="L253" s="487" t="s">
        <v>68</v>
      </c>
      <c r="M253" s="254">
        <v>197</v>
      </c>
      <c r="N253" s="458">
        <v>3599</v>
      </c>
      <c r="O253" s="459">
        <v>639</v>
      </c>
      <c r="P253" s="458">
        <f>985836.5+657011.5+454728.5+206461+72029+16105.51+5902+3599</f>
        <v>2401673.01</v>
      </c>
      <c r="Q253" s="296">
        <f>106718+73176+50608+29114+10776+3413+1375+639</f>
        <v>275819</v>
      </c>
      <c r="R253" s="218">
        <v>40949</v>
      </c>
    </row>
    <row r="254" spans="1:18" ht="9" customHeight="1">
      <c r="A254" s="760"/>
      <c r="B254" s="760"/>
      <c r="C254" s="760"/>
      <c r="D254" s="784"/>
      <c r="E254" s="761"/>
      <c r="F254" s="768" t="s">
        <v>54</v>
      </c>
      <c r="G254" s="528" t="s">
        <v>151</v>
      </c>
      <c r="H254" s="258" t="s">
        <v>218</v>
      </c>
      <c r="I254" s="527"/>
      <c r="J254" s="528" t="s">
        <v>151</v>
      </c>
      <c r="K254" s="488">
        <v>40900</v>
      </c>
      <c r="L254" s="526" t="s">
        <v>68</v>
      </c>
      <c r="M254" s="258">
        <v>197</v>
      </c>
      <c r="N254" s="270">
        <v>438</v>
      </c>
      <c r="O254" s="272">
        <v>190</v>
      </c>
      <c r="P254" s="270">
        <f>985836.5+657011.5+454728.5+206461+72029+16105.51+5902+3599+438</f>
        <v>2402111.01</v>
      </c>
      <c r="Q254" s="272">
        <f>106718+73176+50608+29114+10776+3413+1375+639+190</f>
        <v>276009</v>
      </c>
      <c r="R254" s="297">
        <v>40970</v>
      </c>
    </row>
    <row r="255" spans="1:18" ht="9" customHeight="1">
      <c r="A255" s="759"/>
      <c r="B255" s="759"/>
      <c r="C255" s="759"/>
      <c r="D255" s="759"/>
      <c r="E255" s="758"/>
      <c r="F255" s="758"/>
      <c r="G255" s="494" t="s">
        <v>268</v>
      </c>
      <c r="H255" s="492" t="s">
        <v>275</v>
      </c>
      <c r="I255" s="493" t="s">
        <v>273</v>
      </c>
      <c r="J255" s="491" t="s">
        <v>285</v>
      </c>
      <c r="K255" s="488">
        <v>40641</v>
      </c>
      <c r="L255" s="487" t="s">
        <v>68</v>
      </c>
      <c r="M255" s="254">
        <v>22</v>
      </c>
      <c r="N255" s="458">
        <v>3801.5</v>
      </c>
      <c r="O255" s="459">
        <v>950</v>
      </c>
      <c r="P255" s="458">
        <f>116634.25+59106.5+23134.5+13753.5+15970+8455.5+1576+1761+10125.5+2018+2376+1505+1606+4951.5+5289.5+5175+120+1367+4606+1218+3801.5</f>
        <v>284550.25</v>
      </c>
      <c r="Q255" s="459">
        <f>8833+4531+2274+1803+2249+1097+201+284+1149+305+594+210+182+582+643+704+20+163+464+300+950</f>
        <v>27538</v>
      </c>
      <c r="R255" s="297">
        <v>40907</v>
      </c>
    </row>
    <row r="256" spans="1:18" ht="9" customHeight="1">
      <c r="A256" s="769" t="s">
        <v>223</v>
      </c>
      <c r="B256" s="759"/>
      <c r="C256" s="759"/>
      <c r="D256" s="755"/>
      <c r="E256" s="758"/>
      <c r="F256" s="756"/>
      <c r="G256" s="491" t="s">
        <v>664</v>
      </c>
      <c r="H256" s="492" t="s">
        <v>665</v>
      </c>
      <c r="I256" s="493" t="s">
        <v>273</v>
      </c>
      <c r="J256" s="491" t="s">
        <v>661</v>
      </c>
      <c r="K256" s="488">
        <v>40193</v>
      </c>
      <c r="L256" s="487" t="s">
        <v>68</v>
      </c>
      <c r="M256" s="254">
        <v>55</v>
      </c>
      <c r="N256" s="458">
        <v>1782</v>
      </c>
      <c r="O256" s="459">
        <v>356</v>
      </c>
      <c r="P256" s="458">
        <f>197266+158498+94472.5+25746.5+5341+4975+4175+3550+3868+6158+8020+1277+951+3397+4599+198+566+1146+2247.5+174+31.5+2775.5+1188+735+2376+307+324+2613.5+1782+1782+1782+1782</f>
        <v>544104</v>
      </c>
      <c r="Q256" s="459">
        <f>19567+17056+12441+3194+866+909+697+693+818+1478+1988+298+238+832+1154+55+212+207+411+57+12+610+297+71+594+46+71+653+445+445+445+356</f>
        <v>67216</v>
      </c>
      <c r="R256" s="218">
        <v>40956</v>
      </c>
    </row>
    <row r="257" spans="1:18" ht="9" customHeight="1">
      <c r="A257" s="769" t="s">
        <v>223</v>
      </c>
      <c r="B257" s="759"/>
      <c r="C257" s="759"/>
      <c r="D257" s="755"/>
      <c r="E257" s="758"/>
      <c r="F257" s="756"/>
      <c r="G257" s="491" t="s">
        <v>664</v>
      </c>
      <c r="H257" s="492" t="s">
        <v>665</v>
      </c>
      <c r="I257" s="493" t="s">
        <v>273</v>
      </c>
      <c r="J257" s="491" t="s">
        <v>661</v>
      </c>
      <c r="K257" s="488">
        <v>40193</v>
      </c>
      <c r="L257" s="487" t="s">
        <v>68</v>
      </c>
      <c r="M257" s="254">
        <v>55</v>
      </c>
      <c r="N257" s="458">
        <v>1782</v>
      </c>
      <c r="O257" s="459">
        <v>356</v>
      </c>
      <c r="P257" s="458">
        <f>197266+158498+94472.5+25746.5+5341+4975+4175+3550+3868+6158+8020+1277+951+3397+4599+198+566+1146+2247.5+174+31.5+2775.5+1188+735+2376+307+324+2613.5+1782+1782+1782+1782+1782</f>
        <v>545886</v>
      </c>
      <c r="Q257" s="459">
        <f>19567+17056+12441+3194+866+909+697+693+818+1478+1988+298+238+832+1154+55+212+207+411+57+12+610+297+71+594+46+71+653+445+445+445+356+356</f>
        <v>67572</v>
      </c>
      <c r="R257" s="297">
        <v>40963</v>
      </c>
    </row>
    <row r="258" spans="1:18" ht="9" customHeight="1">
      <c r="A258" s="759"/>
      <c r="B258" s="759"/>
      <c r="C258" s="759"/>
      <c r="D258" s="759"/>
      <c r="E258" s="758"/>
      <c r="F258" s="782"/>
      <c r="G258" s="504" t="s">
        <v>131</v>
      </c>
      <c r="H258" s="492" t="s">
        <v>132</v>
      </c>
      <c r="I258" s="486" t="s">
        <v>99</v>
      </c>
      <c r="J258" s="493" t="s">
        <v>136</v>
      </c>
      <c r="K258" s="488">
        <v>40746</v>
      </c>
      <c r="L258" s="487" t="s">
        <v>52</v>
      </c>
      <c r="M258" s="449">
        <v>23</v>
      </c>
      <c r="N258" s="512">
        <v>36</v>
      </c>
      <c r="O258" s="513">
        <v>6</v>
      </c>
      <c r="P258" s="512">
        <f>47685+27229.5+17697.5+18612+19593.5+16691+6089.5+2551.5+2254+4358+2609+1310+356+168+150+121+69+36</f>
        <v>167580.5</v>
      </c>
      <c r="Q258" s="217">
        <f>4321+2419+2108+2430+2448+2072+892+397+346+639+377+205+49+24+23+19+11+6</f>
        <v>18786</v>
      </c>
      <c r="R258" s="297">
        <v>40907</v>
      </c>
    </row>
    <row r="259" spans="1:18" ht="9" customHeight="1">
      <c r="A259" s="755"/>
      <c r="B259" s="759"/>
      <c r="C259" s="755"/>
      <c r="D259" s="755"/>
      <c r="E259" s="756"/>
      <c r="F259" s="756"/>
      <c r="G259" s="491" t="s">
        <v>626</v>
      </c>
      <c r="H259" s="491" t="s">
        <v>640</v>
      </c>
      <c r="I259" s="493" t="s">
        <v>248</v>
      </c>
      <c r="J259" s="491" t="s">
        <v>136</v>
      </c>
      <c r="K259" s="488">
        <v>40186</v>
      </c>
      <c r="L259" s="487" t="s">
        <v>68</v>
      </c>
      <c r="M259" s="254">
        <v>4</v>
      </c>
      <c r="N259" s="458">
        <v>1188</v>
      </c>
      <c r="O259" s="459">
        <v>238</v>
      </c>
      <c r="P259" s="458">
        <f>83443.75+1230+270+181+132+1991+2160.5+1188</f>
        <v>90596.25</v>
      </c>
      <c r="Q259" s="296">
        <f>11555+209+47+34+22+311+532+238</f>
        <v>12948</v>
      </c>
      <c r="R259" s="218">
        <v>40949</v>
      </c>
    </row>
    <row r="260" spans="1:18" ht="9" customHeight="1">
      <c r="A260" s="755"/>
      <c r="B260" s="759"/>
      <c r="C260" s="755"/>
      <c r="D260" s="755"/>
      <c r="E260" s="756"/>
      <c r="F260" s="756"/>
      <c r="G260" s="491" t="s">
        <v>626</v>
      </c>
      <c r="H260" s="491" t="s">
        <v>640</v>
      </c>
      <c r="I260" s="493" t="s">
        <v>248</v>
      </c>
      <c r="J260" s="491" t="s">
        <v>136</v>
      </c>
      <c r="K260" s="488">
        <v>40186</v>
      </c>
      <c r="L260" s="487" t="s">
        <v>68</v>
      </c>
      <c r="M260" s="254">
        <v>4</v>
      </c>
      <c r="N260" s="458">
        <v>1188</v>
      </c>
      <c r="O260" s="459">
        <v>238</v>
      </c>
      <c r="P260" s="458">
        <f>83443.75+1230+270+181+132+1991+2160.5+1188+1188</f>
        <v>91784.25</v>
      </c>
      <c r="Q260" s="459">
        <f>11555+209+47+34+22+311+532+238+238</f>
        <v>13186</v>
      </c>
      <c r="R260" s="297">
        <v>40963</v>
      </c>
    </row>
    <row r="261" spans="1:18" ht="9" customHeight="1">
      <c r="A261" s="760"/>
      <c r="B261" s="784"/>
      <c r="C261" s="760"/>
      <c r="D261" s="760"/>
      <c r="E261" s="761"/>
      <c r="F261" s="761"/>
      <c r="G261" s="63" t="s">
        <v>626</v>
      </c>
      <c r="H261" s="63" t="s">
        <v>640</v>
      </c>
      <c r="I261" s="65" t="s">
        <v>248</v>
      </c>
      <c r="J261" s="63" t="s">
        <v>136</v>
      </c>
      <c r="K261" s="220">
        <v>40186</v>
      </c>
      <c r="L261" s="64" t="s">
        <v>68</v>
      </c>
      <c r="M261" s="258">
        <v>4</v>
      </c>
      <c r="N261" s="270">
        <v>1188</v>
      </c>
      <c r="O261" s="272">
        <v>238</v>
      </c>
      <c r="P261" s="270">
        <f>83443.75+1230+270+181+132+1991+2160.5+1188+1188+1188</f>
        <v>92972.25</v>
      </c>
      <c r="Q261" s="272">
        <f>11555+209+47+34+22+311+532+238+238+238</f>
        <v>13424</v>
      </c>
      <c r="R261" s="297">
        <v>40977</v>
      </c>
    </row>
    <row r="262" spans="1:18" ht="9" customHeight="1">
      <c r="A262" s="755"/>
      <c r="B262" s="755"/>
      <c r="C262" s="755"/>
      <c r="D262" s="755"/>
      <c r="E262" s="756"/>
      <c r="F262" s="758"/>
      <c r="G262" s="487" t="s">
        <v>156</v>
      </c>
      <c r="H262" s="487" t="s">
        <v>129</v>
      </c>
      <c r="I262" s="487" t="s">
        <v>79</v>
      </c>
      <c r="J262" s="487" t="s">
        <v>130</v>
      </c>
      <c r="K262" s="488">
        <v>40893</v>
      </c>
      <c r="L262" s="487" t="s">
        <v>13</v>
      </c>
      <c r="M262" s="254">
        <v>2</v>
      </c>
      <c r="N262" s="458">
        <v>2020</v>
      </c>
      <c r="O262" s="459">
        <v>404</v>
      </c>
      <c r="P262" s="458">
        <v>14984</v>
      </c>
      <c r="Q262" s="459">
        <v>1714</v>
      </c>
      <c r="R262" s="297">
        <v>40963</v>
      </c>
    </row>
    <row r="263" spans="1:18" ht="9" customHeight="1">
      <c r="A263" s="755"/>
      <c r="B263" s="755"/>
      <c r="C263" s="759"/>
      <c r="D263" s="755"/>
      <c r="E263" s="758"/>
      <c r="F263" s="758"/>
      <c r="G263" s="506" t="s">
        <v>156</v>
      </c>
      <c r="H263" s="487" t="s">
        <v>129</v>
      </c>
      <c r="I263" s="487" t="s">
        <v>79</v>
      </c>
      <c r="J263" s="487" t="s">
        <v>130</v>
      </c>
      <c r="K263" s="488">
        <v>40893</v>
      </c>
      <c r="L263" s="487" t="s">
        <v>13</v>
      </c>
      <c r="M263" s="254">
        <v>2</v>
      </c>
      <c r="N263" s="214">
        <v>1807</v>
      </c>
      <c r="O263" s="217">
        <v>178</v>
      </c>
      <c r="P263" s="214">
        <v>9740</v>
      </c>
      <c r="Q263" s="217">
        <v>753</v>
      </c>
      <c r="R263" s="297">
        <v>40907</v>
      </c>
    </row>
    <row r="264" spans="1:18" ht="9" customHeight="1">
      <c r="A264" s="755"/>
      <c r="B264" s="755"/>
      <c r="C264" s="755"/>
      <c r="D264" s="755"/>
      <c r="E264" s="756"/>
      <c r="F264" s="758"/>
      <c r="G264" s="487" t="s">
        <v>156</v>
      </c>
      <c r="H264" s="487" t="s">
        <v>129</v>
      </c>
      <c r="I264" s="487" t="s">
        <v>79</v>
      </c>
      <c r="J264" s="487" t="s">
        <v>130</v>
      </c>
      <c r="K264" s="488">
        <v>40893</v>
      </c>
      <c r="L264" s="487" t="s">
        <v>13</v>
      </c>
      <c r="M264" s="254">
        <v>2</v>
      </c>
      <c r="N264" s="214">
        <v>1510</v>
      </c>
      <c r="O264" s="217">
        <v>302</v>
      </c>
      <c r="P264" s="214">
        <v>12964</v>
      </c>
      <c r="Q264" s="217">
        <v>1310</v>
      </c>
      <c r="R264" s="218">
        <v>40956</v>
      </c>
    </row>
    <row r="265" spans="1:18" ht="9" customHeight="1">
      <c r="A265" s="755"/>
      <c r="B265" s="755"/>
      <c r="C265" s="755"/>
      <c r="D265" s="755"/>
      <c r="E265" s="756"/>
      <c r="F265" s="758"/>
      <c r="G265" s="487" t="s">
        <v>156</v>
      </c>
      <c r="H265" s="487" t="s">
        <v>129</v>
      </c>
      <c r="I265" s="487" t="s">
        <v>79</v>
      </c>
      <c r="J265" s="487" t="s">
        <v>130</v>
      </c>
      <c r="K265" s="488">
        <v>40893</v>
      </c>
      <c r="L265" s="487" t="s">
        <v>13</v>
      </c>
      <c r="M265" s="254">
        <v>2</v>
      </c>
      <c r="N265" s="214">
        <v>957</v>
      </c>
      <c r="O265" s="217">
        <v>111</v>
      </c>
      <c r="P265" s="214">
        <v>11454</v>
      </c>
      <c r="Q265" s="307">
        <v>1008</v>
      </c>
      <c r="R265" s="218">
        <v>40949</v>
      </c>
    </row>
    <row r="266" spans="1:18" ht="9" customHeight="1">
      <c r="A266" s="755"/>
      <c r="B266" s="755"/>
      <c r="C266" s="755"/>
      <c r="D266" s="755"/>
      <c r="E266" s="756"/>
      <c r="F266" s="758"/>
      <c r="G266" s="506" t="s">
        <v>156</v>
      </c>
      <c r="H266" s="487" t="s">
        <v>129</v>
      </c>
      <c r="I266" s="487" t="s">
        <v>79</v>
      </c>
      <c r="J266" s="487" t="s">
        <v>130</v>
      </c>
      <c r="K266" s="488">
        <v>40893</v>
      </c>
      <c r="L266" s="487" t="s">
        <v>13</v>
      </c>
      <c r="M266" s="254">
        <v>2</v>
      </c>
      <c r="N266" s="497">
        <v>757</v>
      </c>
      <c r="O266" s="498">
        <v>72</v>
      </c>
      <c r="P266" s="497">
        <v>10497</v>
      </c>
      <c r="Q266" s="298">
        <v>825</v>
      </c>
      <c r="R266" s="218">
        <v>40914</v>
      </c>
    </row>
    <row r="267" spans="1:18" ht="9" customHeight="1">
      <c r="A267" s="755"/>
      <c r="B267" s="755"/>
      <c r="C267" s="759"/>
      <c r="D267" s="755"/>
      <c r="E267" s="758"/>
      <c r="F267" s="758"/>
      <c r="G267" s="504" t="s">
        <v>249</v>
      </c>
      <c r="H267" s="487" t="s">
        <v>250</v>
      </c>
      <c r="I267" s="487" t="s">
        <v>79</v>
      </c>
      <c r="J267" s="487" t="s">
        <v>243</v>
      </c>
      <c r="K267" s="503">
        <v>40718</v>
      </c>
      <c r="L267" s="487" t="s">
        <v>13</v>
      </c>
      <c r="M267" s="505">
        <v>5</v>
      </c>
      <c r="N267" s="214">
        <v>1188</v>
      </c>
      <c r="O267" s="217">
        <v>237</v>
      </c>
      <c r="P267" s="214">
        <v>30216.25</v>
      </c>
      <c r="Q267" s="217">
        <v>3201</v>
      </c>
      <c r="R267" s="297">
        <v>40907</v>
      </c>
    </row>
    <row r="268" spans="1:18" ht="9" customHeight="1">
      <c r="A268" s="759"/>
      <c r="B268" s="759"/>
      <c r="C268" s="759"/>
      <c r="D268" s="759"/>
      <c r="E268" s="758"/>
      <c r="F268" s="757" t="s">
        <v>54</v>
      </c>
      <c r="G268" s="504" t="s">
        <v>106</v>
      </c>
      <c r="H268" s="492" t="s">
        <v>114</v>
      </c>
      <c r="I268" s="492"/>
      <c r="J268" s="492" t="s">
        <v>106</v>
      </c>
      <c r="K268" s="488">
        <v>40879</v>
      </c>
      <c r="L268" s="487" t="s">
        <v>8</v>
      </c>
      <c r="M268" s="254">
        <v>39</v>
      </c>
      <c r="N268" s="458">
        <v>6888</v>
      </c>
      <c r="O268" s="459">
        <v>1032</v>
      </c>
      <c r="P268" s="458">
        <v>207860</v>
      </c>
      <c r="Q268" s="459">
        <v>22859</v>
      </c>
      <c r="R268" s="297">
        <v>40907</v>
      </c>
    </row>
    <row r="269" spans="1:18" ht="9" customHeight="1">
      <c r="A269" s="755"/>
      <c r="B269" s="755"/>
      <c r="C269" s="755"/>
      <c r="D269" s="755"/>
      <c r="E269" s="756"/>
      <c r="F269" s="757" t="s">
        <v>54</v>
      </c>
      <c r="G269" s="504" t="s">
        <v>106</v>
      </c>
      <c r="H269" s="492" t="s">
        <v>114</v>
      </c>
      <c r="I269" s="492"/>
      <c r="J269" s="492" t="s">
        <v>106</v>
      </c>
      <c r="K269" s="488">
        <v>40879</v>
      </c>
      <c r="L269" s="487" t="s">
        <v>8</v>
      </c>
      <c r="M269" s="254">
        <v>39</v>
      </c>
      <c r="N269" s="458">
        <v>5509</v>
      </c>
      <c r="O269" s="459">
        <v>890</v>
      </c>
      <c r="P269" s="458">
        <v>213369</v>
      </c>
      <c r="Q269" s="296">
        <v>23749</v>
      </c>
      <c r="R269" s="218">
        <v>40914</v>
      </c>
    </row>
    <row r="270" spans="1:18" ht="9" customHeight="1">
      <c r="A270" s="755"/>
      <c r="B270" s="755"/>
      <c r="C270" s="755"/>
      <c r="D270" s="755"/>
      <c r="E270" s="756"/>
      <c r="F270" s="757" t="s">
        <v>54</v>
      </c>
      <c r="G270" s="504" t="s">
        <v>106</v>
      </c>
      <c r="H270" s="492" t="s">
        <v>114</v>
      </c>
      <c r="I270" s="492"/>
      <c r="J270" s="492" t="s">
        <v>106</v>
      </c>
      <c r="K270" s="488">
        <v>40879</v>
      </c>
      <c r="L270" s="487" t="s">
        <v>8</v>
      </c>
      <c r="M270" s="254">
        <v>39</v>
      </c>
      <c r="N270" s="458">
        <v>5216</v>
      </c>
      <c r="O270" s="459">
        <v>689</v>
      </c>
      <c r="P270" s="458">
        <v>223515</v>
      </c>
      <c r="Q270" s="459">
        <v>25285</v>
      </c>
      <c r="R270" s="218">
        <v>40928</v>
      </c>
    </row>
    <row r="271" spans="1:18" ht="9" customHeight="1">
      <c r="A271" s="755"/>
      <c r="B271" s="755"/>
      <c r="C271" s="755"/>
      <c r="D271" s="755"/>
      <c r="E271" s="756"/>
      <c r="F271" s="757" t="s">
        <v>54</v>
      </c>
      <c r="G271" s="504" t="s">
        <v>106</v>
      </c>
      <c r="H271" s="492" t="s">
        <v>114</v>
      </c>
      <c r="I271" s="492"/>
      <c r="J271" s="492" t="s">
        <v>106</v>
      </c>
      <c r="K271" s="488">
        <v>40879</v>
      </c>
      <c r="L271" s="487" t="s">
        <v>8</v>
      </c>
      <c r="M271" s="254">
        <v>39</v>
      </c>
      <c r="N271" s="456">
        <v>4931</v>
      </c>
      <c r="O271" s="457">
        <v>847</v>
      </c>
      <c r="P271" s="458">
        <v>216338</v>
      </c>
      <c r="Q271" s="459">
        <v>24246</v>
      </c>
      <c r="R271" s="218">
        <v>40921</v>
      </c>
    </row>
    <row r="272" spans="1:18" ht="9" customHeight="1">
      <c r="A272" s="755"/>
      <c r="B272" s="755"/>
      <c r="C272" s="755"/>
      <c r="D272" s="755"/>
      <c r="E272" s="756"/>
      <c r="F272" s="757" t="s">
        <v>54</v>
      </c>
      <c r="G272" s="504" t="s">
        <v>106</v>
      </c>
      <c r="H272" s="492" t="s">
        <v>114</v>
      </c>
      <c r="I272" s="492"/>
      <c r="J272" s="492" t="s">
        <v>106</v>
      </c>
      <c r="K272" s="488">
        <v>40879</v>
      </c>
      <c r="L272" s="487" t="s">
        <v>8</v>
      </c>
      <c r="M272" s="254">
        <v>39</v>
      </c>
      <c r="N272" s="456">
        <v>520</v>
      </c>
      <c r="O272" s="457">
        <v>88</v>
      </c>
      <c r="P272" s="456">
        <v>224035</v>
      </c>
      <c r="Q272" s="457">
        <v>25373</v>
      </c>
      <c r="R272" s="218">
        <v>40935</v>
      </c>
    </row>
    <row r="273" spans="1:18" ht="9" customHeight="1">
      <c r="A273" s="755"/>
      <c r="B273" s="755"/>
      <c r="C273" s="755"/>
      <c r="D273" s="755"/>
      <c r="E273" s="756"/>
      <c r="F273" s="757" t="s">
        <v>54</v>
      </c>
      <c r="G273" s="504" t="s">
        <v>106</v>
      </c>
      <c r="H273" s="492" t="s">
        <v>114</v>
      </c>
      <c r="I273" s="492"/>
      <c r="J273" s="492" t="s">
        <v>106</v>
      </c>
      <c r="K273" s="488">
        <v>40879</v>
      </c>
      <c r="L273" s="487" t="s">
        <v>8</v>
      </c>
      <c r="M273" s="254">
        <v>39</v>
      </c>
      <c r="N273" s="458">
        <v>378</v>
      </c>
      <c r="O273" s="459">
        <v>67</v>
      </c>
      <c r="P273" s="458">
        <v>224413</v>
      </c>
      <c r="Q273" s="459">
        <v>25440</v>
      </c>
      <c r="R273" s="218">
        <v>40942</v>
      </c>
    </row>
    <row r="274" spans="1:18" ht="9" customHeight="1">
      <c r="A274" s="755"/>
      <c r="B274" s="755"/>
      <c r="C274" s="755"/>
      <c r="D274" s="755"/>
      <c r="E274" s="756"/>
      <c r="F274" s="757" t="s">
        <v>54</v>
      </c>
      <c r="G274" s="492" t="s">
        <v>106</v>
      </c>
      <c r="H274" s="492" t="s">
        <v>114</v>
      </c>
      <c r="I274" s="492"/>
      <c r="J274" s="492" t="s">
        <v>106</v>
      </c>
      <c r="K274" s="488">
        <v>40879</v>
      </c>
      <c r="L274" s="487" t="s">
        <v>8</v>
      </c>
      <c r="M274" s="254">
        <v>39</v>
      </c>
      <c r="N274" s="458">
        <v>300</v>
      </c>
      <c r="O274" s="459">
        <v>53</v>
      </c>
      <c r="P274" s="458">
        <v>224713</v>
      </c>
      <c r="Q274" s="296">
        <v>25493</v>
      </c>
      <c r="R274" s="218">
        <v>40949</v>
      </c>
    </row>
    <row r="275" spans="1:18" ht="9" customHeight="1">
      <c r="A275" s="766"/>
      <c r="B275" s="766"/>
      <c r="C275" s="755"/>
      <c r="D275" s="766"/>
      <c r="E275" s="756"/>
      <c r="F275" s="758"/>
      <c r="G275" s="506" t="s">
        <v>374</v>
      </c>
      <c r="H275" s="492" t="s">
        <v>376</v>
      </c>
      <c r="I275" s="487" t="s">
        <v>260</v>
      </c>
      <c r="J275" s="487" t="s">
        <v>375</v>
      </c>
      <c r="K275" s="488">
        <v>40921</v>
      </c>
      <c r="L275" s="487" t="s">
        <v>332</v>
      </c>
      <c r="M275" s="254">
        <v>16</v>
      </c>
      <c r="N275" s="214">
        <v>63901</v>
      </c>
      <c r="O275" s="217">
        <v>5127</v>
      </c>
      <c r="P275" s="214">
        <v>38005.5</v>
      </c>
      <c r="Q275" s="217">
        <v>2857</v>
      </c>
      <c r="R275" s="218">
        <v>40921</v>
      </c>
    </row>
    <row r="276" spans="1:18" ht="9" customHeight="1">
      <c r="A276" s="755"/>
      <c r="B276" s="759"/>
      <c r="C276" s="755"/>
      <c r="D276" s="755"/>
      <c r="E276" s="756"/>
      <c r="F276" s="756"/>
      <c r="G276" s="491" t="s">
        <v>625</v>
      </c>
      <c r="H276" s="491" t="s">
        <v>636</v>
      </c>
      <c r="I276" s="493" t="s">
        <v>128</v>
      </c>
      <c r="J276" s="491" t="s">
        <v>638</v>
      </c>
      <c r="K276" s="488">
        <v>40893</v>
      </c>
      <c r="L276" s="487" t="s">
        <v>68</v>
      </c>
      <c r="M276" s="254">
        <v>1</v>
      </c>
      <c r="N276" s="458">
        <v>3207.5</v>
      </c>
      <c r="O276" s="459">
        <v>642</v>
      </c>
      <c r="P276" s="458">
        <f>1021.5+726.5+3207.5</f>
        <v>4955.5</v>
      </c>
      <c r="Q276" s="296">
        <f>71+52+642</f>
        <v>765</v>
      </c>
      <c r="R276" s="218">
        <v>40949</v>
      </c>
    </row>
    <row r="277" spans="1:18" ht="9" customHeight="1">
      <c r="A277" s="755"/>
      <c r="B277" s="759"/>
      <c r="C277" s="755"/>
      <c r="D277" s="755"/>
      <c r="E277" s="756"/>
      <c r="F277" s="756"/>
      <c r="G277" s="491" t="s">
        <v>625</v>
      </c>
      <c r="H277" s="491" t="s">
        <v>636</v>
      </c>
      <c r="I277" s="493" t="s">
        <v>128</v>
      </c>
      <c r="J277" s="491" t="s">
        <v>638</v>
      </c>
      <c r="K277" s="488">
        <v>40893</v>
      </c>
      <c r="L277" s="487" t="s">
        <v>68</v>
      </c>
      <c r="M277" s="254">
        <v>1</v>
      </c>
      <c r="N277" s="458">
        <v>938</v>
      </c>
      <c r="O277" s="459">
        <v>93</v>
      </c>
      <c r="P277" s="458">
        <f>1021.5+726.5+3207.5+938</f>
        <v>5893.5</v>
      </c>
      <c r="Q277" s="459">
        <f>71+52+642+93</f>
        <v>858</v>
      </c>
      <c r="R277" s="297">
        <v>40963</v>
      </c>
    </row>
    <row r="278" spans="1:18" ht="9" customHeight="1">
      <c r="A278" s="759"/>
      <c r="B278" s="759"/>
      <c r="C278" s="774">
        <v>2</v>
      </c>
      <c r="D278" s="771" t="s">
        <v>292</v>
      </c>
      <c r="E278" s="758"/>
      <c r="F278" s="758"/>
      <c r="G278" s="494" t="s">
        <v>222</v>
      </c>
      <c r="H278" s="492" t="s">
        <v>213</v>
      </c>
      <c r="I278" s="510" t="s">
        <v>94</v>
      </c>
      <c r="J278" s="491" t="s">
        <v>222</v>
      </c>
      <c r="K278" s="503">
        <v>40900</v>
      </c>
      <c r="L278" s="487" t="s">
        <v>12</v>
      </c>
      <c r="M278" s="254">
        <v>184</v>
      </c>
      <c r="N278" s="214">
        <v>1211019</v>
      </c>
      <c r="O278" s="217">
        <v>123420</v>
      </c>
      <c r="P278" s="214">
        <v>3864182</v>
      </c>
      <c r="Q278" s="307">
        <v>381786</v>
      </c>
      <c r="R278" s="297">
        <v>40907</v>
      </c>
    </row>
    <row r="279" spans="1:18" ht="9" customHeight="1">
      <c r="A279" s="755"/>
      <c r="B279" s="755"/>
      <c r="C279" s="774">
        <v>2</v>
      </c>
      <c r="D279" s="771" t="s">
        <v>292</v>
      </c>
      <c r="E279" s="756"/>
      <c r="F279" s="756"/>
      <c r="G279" s="494" t="s">
        <v>222</v>
      </c>
      <c r="H279" s="492" t="s">
        <v>213</v>
      </c>
      <c r="I279" s="510" t="s">
        <v>94</v>
      </c>
      <c r="J279" s="491" t="s">
        <v>222</v>
      </c>
      <c r="K279" s="503">
        <v>40900</v>
      </c>
      <c r="L279" s="487" t="s">
        <v>12</v>
      </c>
      <c r="M279" s="254">
        <v>184</v>
      </c>
      <c r="N279" s="497">
        <v>924297</v>
      </c>
      <c r="O279" s="498">
        <v>89902</v>
      </c>
      <c r="P279" s="497">
        <v>4788479</v>
      </c>
      <c r="Q279" s="298">
        <v>471688</v>
      </c>
      <c r="R279" s="218">
        <v>40914</v>
      </c>
    </row>
    <row r="280" spans="1:18" ht="9" customHeight="1">
      <c r="A280" s="755"/>
      <c r="B280" s="755"/>
      <c r="C280" s="774">
        <v>2</v>
      </c>
      <c r="D280" s="771" t="s">
        <v>292</v>
      </c>
      <c r="E280" s="756"/>
      <c r="F280" s="756"/>
      <c r="G280" s="494" t="s">
        <v>222</v>
      </c>
      <c r="H280" s="492" t="s">
        <v>213</v>
      </c>
      <c r="I280" s="510" t="s">
        <v>94</v>
      </c>
      <c r="J280" s="491" t="s">
        <v>222</v>
      </c>
      <c r="K280" s="503">
        <v>40900</v>
      </c>
      <c r="L280" s="487" t="s">
        <v>12</v>
      </c>
      <c r="M280" s="254">
        <v>184</v>
      </c>
      <c r="N280" s="214">
        <v>703674</v>
      </c>
      <c r="O280" s="217">
        <v>71922</v>
      </c>
      <c r="P280" s="214">
        <v>5494639</v>
      </c>
      <c r="Q280" s="307">
        <v>543827</v>
      </c>
      <c r="R280" s="218">
        <v>40921</v>
      </c>
    </row>
    <row r="281" spans="1:18" ht="9" customHeight="1">
      <c r="A281" s="755"/>
      <c r="B281" s="755"/>
      <c r="C281" s="774">
        <v>2</v>
      </c>
      <c r="D281" s="771" t="s">
        <v>292</v>
      </c>
      <c r="E281" s="756"/>
      <c r="F281" s="756"/>
      <c r="G281" s="494" t="s">
        <v>222</v>
      </c>
      <c r="H281" s="492" t="s">
        <v>213</v>
      </c>
      <c r="I281" s="510" t="s">
        <v>94</v>
      </c>
      <c r="J281" s="491" t="s">
        <v>222</v>
      </c>
      <c r="K281" s="503">
        <v>40900</v>
      </c>
      <c r="L281" s="487" t="s">
        <v>12</v>
      </c>
      <c r="M281" s="254">
        <v>184</v>
      </c>
      <c r="N281" s="214">
        <v>600850</v>
      </c>
      <c r="O281" s="217">
        <v>60840</v>
      </c>
      <c r="P281" s="214">
        <v>6097023</v>
      </c>
      <c r="Q281" s="217">
        <v>604730</v>
      </c>
      <c r="R281" s="218">
        <v>40928</v>
      </c>
    </row>
    <row r="282" spans="1:18" ht="9" customHeight="1">
      <c r="A282" s="755"/>
      <c r="B282" s="755"/>
      <c r="C282" s="774">
        <v>2</v>
      </c>
      <c r="D282" s="771" t="s">
        <v>292</v>
      </c>
      <c r="E282" s="756"/>
      <c r="F282" s="756"/>
      <c r="G282" s="494" t="s">
        <v>222</v>
      </c>
      <c r="H282" s="492" t="s">
        <v>213</v>
      </c>
      <c r="I282" s="510" t="s">
        <v>94</v>
      </c>
      <c r="J282" s="491" t="s">
        <v>222</v>
      </c>
      <c r="K282" s="503">
        <v>40900</v>
      </c>
      <c r="L282" s="487" t="s">
        <v>12</v>
      </c>
      <c r="M282" s="254">
        <v>184</v>
      </c>
      <c r="N282" s="214">
        <v>149633</v>
      </c>
      <c r="O282" s="217">
        <v>15087</v>
      </c>
      <c r="P282" s="214">
        <v>6257425</v>
      </c>
      <c r="Q282" s="217">
        <v>621347</v>
      </c>
      <c r="R282" s="218">
        <v>40935</v>
      </c>
    </row>
    <row r="283" spans="1:18" ht="9" customHeight="1">
      <c r="A283" s="755"/>
      <c r="B283" s="755"/>
      <c r="C283" s="774">
        <v>2</v>
      </c>
      <c r="D283" s="771" t="s">
        <v>292</v>
      </c>
      <c r="E283" s="756"/>
      <c r="F283" s="756"/>
      <c r="G283" s="494" t="s">
        <v>222</v>
      </c>
      <c r="H283" s="492" t="s">
        <v>213</v>
      </c>
      <c r="I283" s="510" t="s">
        <v>94</v>
      </c>
      <c r="J283" s="491" t="s">
        <v>222</v>
      </c>
      <c r="K283" s="503">
        <v>40900</v>
      </c>
      <c r="L283" s="487" t="s">
        <v>12</v>
      </c>
      <c r="M283" s="254">
        <v>184</v>
      </c>
      <c r="N283" s="214">
        <v>31972</v>
      </c>
      <c r="O283" s="217">
        <v>3234</v>
      </c>
      <c r="P283" s="214">
        <v>6365428</v>
      </c>
      <c r="Q283" s="217">
        <v>635504</v>
      </c>
      <c r="R283" s="218">
        <v>40942</v>
      </c>
    </row>
    <row r="284" spans="1:18" ht="9" customHeight="1">
      <c r="A284" s="755"/>
      <c r="B284" s="755"/>
      <c r="C284" s="774">
        <v>2</v>
      </c>
      <c r="D284" s="771" t="s">
        <v>292</v>
      </c>
      <c r="E284" s="756"/>
      <c r="F284" s="756"/>
      <c r="G284" s="491" t="s">
        <v>222</v>
      </c>
      <c r="H284" s="492" t="s">
        <v>213</v>
      </c>
      <c r="I284" s="510" t="s">
        <v>94</v>
      </c>
      <c r="J284" s="491" t="s">
        <v>222</v>
      </c>
      <c r="K284" s="503">
        <v>40900</v>
      </c>
      <c r="L284" s="487" t="s">
        <v>12</v>
      </c>
      <c r="M284" s="254">
        <v>184</v>
      </c>
      <c r="N284" s="214">
        <v>9359</v>
      </c>
      <c r="O284" s="217">
        <v>1136</v>
      </c>
      <c r="P284" s="214">
        <v>6374787</v>
      </c>
      <c r="Q284" s="307">
        <v>636640</v>
      </c>
      <c r="R284" s="218">
        <v>40949</v>
      </c>
    </row>
    <row r="285" spans="1:18" ht="9" customHeight="1">
      <c r="A285" s="755"/>
      <c r="B285" s="755"/>
      <c r="C285" s="774">
        <v>2</v>
      </c>
      <c r="D285" s="771" t="s">
        <v>292</v>
      </c>
      <c r="E285" s="756"/>
      <c r="F285" s="756"/>
      <c r="G285" s="491" t="s">
        <v>222</v>
      </c>
      <c r="H285" s="492" t="s">
        <v>213</v>
      </c>
      <c r="I285" s="510" t="s">
        <v>94</v>
      </c>
      <c r="J285" s="491" t="s">
        <v>222</v>
      </c>
      <c r="K285" s="503">
        <v>40900</v>
      </c>
      <c r="L285" s="487" t="s">
        <v>12</v>
      </c>
      <c r="M285" s="254">
        <v>184</v>
      </c>
      <c r="N285" s="458">
        <v>3907</v>
      </c>
      <c r="O285" s="459">
        <v>969</v>
      </c>
      <c r="P285" s="458">
        <v>6380292</v>
      </c>
      <c r="Q285" s="459">
        <v>637856</v>
      </c>
      <c r="R285" s="297">
        <v>40963</v>
      </c>
    </row>
    <row r="286" spans="1:18" ht="9" customHeight="1">
      <c r="A286" s="755"/>
      <c r="B286" s="755"/>
      <c r="C286" s="774">
        <v>2</v>
      </c>
      <c r="D286" s="771" t="s">
        <v>292</v>
      </c>
      <c r="E286" s="756"/>
      <c r="F286" s="756"/>
      <c r="G286" s="491" t="s">
        <v>222</v>
      </c>
      <c r="H286" s="492" t="s">
        <v>213</v>
      </c>
      <c r="I286" s="510" t="s">
        <v>94</v>
      </c>
      <c r="J286" s="491" t="s">
        <v>222</v>
      </c>
      <c r="K286" s="503">
        <v>40900</v>
      </c>
      <c r="L286" s="487" t="s">
        <v>12</v>
      </c>
      <c r="M286" s="254">
        <v>184</v>
      </c>
      <c r="N286" s="214">
        <v>1591</v>
      </c>
      <c r="O286" s="217">
        <v>246</v>
      </c>
      <c r="P286" s="214">
        <v>6376385</v>
      </c>
      <c r="Q286" s="307">
        <v>636887</v>
      </c>
      <c r="R286" s="218">
        <v>40956</v>
      </c>
    </row>
    <row r="287" spans="1:18" ht="9" customHeight="1">
      <c r="A287" s="760"/>
      <c r="B287" s="760"/>
      <c r="C287" s="774">
        <v>2</v>
      </c>
      <c r="D287" s="773" t="s">
        <v>292</v>
      </c>
      <c r="E287" s="761"/>
      <c r="F287" s="761"/>
      <c r="G287" s="63" t="s">
        <v>222</v>
      </c>
      <c r="H287" s="61" t="s">
        <v>213</v>
      </c>
      <c r="I287" s="62" t="s">
        <v>94</v>
      </c>
      <c r="J287" s="63" t="s">
        <v>222</v>
      </c>
      <c r="K287" s="221">
        <v>40900</v>
      </c>
      <c r="L287" s="64" t="s">
        <v>12</v>
      </c>
      <c r="M287" s="258">
        <v>184</v>
      </c>
      <c r="N287" s="261">
        <v>1270</v>
      </c>
      <c r="O287" s="262">
        <v>203</v>
      </c>
      <c r="P287" s="261">
        <v>6381697</v>
      </c>
      <c r="Q287" s="264">
        <v>638076</v>
      </c>
      <c r="R287" s="297">
        <v>40977</v>
      </c>
    </row>
    <row r="288" spans="1:18" ht="9" customHeight="1">
      <c r="A288" s="760"/>
      <c r="B288" s="760"/>
      <c r="C288" s="774">
        <v>2</v>
      </c>
      <c r="D288" s="773" t="s">
        <v>292</v>
      </c>
      <c r="E288" s="761"/>
      <c r="F288" s="761"/>
      <c r="G288" s="528" t="s">
        <v>222</v>
      </c>
      <c r="H288" s="258" t="s">
        <v>213</v>
      </c>
      <c r="I288" s="529" t="s">
        <v>94</v>
      </c>
      <c r="J288" s="528" t="s">
        <v>222</v>
      </c>
      <c r="K288" s="503">
        <v>40900</v>
      </c>
      <c r="L288" s="526" t="s">
        <v>12</v>
      </c>
      <c r="M288" s="254">
        <v>184</v>
      </c>
      <c r="N288" s="261">
        <v>135</v>
      </c>
      <c r="O288" s="262">
        <v>17</v>
      </c>
      <c r="P288" s="263">
        <v>6380427</v>
      </c>
      <c r="Q288" s="264">
        <v>637873</v>
      </c>
      <c r="R288" s="297">
        <v>40970</v>
      </c>
    </row>
    <row r="289" spans="1:18" ht="9" customHeight="1">
      <c r="A289" s="759"/>
      <c r="B289" s="759"/>
      <c r="C289" s="759"/>
      <c r="D289" s="759"/>
      <c r="E289" s="780"/>
      <c r="F289" s="776"/>
      <c r="G289" s="506" t="s">
        <v>117</v>
      </c>
      <c r="H289" s="492" t="s">
        <v>118</v>
      </c>
      <c r="I289" s="487" t="s">
        <v>95</v>
      </c>
      <c r="J289" s="487" t="s">
        <v>119</v>
      </c>
      <c r="K289" s="519">
        <v>40886</v>
      </c>
      <c r="L289" s="487" t="s">
        <v>10</v>
      </c>
      <c r="M289" s="254">
        <v>25</v>
      </c>
      <c r="N289" s="458">
        <v>7798</v>
      </c>
      <c r="O289" s="459">
        <v>1075</v>
      </c>
      <c r="P289" s="458">
        <v>410245</v>
      </c>
      <c r="Q289" s="459">
        <v>32354</v>
      </c>
      <c r="R289" s="297">
        <v>40907</v>
      </c>
    </row>
    <row r="290" spans="1:18" ht="9" customHeight="1">
      <c r="A290" s="755"/>
      <c r="B290" s="755"/>
      <c r="C290" s="755"/>
      <c r="D290" s="755"/>
      <c r="E290" s="778"/>
      <c r="F290" s="775"/>
      <c r="G290" s="506" t="s">
        <v>117</v>
      </c>
      <c r="H290" s="492" t="s">
        <v>118</v>
      </c>
      <c r="I290" s="487" t="s">
        <v>95</v>
      </c>
      <c r="J290" s="487" t="s">
        <v>119</v>
      </c>
      <c r="K290" s="519">
        <v>40886</v>
      </c>
      <c r="L290" s="487" t="s">
        <v>10</v>
      </c>
      <c r="M290" s="254">
        <v>25</v>
      </c>
      <c r="N290" s="458">
        <v>6602</v>
      </c>
      <c r="O290" s="459">
        <v>811</v>
      </c>
      <c r="P290" s="458">
        <v>422285</v>
      </c>
      <c r="Q290" s="459">
        <v>34230</v>
      </c>
      <c r="R290" s="218">
        <v>40928</v>
      </c>
    </row>
    <row r="291" spans="1:18" ht="9" customHeight="1">
      <c r="A291" s="755"/>
      <c r="B291" s="755"/>
      <c r="C291" s="755"/>
      <c r="D291" s="755"/>
      <c r="E291" s="778"/>
      <c r="F291" s="775"/>
      <c r="G291" s="506" t="s">
        <v>117</v>
      </c>
      <c r="H291" s="492" t="s">
        <v>118</v>
      </c>
      <c r="I291" s="487" t="s">
        <v>95</v>
      </c>
      <c r="J291" s="487" t="s">
        <v>119</v>
      </c>
      <c r="K291" s="519">
        <v>40886</v>
      </c>
      <c r="L291" s="487" t="s">
        <v>10</v>
      </c>
      <c r="M291" s="254">
        <v>25</v>
      </c>
      <c r="N291" s="458">
        <v>3058</v>
      </c>
      <c r="O291" s="459">
        <v>780</v>
      </c>
      <c r="P291" s="458">
        <f>410245+3058</f>
        <v>413303</v>
      </c>
      <c r="Q291" s="296">
        <f>32354+780</f>
        <v>33134</v>
      </c>
      <c r="R291" s="218">
        <v>40914</v>
      </c>
    </row>
    <row r="292" spans="1:18" ht="9" customHeight="1">
      <c r="A292" s="755"/>
      <c r="B292" s="755"/>
      <c r="C292" s="755"/>
      <c r="D292" s="755"/>
      <c r="E292" s="778"/>
      <c r="F292" s="775"/>
      <c r="G292" s="487" t="s">
        <v>117</v>
      </c>
      <c r="H292" s="492" t="s">
        <v>118</v>
      </c>
      <c r="I292" s="487" t="s">
        <v>95</v>
      </c>
      <c r="J292" s="487" t="s">
        <v>119</v>
      </c>
      <c r="K292" s="519">
        <v>40886</v>
      </c>
      <c r="L292" s="487" t="s">
        <v>10</v>
      </c>
      <c r="M292" s="254">
        <v>25</v>
      </c>
      <c r="N292" s="458">
        <v>2795</v>
      </c>
      <c r="O292" s="459">
        <v>311</v>
      </c>
      <c r="P292" s="458">
        <v>426547</v>
      </c>
      <c r="Q292" s="296">
        <v>34707</v>
      </c>
      <c r="R292" s="218">
        <v>40949</v>
      </c>
    </row>
    <row r="293" spans="1:18" ht="9" customHeight="1">
      <c r="A293" s="755"/>
      <c r="B293" s="755"/>
      <c r="C293" s="755"/>
      <c r="D293" s="755"/>
      <c r="E293" s="778"/>
      <c r="F293" s="775"/>
      <c r="G293" s="506" t="s">
        <v>117</v>
      </c>
      <c r="H293" s="492" t="s">
        <v>118</v>
      </c>
      <c r="I293" s="487" t="s">
        <v>95</v>
      </c>
      <c r="J293" s="487" t="s">
        <v>119</v>
      </c>
      <c r="K293" s="519">
        <v>40886</v>
      </c>
      <c r="L293" s="487" t="s">
        <v>10</v>
      </c>
      <c r="M293" s="254">
        <v>25</v>
      </c>
      <c r="N293" s="458">
        <v>2380</v>
      </c>
      <c r="O293" s="459">
        <v>285</v>
      </c>
      <c r="P293" s="458">
        <v>415683</v>
      </c>
      <c r="Q293" s="459">
        <v>33419</v>
      </c>
      <c r="R293" s="218">
        <v>40921</v>
      </c>
    </row>
    <row r="294" spans="1:18" ht="9" customHeight="1">
      <c r="A294" s="755"/>
      <c r="B294" s="755"/>
      <c r="C294" s="755"/>
      <c r="D294" s="755"/>
      <c r="E294" s="778"/>
      <c r="F294" s="775"/>
      <c r="G294" s="506" t="s">
        <v>117</v>
      </c>
      <c r="H294" s="492" t="s">
        <v>118</v>
      </c>
      <c r="I294" s="487" t="s">
        <v>95</v>
      </c>
      <c r="J294" s="487" t="s">
        <v>119</v>
      </c>
      <c r="K294" s="519">
        <v>40886</v>
      </c>
      <c r="L294" s="487" t="s">
        <v>10</v>
      </c>
      <c r="M294" s="254">
        <v>25</v>
      </c>
      <c r="N294" s="458">
        <v>1467</v>
      </c>
      <c r="O294" s="459">
        <v>166</v>
      </c>
      <c r="P294" s="458">
        <v>423752</v>
      </c>
      <c r="Q294" s="459">
        <v>34396</v>
      </c>
      <c r="R294" s="218">
        <v>40942</v>
      </c>
    </row>
    <row r="295" spans="1:18" ht="9" customHeight="1">
      <c r="A295" s="755"/>
      <c r="B295" s="755"/>
      <c r="C295" s="755"/>
      <c r="D295" s="755"/>
      <c r="E295" s="778"/>
      <c r="F295" s="775"/>
      <c r="G295" s="487" t="s">
        <v>117</v>
      </c>
      <c r="H295" s="492" t="s">
        <v>118</v>
      </c>
      <c r="I295" s="487" t="s">
        <v>95</v>
      </c>
      <c r="J295" s="487" t="s">
        <v>119</v>
      </c>
      <c r="K295" s="519">
        <v>40886</v>
      </c>
      <c r="L295" s="487" t="s">
        <v>10</v>
      </c>
      <c r="M295" s="254">
        <v>25</v>
      </c>
      <c r="N295" s="458">
        <v>1188</v>
      </c>
      <c r="O295" s="459">
        <v>297</v>
      </c>
      <c r="P295" s="458">
        <v>427735</v>
      </c>
      <c r="Q295" s="459">
        <v>35004</v>
      </c>
      <c r="R295" s="218">
        <v>40956</v>
      </c>
    </row>
    <row r="296" spans="1:18" ht="9" customHeight="1">
      <c r="A296" s="755"/>
      <c r="B296" s="755"/>
      <c r="C296" s="755"/>
      <c r="D296" s="755"/>
      <c r="E296" s="778"/>
      <c r="F296" s="775"/>
      <c r="G296" s="487" t="s">
        <v>117</v>
      </c>
      <c r="H296" s="492" t="s">
        <v>118</v>
      </c>
      <c r="I296" s="487" t="s">
        <v>95</v>
      </c>
      <c r="J296" s="487" t="s">
        <v>119</v>
      </c>
      <c r="K296" s="519">
        <v>40886</v>
      </c>
      <c r="L296" s="487" t="s">
        <v>10</v>
      </c>
      <c r="M296" s="254">
        <v>25</v>
      </c>
      <c r="N296" s="458">
        <v>700</v>
      </c>
      <c r="O296" s="459">
        <v>100</v>
      </c>
      <c r="P296" s="458">
        <v>428435</v>
      </c>
      <c r="Q296" s="459">
        <v>35104</v>
      </c>
      <c r="R296" s="297">
        <v>40963</v>
      </c>
    </row>
    <row r="297" spans="1:18" ht="9" customHeight="1">
      <c r="A297" s="769" t="s">
        <v>223</v>
      </c>
      <c r="B297" s="755"/>
      <c r="C297" s="766"/>
      <c r="D297" s="755"/>
      <c r="E297" s="756"/>
      <c r="F297" s="758"/>
      <c r="G297" s="494" t="s">
        <v>444</v>
      </c>
      <c r="H297" s="491" t="s">
        <v>461</v>
      </c>
      <c r="I297" s="491" t="s">
        <v>89</v>
      </c>
      <c r="J297" s="491" t="s">
        <v>452</v>
      </c>
      <c r="K297" s="488">
        <v>40781</v>
      </c>
      <c r="L297" s="487" t="s">
        <v>68</v>
      </c>
      <c r="M297" s="254">
        <v>96</v>
      </c>
      <c r="N297" s="458">
        <v>3564</v>
      </c>
      <c r="O297" s="459">
        <v>892</v>
      </c>
      <c r="P297" s="458">
        <f>29056+844874+618474.25+386880.75+207889+130968.5+129398.5+101615+71628.5+47296.5+22263.5+13505+4171.5+5940+3840+5098.5+8056+3564</f>
        <v>2634519.5</v>
      </c>
      <c r="Q297" s="459">
        <f>4385+80857+63348+40336+22079+15879+16790+12949+9380+7537+4227+2497+926+1486+944+1206+1963+892</f>
        <v>287681</v>
      </c>
      <c r="R297" s="218">
        <v>40928</v>
      </c>
    </row>
    <row r="298" spans="1:18" ht="9" customHeight="1">
      <c r="A298" s="769" t="s">
        <v>223</v>
      </c>
      <c r="B298" s="755"/>
      <c r="C298" s="766"/>
      <c r="D298" s="755"/>
      <c r="E298" s="756"/>
      <c r="F298" s="758"/>
      <c r="G298" s="491" t="s">
        <v>444</v>
      </c>
      <c r="H298" s="491" t="s">
        <v>461</v>
      </c>
      <c r="I298" s="491" t="s">
        <v>89</v>
      </c>
      <c r="J298" s="491" t="s">
        <v>452</v>
      </c>
      <c r="K298" s="488">
        <v>40781</v>
      </c>
      <c r="L298" s="487" t="s">
        <v>68</v>
      </c>
      <c r="M298" s="254">
        <v>96</v>
      </c>
      <c r="N298" s="458">
        <v>392</v>
      </c>
      <c r="O298" s="459">
        <v>26</v>
      </c>
      <c r="P298" s="458">
        <f>29056+844874+618474.25+386880.75+207889+130968.5+129398.5+101615+71628.5+47296.5+22263.5+13505+4171.5+5940+3840+5098.5+8056+3564+392</f>
        <v>2634911.5</v>
      </c>
      <c r="Q298" s="459">
        <f>4385+80857+63348+40336+22079+15879+16790+12949+9380+7537+4227+2497+926+1486+944+1206+1963+892+26</f>
        <v>287707</v>
      </c>
      <c r="R298" s="297">
        <v>40963</v>
      </c>
    </row>
    <row r="299" spans="1:18" ht="9" customHeight="1">
      <c r="A299" s="764"/>
      <c r="B299" s="764"/>
      <c r="C299" s="759"/>
      <c r="D299" s="771" t="s">
        <v>292</v>
      </c>
      <c r="E299" s="758"/>
      <c r="F299" s="757" t="s">
        <v>54</v>
      </c>
      <c r="G299" s="504" t="s">
        <v>110</v>
      </c>
      <c r="H299" s="492" t="s">
        <v>113</v>
      </c>
      <c r="I299" s="492"/>
      <c r="J299" s="492" t="s">
        <v>110</v>
      </c>
      <c r="K299" s="488">
        <v>40879</v>
      </c>
      <c r="L299" s="487" t="s">
        <v>53</v>
      </c>
      <c r="M299" s="254">
        <v>135</v>
      </c>
      <c r="N299" s="214">
        <v>197271.5</v>
      </c>
      <c r="O299" s="217">
        <v>25625</v>
      </c>
      <c r="P299" s="214">
        <f>1709882.25+1194489.75+708906.5+376327+70+197271.5</f>
        <v>4186947</v>
      </c>
      <c r="Q299" s="490">
        <f>195314+135261+80447+45395+10+25625</f>
        <v>482052</v>
      </c>
      <c r="R299" s="297">
        <v>40907</v>
      </c>
    </row>
    <row r="300" spans="1:18" ht="9" customHeight="1">
      <c r="A300" s="766"/>
      <c r="B300" s="766"/>
      <c r="C300" s="755"/>
      <c r="D300" s="771" t="s">
        <v>292</v>
      </c>
      <c r="E300" s="758"/>
      <c r="F300" s="757" t="s">
        <v>54</v>
      </c>
      <c r="G300" s="504" t="s">
        <v>110</v>
      </c>
      <c r="H300" s="492" t="s">
        <v>113</v>
      </c>
      <c r="I300" s="492"/>
      <c r="J300" s="492" t="s">
        <v>110</v>
      </c>
      <c r="K300" s="488">
        <v>40879</v>
      </c>
      <c r="L300" s="487" t="s">
        <v>53</v>
      </c>
      <c r="M300" s="254">
        <v>135</v>
      </c>
      <c r="N300" s="500">
        <v>73341.5</v>
      </c>
      <c r="O300" s="498">
        <v>10302</v>
      </c>
      <c r="P300" s="500">
        <f>1709882.25+1194489.75+708906.5+376327+70+197271.5+73341.5</f>
        <v>4260288.5</v>
      </c>
      <c r="Q300" s="298">
        <f>195314+135261+80447+45395+10+25625+10302</f>
        <v>492354</v>
      </c>
      <c r="R300" s="218">
        <v>40914</v>
      </c>
    </row>
    <row r="301" spans="1:18" ht="9" customHeight="1">
      <c r="A301" s="766"/>
      <c r="B301" s="766"/>
      <c r="C301" s="755"/>
      <c r="D301" s="771" t="s">
        <v>292</v>
      </c>
      <c r="E301" s="758"/>
      <c r="F301" s="757" t="s">
        <v>54</v>
      </c>
      <c r="G301" s="504" t="s">
        <v>110</v>
      </c>
      <c r="H301" s="492" t="s">
        <v>113</v>
      </c>
      <c r="I301" s="492"/>
      <c r="J301" s="492" t="s">
        <v>110</v>
      </c>
      <c r="K301" s="488">
        <v>40879</v>
      </c>
      <c r="L301" s="487" t="s">
        <v>53</v>
      </c>
      <c r="M301" s="254">
        <v>135</v>
      </c>
      <c r="N301" s="214">
        <v>70692.5</v>
      </c>
      <c r="O301" s="217">
        <v>10950</v>
      </c>
      <c r="P301" s="214">
        <f>1709882.25+1194489.75+708906.5+376327+70+197271.5+73341.5+70692.5</f>
        <v>4330981</v>
      </c>
      <c r="Q301" s="490">
        <f>195314+135261+80447+45395+10+25625+10302+10950</f>
        <v>503304</v>
      </c>
      <c r="R301" s="218">
        <v>40921</v>
      </c>
    </row>
    <row r="302" spans="1:18" ht="9" customHeight="1">
      <c r="A302" s="766"/>
      <c r="B302" s="766"/>
      <c r="C302" s="755"/>
      <c r="D302" s="771" t="s">
        <v>292</v>
      </c>
      <c r="E302" s="758"/>
      <c r="F302" s="757" t="s">
        <v>54</v>
      </c>
      <c r="G302" s="504" t="s">
        <v>110</v>
      </c>
      <c r="H302" s="492" t="s">
        <v>113</v>
      </c>
      <c r="I302" s="492"/>
      <c r="J302" s="492" t="s">
        <v>110</v>
      </c>
      <c r="K302" s="488">
        <v>40879</v>
      </c>
      <c r="L302" s="487" t="s">
        <v>53</v>
      </c>
      <c r="M302" s="254">
        <v>135</v>
      </c>
      <c r="N302" s="214">
        <v>50480.5</v>
      </c>
      <c r="O302" s="217">
        <v>7727</v>
      </c>
      <c r="P302" s="214">
        <f>1709882.25+1194489.75+708906.5+376327+70+197271.5+73341.5+70692.5+50480.5</f>
        <v>4381461.5</v>
      </c>
      <c r="Q302" s="217">
        <f>195314+135261+80447+45395+10+25625+10302+10950+7727</f>
        <v>511031</v>
      </c>
      <c r="R302" s="218">
        <v>40928</v>
      </c>
    </row>
    <row r="303" spans="1:18" ht="9" customHeight="1">
      <c r="A303" s="766"/>
      <c r="B303" s="766"/>
      <c r="C303" s="755"/>
      <c r="D303" s="771" t="s">
        <v>292</v>
      </c>
      <c r="E303" s="758"/>
      <c r="F303" s="757" t="s">
        <v>54</v>
      </c>
      <c r="G303" s="504" t="s">
        <v>110</v>
      </c>
      <c r="H303" s="492" t="s">
        <v>113</v>
      </c>
      <c r="I303" s="492"/>
      <c r="J303" s="492" t="s">
        <v>110</v>
      </c>
      <c r="K303" s="488">
        <v>40879</v>
      </c>
      <c r="L303" s="487" t="s">
        <v>53</v>
      </c>
      <c r="M303" s="254">
        <v>135</v>
      </c>
      <c r="N303" s="214">
        <v>9953.5</v>
      </c>
      <c r="O303" s="217">
        <v>1402</v>
      </c>
      <c r="P303" s="214">
        <f>1709882.25+1194489.75+708906.5+376327+70+197271.5+73341.5+70692.5+50480.5+9953.5</f>
        <v>4391415</v>
      </c>
      <c r="Q303" s="217">
        <f>195314+135261+80447+45395+10+25625+10302+10950+7727+1402</f>
        <v>512433</v>
      </c>
      <c r="R303" s="218">
        <v>40935</v>
      </c>
    </row>
    <row r="304" spans="1:18" ht="9" customHeight="1">
      <c r="A304" s="766"/>
      <c r="B304" s="766"/>
      <c r="C304" s="755"/>
      <c r="D304" s="771" t="s">
        <v>292</v>
      </c>
      <c r="E304" s="758"/>
      <c r="F304" s="757" t="s">
        <v>54</v>
      </c>
      <c r="G304" s="504" t="s">
        <v>110</v>
      </c>
      <c r="H304" s="492" t="s">
        <v>113</v>
      </c>
      <c r="I304" s="492"/>
      <c r="J304" s="492" t="s">
        <v>110</v>
      </c>
      <c r="K304" s="488">
        <v>40879</v>
      </c>
      <c r="L304" s="487" t="s">
        <v>53</v>
      </c>
      <c r="M304" s="254">
        <v>135</v>
      </c>
      <c r="N304" s="509">
        <v>3058</v>
      </c>
      <c r="O304" s="217">
        <v>435</v>
      </c>
      <c r="P304" s="509">
        <f>1709882.25+1194489.75+708906.5+376327+70+197271.5+73341.5+70692.5+50480.5+9953.5+3058</f>
        <v>4394473</v>
      </c>
      <c r="Q304" s="217">
        <f>195314+135261+80447+45395+10+25625+10302+10950+7727+1402+435</f>
        <v>512868</v>
      </c>
      <c r="R304" s="218">
        <v>40942</v>
      </c>
    </row>
    <row r="305" spans="1:18" ht="9" customHeight="1">
      <c r="A305" s="332"/>
      <c r="B305" s="332"/>
      <c r="C305" s="760"/>
      <c r="D305" s="773" t="s">
        <v>292</v>
      </c>
      <c r="E305" s="762"/>
      <c r="F305" s="768" t="s">
        <v>54</v>
      </c>
      <c r="G305" s="61" t="s">
        <v>110</v>
      </c>
      <c r="H305" s="61" t="s">
        <v>113</v>
      </c>
      <c r="I305" s="61"/>
      <c r="J305" s="61" t="s">
        <v>110</v>
      </c>
      <c r="K305" s="220">
        <v>40879</v>
      </c>
      <c r="L305" s="64" t="s">
        <v>53</v>
      </c>
      <c r="M305" s="258">
        <v>135</v>
      </c>
      <c r="N305" s="261">
        <v>2402</v>
      </c>
      <c r="O305" s="262">
        <v>480</v>
      </c>
      <c r="P305" s="261">
        <f>1709882.25+1194489.75+708906.5+376327+70+197271.5+73341.5+70692.5+50480.5+9953.5+3058+838+28+63+74+2402</f>
        <v>4397878</v>
      </c>
      <c r="Q305" s="277">
        <f>195314+135261+80447+45395+10+25625+10302+10950+7727+1402+435+131+4+9+10+480</f>
        <v>513502</v>
      </c>
      <c r="R305" s="297">
        <v>40977</v>
      </c>
    </row>
    <row r="306" spans="1:18" ht="9" customHeight="1">
      <c r="A306" s="766"/>
      <c r="B306" s="766"/>
      <c r="C306" s="755"/>
      <c r="D306" s="771" t="s">
        <v>292</v>
      </c>
      <c r="E306" s="758"/>
      <c r="F306" s="757" t="s">
        <v>54</v>
      </c>
      <c r="G306" s="492" t="s">
        <v>110</v>
      </c>
      <c r="H306" s="492" t="s">
        <v>113</v>
      </c>
      <c r="I306" s="492"/>
      <c r="J306" s="492" t="s">
        <v>110</v>
      </c>
      <c r="K306" s="488">
        <v>40879</v>
      </c>
      <c r="L306" s="487" t="s">
        <v>53</v>
      </c>
      <c r="M306" s="254">
        <v>135</v>
      </c>
      <c r="N306" s="214">
        <v>838</v>
      </c>
      <c r="O306" s="217">
        <v>131</v>
      </c>
      <c r="P306" s="214">
        <f>1709882.25+1194489.75+708906.5+376327+70+197271.5+73341.5+70692.5+50480.5+9953.5+3058+838</f>
        <v>4395311</v>
      </c>
      <c r="Q306" s="307">
        <f>195314+135261+80447+45395+10+25625+10302+10950+7727+1402+435+131</f>
        <v>512999</v>
      </c>
      <c r="R306" s="218">
        <v>40949</v>
      </c>
    </row>
    <row r="307" spans="1:18" ht="9" customHeight="1">
      <c r="A307" s="332"/>
      <c r="B307" s="332"/>
      <c r="C307" s="760"/>
      <c r="D307" s="773" t="s">
        <v>292</v>
      </c>
      <c r="E307" s="762"/>
      <c r="F307" s="768" t="s">
        <v>54</v>
      </c>
      <c r="G307" s="258" t="s">
        <v>110</v>
      </c>
      <c r="H307" s="258" t="s">
        <v>113</v>
      </c>
      <c r="I307" s="258"/>
      <c r="J307" s="258" t="s">
        <v>110</v>
      </c>
      <c r="K307" s="488">
        <v>40879</v>
      </c>
      <c r="L307" s="526" t="s">
        <v>53</v>
      </c>
      <c r="M307" s="254">
        <v>135</v>
      </c>
      <c r="N307" s="261">
        <v>74</v>
      </c>
      <c r="O307" s="262">
        <v>10</v>
      </c>
      <c r="P307" s="276">
        <f>1709882.25+1194489.75+708906.5+376327+70+197271.5+73341.5+70692.5+50480.5+9953.5+3058+838+28+63+74</f>
        <v>4395476</v>
      </c>
      <c r="Q307" s="277">
        <f>195314+135261+80447+45395+10+25625+10302+10950+7727+1402+435+131+4+9+10</f>
        <v>513022</v>
      </c>
      <c r="R307" s="297">
        <v>40970</v>
      </c>
    </row>
    <row r="308" spans="1:18" ht="9" customHeight="1">
      <c r="A308" s="766"/>
      <c r="B308" s="766"/>
      <c r="C308" s="755"/>
      <c r="D308" s="771" t="s">
        <v>292</v>
      </c>
      <c r="E308" s="758"/>
      <c r="F308" s="757" t="s">
        <v>54</v>
      </c>
      <c r="G308" s="492" t="s">
        <v>110</v>
      </c>
      <c r="H308" s="492" t="s">
        <v>113</v>
      </c>
      <c r="I308" s="492"/>
      <c r="J308" s="492" t="s">
        <v>110</v>
      </c>
      <c r="K308" s="488">
        <v>40879</v>
      </c>
      <c r="L308" s="487" t="s">
        <v>53</v>
      </c>
      <c r="M308" s="254">
        <v>135</v>
      </c>
      <c r="N308" s="458">
        <v>63</v>
      </c>
      <c r="O308" s="459">
        <v>9</v>
      </c>
      <c r="P308" s="458">
        <f>1709882.25+1194489.75+708906.5+376327+70+197271.5+73341.5+70692.5+50480.5+9953.5+3058+838+28+63</f>
        <v>4395402</v>
      </c>
      <c r="Q308" s="459">
        <f>195314+135261+80447+45395+10+25625+10302+10950+7727+1402+435+131+4+9</f>
        <v>513012</v>
      </c>
      <c r="R308" s="297">
        <v>40963</v>
      </c>
    </row>
    <row r="309" spans="1:18" ht="9" customHeight="1">
      <c r="A309" s="766"/>
      <c r="B309" s="766"/>
      <c r="C309" s="755"/>
      <c r="D309" s="771" t="s">
        <v>292</v>
      </c>
      <c r="E309" s="758"/>
      <c r="F309" s="757" t="s">
        <v>54</v>
      </c>
      <c r="G309" s="492" t="s">
        <v>110</v>
      </c>
      <c r="H309" s="492" t="s">
        <v>113</v>
      </c>
      <c r="I309" s="492"/>
      <c r="J309" s="492" t="s">
        <v>110</v>
      </c>
      <c r="K309" s="488">
        <v>40879</v>
      </c>
      <c r="L309" s="487" t="s">
        <v>53</v>
      </c>
      <c r="M309" s="254">
        <v>135</v>
      </c>
      <c r="N309" s="214">
        <v>28</v>
      </c>
      <c r="O309" s="217">
        <v>4</v>
      </c>
      <c r="P309" s="214">
        <f>1709882.25+1194489.75+708906.5+376327+70+197271.5+73341.5+70692.5+50480.5+9953.5+3058+838+28</f>
        <v>4395339</v>
      </c>
      <c r="Q309" s="490">
        <f>195314+135261+80447+45395+10+25625+10302+10950+7727+1402+435+131+4</f>
        <v>513003</v>
      </c>
      <c r="R309" s="218">
        <v>40956</v>
      </c>
    </row>
    <row r="310" spans="1:18" ht="9" customHeight="1">
      <c r="A310" s="759"/>
      <c r="B310" s="759"/>
      <c r="C310" s="759"/>
      <c r="D310" s="759"/>
      <c r="E310" s="758"/>
      <c r="F310" s="757" t="s">
        <v>54</v>
      </c>
      <c r="G310" s="499" t="s">
        <v>148</v>
      </c>
      <c r="H310" s="487" t="s">
        <v>112</v>
      </c>
      <c r="I310" s="487"/>
      <c r="J310" s="487" t="s">
        <v>148</v>
      </c>
      <c r="K310" s="488">
        <v>40900</v>
      </c>
      <c r="L310" s="487" t="s">
        <v>52</v>
      </c>
      <c r="M310" s="255">
        <v>14</v>
      </c>
      <c r="N310" s="512">
        <v>19458.5</v>
      </c>
      <c r="O310" s="513">
        <v>1850</v>
      </c>
      <c r="P310" s="512">
        <f>43848.5+19458.5</f>
        <v>63307</v>
      </c>
      <c r="Q310" s="217">
        <f>3764+1850</f>
        <v>5614</v>
      </c>
      <c r="R310" s="297">
        <v>40907</v>
      </c>
    </row>
    <row r="311" spans="1:18" ht="9" customHeight="1">
      <c r="A311" s="755"/>
      <c r="B311" s="755"/>
      <c r="C311" s="755"/>
      <c r="D311" s="755"/>
      <c r="E311" s="756"/>
      <c r="F311" s="757" t="s">
        <v>54</v>
      </c>
      <c r="G311" s="499" t="s">
        <v>148</v>
      </c>
      <c r="H311" s="487" t="s">
        <v>112</v>
      </c>
      <c r="I311" s="487"/>
      <c r="J311" s="487" t="s">
        <v>148</v>
      </c>
      <c r="K311" s="488">
        <v>40900</v>
      </c>
      <c r="L311" s="487" t="s">
        <v>52</v>
      </c>
      <c r="M311" s="255">
        <v>14</v>
      </c>
      <c r="N311" s="512">
        <v>5447</v>
      </c>
      <c r="O311" s="513">
        <v>752</v>
      </c>
      <c r="P311" s="512">
        <f>43848.5+19458.5+4777+1091+5447</f>
        <v>74622</v>
      </c>
      <c r="Q311" s="217">
        <f>3764+1850+439+142+752</f>
        <v>6947</v>
      </c>
      <c r="R311" s="218">
        <v>40928</v>
      </c>
    </row>
    <row r="312" spans="1:18" ht="9" customHeight="1">
      <c r="A312" s="755"/>
      <c r="B312" s="755"/>
      <c r="C312" s="755"/>
      <c r="D312" s="755"/>
      <c r="E312" s="756"/>
      <c r="F312" s="757" t="s">
        <v>54</v>
      </c>
      <c r="G312" s="499" t="s">
        <v>148</v>
      </c>
      <c r="H312" s="487" t="s">
        <v>112</v>
      </c>
      <c r="I312" s="487"/>
      <c r="J312" s="487" t="s">
        <v>148</v>
      </c>
      <c r="K312" s="488">
        <v>40900</v>
      </c>
      <c r="L312" s="487" t="s">
        <v>52</v>
      </c>
      <c r="M312" s="255">
        <v>14</v>
      </c>
      <c r="N312" s="512">
        <v>4777</v>
      </c>
      <c r="O312" s="513">
        <v>439</v>
      </c>
      <c r="P312" s="512">
        <f>43848.5+19458.5+4777</f>
        <v>68084</v>
      </c>
      <c r="Q312" s="307">
        <f>3764+1850+439</f>
        <v>6053</v>
      </c>
      <c r="R312" s="218">
        <v>40914</v>
      </c>
    </row>
    <row r="313" spans="1:18" ht="9" customHeight="1">
      <c r="A313" s="755"/>
      <c r="B313" s="755"/>
      <c r="C313" s="755"/>
      <c r="D313" s="755"/>
      <c r="E313" s="756"/>
      <c r="F313" s="757" t="s">
        <v>54</v>
      </c>
      <c r="G313" s="499" t="s">
        <v>148</v>
      </c>
      <c r="H313" s="487" t="s">
        <v>112</v>
      </c>
      <c r="I313" s="487"/>
      <c r="J313" s="487" t="s">
        <v>148</v>
      </c>
      <c r="K313" s="488">
        <v>40900</v>
      </c>
      <c r="L313" s="487" t="s">
        <v>52</v>
      </c>
      <c r="M313" s="255">
        <v>14</v>
      </c>
      <c r="N313" s="214">
        <v>2629</v>
      </c>
      <c r="O313" s="217">
        <v>413</v>
      </c>
      <c r="P313" s="214">
        <v>77251</v>
      </c>
      <c r="Q313" s="517">
        <v>7360</v>
      </c>
      <c r="R313" s="218">
        <v>40935</v>
      </c>
    </row>
    <row r="314" spans="1:18" ht="9" customHeight="1">
      <c r="A314" s="755"/>
      <c r="B314" s="755"/>
      <c r="C314" s="755"/>
      <c r="D314" s="755"/>
      <c r="E314" s="756"/>
      <c r="F314" s="757" t="s">
        <v>54</v>
      </c>
      <c r="G314" s="486" t="s">
        <v>148</v>
      </c>
      <c r="H314" s="487" t="s">
        <v>112</v>
      </c>
      <c r="I314" s="487"/>
      <c r="J314" s="487" t="s">
        <v>148</v>
      </c>
      <c r="K314" s="488">
        <v>40900</v>
      </c>
      <c r="L314" s="487" t="s">
        <v>52</v>
      </c>
      <c r="M314" s="255">
        <v>14</v>
      </c>
      <c r="N314" s="214">
        <v>1105</v>
      </c>
      <c r="O314" s="217">
        <v>159</v>
      </c>
      <c r="P314" s="214">
        <f>43848.5+19458.5+4777+1091+5447+2629+1105</f>
        <v>78356</v>
      </c>
      <c r="Q314" s="307">
        <f>3764+1850+439+142+752+413+159</f>
        <v>7519</v>
      </c>
      <c r="R314" s="218">
        <v>40949</v>
      </c>
    </row>
    <row r="315" spans="1:18" ht="9" customHeight="1">
      <c r="A315" s="755"/>
      <c r="B315" s="755"/>
      <c r="C315" s="755"/>
      <c r="D315" s="755"/>
      <c r="E315" s="756"/>
      <c r="F315" s="757" t="s">
        <v>54</v>
      </c>
      <c r="G315" s="499" t="s">
        <v>148</v>
      </c>
      <c r="H315" s="487" t="s">
        <v>112</v>
      </c>
      <c r="I315" s="487"/>
      <c r="J315" s="487" t="s">
        <v>148</v>
      </c>
      <c r="K315" s="488">
        <v>40900</v>
      </c>
      <c r="L315" s="487" t="s">
        <v>52</v>
      </c>
      <c r="M315" s="255">
        <v>14</v>
      </c>
      <c r="N315" s="514">
        <v>1091</v>
      </c>
      <c r="O315" s="515">
        <v>142</v>
      </c>
      <c r="P315" s="514">
        <f>43848.5+19458.5+4777+1091</f>
        <v>69175</v>
      </c>
      <c r="Q315" s="217">
        <f>3764+1850+439+142</f>
        <v>6195</v>
      </c>
      <c r="R315" s="218">
        <v>40921</v>
      </c>
    </row>
    <row r="316" spans="1:18" ht="9" customHeight="1">
      <c r="A316" s="755"/>
      <c r="B316" s="759"/>
      <c r="C316" s="755"/>
      <c r="D316" s="755"/>
      <c r="E316" s="756"/>
      <c r="F316" s="756"/>
      <c r="G316" s="491" t="s">
        <v>624</v>
      </c>
      <c r="H316" s="491" t="s">
        <v>637</v>
      </c>
      <c r="I316" s="493"/>
      <c r="J316" s="491" t="s">
        <v>630</v>
      </c>
      <c r="K316" s="488">
        <v>40662</v>
      </c>
      <c r="L316" s="487" t="s">
        <v>68</v>
      </c>
      <c r="M316" s="254">
        <v>19</v>
      </c>
      <c r="N316" s="458">
        <v>3801.5</v>
      </c>
      <c r="O316" s="459">
        <v>760</v>
      </c>
      <c r="P316" s="458">
        <f>101742.25+50164.5+51750+9401+13450.5+18562.5+28682+16047.5+15912+8384+5213+12043+3980+9461+6303.5+6271+2673+6139.5+1849.5+1109+1307+722+1188+3801.5</f>
        <v>376157.25</v>
      </c>
      <c r="Q316" s="296">
        <f>8064+3844+5093+985+1765+2797+3793+2133+2232+1161+795+1735+578+1201+748+718+399+835+292+171+327+184+297+760</f>
        <v>40907</v>
      </c>
      <c r="R316" s="218">
        <v>40949</v>
      </c>
    </row>
    <row r="317" spans="1:18" ht="9" customHeight="1">
      <c r="A317" s="755"/>
      <c r="B317" s="759"/>
      <c r="C317" s="755"/>
      <c r="D317" s="755"/>
      <c r="E317" s="756"/>
      <c r="F317" s="756"/>
      <c r="G317" s="491" t="s">
        <v>624</v>
      </c>
      <c r="H317" s="491" t="s">
        <v>637</v>
      </c>
      <c r="I317" s="493"/>
      <c r="J317" s="491" t="s">
        <v>630</v>
      </c>
      <c r="K317" s="488">
        <v>40662</v>
      </c>
      <c r="L317" s="487" t="s">
        <v>68</v>
      </c>
      <c r="M317" s="254">
        <v>19</v>
      </c>
      <c r="N317" s="458">
        <v>560</v>
      </c>
      <c r="O317" s="459">
        <v>248</v>
      </c>
      <c r="P317" s="458">
        <f>101742.25+50164.5+51750+9401+13450.5+18562.5+28682+16047.5+15912+8384+5213+12043+3980+9461+6303.5+6271+2673+6139.5+1849.5+1109+1307+722+1188+3801.5+560</f>
        <v>376717.25</v>
      </c>
      <c r="Q317" s="459">
        <f>8064+3844+5093+985+1765+2797+3793+2133+2232+1161+795+1735+578+1201+748+718+399+835+292+171+327+184+297+760+248</f>
        <v>41155</v>
      </c>
      <c r="R317" s="218">
        <v>40956</v>
      </c>
    </row>
    <row r="318" spans="1:18" ht="9" customHeight="1">
      <c r="A318" s="759"/>
      <c r="B318" s="759"/>
      <c r="C318" s="759"/>
      <c r="D318" s="759"/>
      <c r="E318" s="763"/>
      <c r="F318" s="763"/>
      <c r="G318" s="499" t="s">
        <v>214</v>
      </c>
      <c r="H318" s="502" t="s">
        <v>216</v>
      </c>
      <c r="I318" s="487" t="s">
        <v>95</v>
      </c>
      <c r="J318" s="502" t="s">
        <v>215</v>
      </c>
      <c r="K318" s="488">
        <v>40907</v>
      </c>
      <c r="L318" s="487" t="s">
        <v>10</v>
      </c>
      <c r="M318" s="255">
        <v>64</v>
      </c>
      <c r="N318" s="458">
        <v>361708</v>
      </c>
      <c r="O318" s="459">
        <v>32009</v>
      </c>
      <c r="P318" s="458">
        <v>361708</v>
      </c>
      <c r="Q318" s="459">
        <v>32009</v>
      </c>
      <c r="R318" s="297">
        <v>40907</v>
      </c>
    </row>
    <row r="319" spans="1:18" ht="9" customHeight="1">
      <c r="A319" s="755"/>
      <c r="B319" s="755"/>
      <c r="C319" s="755"/>
      <c r="D319" s="755"/>
      <c r="E319" s="756"/>
      <c r="F319" s="756"/>
      <c r="G319" s="499" t="s">
        <v>214</v>
      </c>
      <c r="H319" s="502" t="s">
        <v>216</v>
      </c>
      <c r="I319" s="487" t="s">
        <v>95</v>
      </c>
      <c r="J319" s="502" t="s">
        <v>215</v>
      </c>
      <c r="K319" s="488">
        <v>40907</v>
      </c>
      <c r="L319" s="487" t="s">
        <v>10</v>
      </c>
      <c r="M319" s="255">
        <v>64</v>
      </c>
      <c r="N319" s="458">
        <f>235686+726</f>
        <v>236412</v>
      </c>
      <c r="O319" s="459">
        <f>20261+65</f>
        <v>20326</v>
      </c>
      <c r="P319" s="458">
        <f>361708+235686+726</f>
        <v>598120</v>
      </c>
      <c r="Q319" s="296">
        <f>32009+20261+65</f>
        <v>52335</v>
      </c>
      <c r="R319" s="218">
        <v>40914</v>
      </c>
    </row>
    <row r="320" spans="1:18" ht="9" customHeight="1">
      <c r="A320" s="755"/>
      <c r="B320" s="755"/>
      <c r="C320" s="755"/>
      <c r="D320" s="755"/>
      <c r="E320" s="756"/>
      <c r="F320" s="756"/>
      <c r="G320" s="499" t="s">
        <v>214</v>
      </c>
      <c r="H320" s="502" t="s">
        <v>216</v>
      </c>
      <c r="I320" s="487" t="s">
        <v>95</v>
      </c>
      <c r="J320" s="502" t="s">
        <v>215</v>
      </c>
      <c r="K320" s="488">
        <v>40907</v>
      </c>
      <c r="L320" s="487" t="s">
        <v>10</v>
      </c>
      <c r="M320" s="255">
        <v>64</v>
      </c>
      <c r="N320" s="458">
        <v>63689</v>
      </c>
      <c r="O320" s="459">
        <v>5622</v>
      </c>
      <c r="P320" s="458">
        <v>661809</v>
      </c>
      <c r="Q320" s="459">
        <v>57957</v>
      </c>
      <c r="R320" s="218">
        <v>40921</v>
      </c>
    </row>
    <row r="321" spans="1:18" ht="9" customHeight="1">
      <c r="A321" s="769" t="s">
        <v>223</v>
      </c>
      <c r="B321" s="779">
        <v>3</v>
      </c>
      <c r="C321" s="755"/>
      <c r="D321" s="771" t="s">
        <v>292</v>
      </c>
      <c r="E321" s="756"/>
      <c r="F321" s="756"/>
      <c r="G321" s="491" t="s">
        <v>595</v>
      </c>
      <c r="H321" s="491" t="s">
        <v>126</v>
      </c>
      <c r="I321" s="491" t="s">
        <v>89</v>
      </c>
      <c r="J321" s="491" t="s">
        <v>596</v>
      </c>
      <c r="K321" s="488">
        <v>39955</v>
      </c>
      <c r="L321" s="487" t="s">
        <v>68</v>
      </c>
      <c r="M321" s="254">
        <v>88</v>
      </c>
      <c r="N321" s="458">
        <v>3565</v>
      </c>
      <c r="O321" s="459">
        <v>713</v>
      </c>
      <c r="P321" s="458">
        <f>253985.25+197941+176827+129137.25+73306.5+36496.5+20735+12653+3137+3974+3108+6704.75+3312+1885+643+108556.75+31027+8660.5+1196.5+2137+5262+2140+4040+1780+1188+1780+43620+1424+1780+3565</f>
        <v>1142002</v>
      </c>
      <c r="Q321" s="296">
        <f>26929+21325+23241+17550+10624+6388+4049+2644+577+882+663+1354+764+460+116+14641+4967+986+117+181+1185+535+1010+445+297+445+10905+356+356+713</f>
        <v>154705</v>
      </c>
      <c r="R321" s="218">
        <v>40949</v>
      </c>
    </row>
    <row r="322" spans="1:18" ht="9" customHeight="1">
      <c r="A322" s="769" t="s">
        <v>223</v>
      </c>
      <c r="B322" s="755"/>
      <c r="C322" s="766"/>
      <c r="D322" s="755"/>
      <c r="E322" s="765" t="s">
        <v>55</v>
      </c>
      <c r="F322" s="758"/>
      <c r="G322" s="494" t="s">
        <v>445</v>
      </c>
      <c r="H322" s="491" t="s">
        <v>449</v>
      </c>
      <c r="I322" s="491" t="s">
        <v>89</v>
      </c>
      <c r="J322" s="491" t="s">
        <v>453</v>
      </c>
      <c r="K322" s="488">
        <v>39864</v>
      </c>
      <c r="L322" s="487" t="s">
        <v>68</v>
      </c>
      <c r="M322" s="254">
        <v>55</v>
      </c>
      <c r="N322" s="458">
        <v>2852</v>
      </c>
      <c r="O322" s="459">
        <v>713</v>
      </c>
      <c r="P322" s="458">
        <f>190777.5+154065+60826.5+20820+23589+29712+19396.5+16102+12940+11034+3005+981+1140+40+98.25+284+1000+300+220+1211.5+155+156+63+1780+5228+1780+450+952+145+640+2445+2376+2376+2376+4752+2376+2852</f>
        <v>578444.25</v>
      </c>
      <c r="Q322" s="459">
        <f>20518+17650+7809+3283+4115+5826+3911+3770+2981+2505+653+199+194+8+18+60+100+75+44+292+22+22+19+445+1307+445+75+238+29+128+383+594+594+594+1188+594+713</f>
        <v>81401</v>
      </c>
      <c r="R322" s="218">
        <v>40928</v>
      </c>
    </row>
    <row r="323" spans="1:18" ht="9" customHeight="1">
      <c r="A323" s="769" t="s">
        <v>223</v>
      </c>
      <c r="B323" s="755"/>
      <c r="C323" s="766"/>
      <c r="D323" s="755"/>
      <c r="E323" s="765" t="s">
        <v>55</v>
      </c>
      <c r="F323" s="758"/>
      <c r="G323" s="491" t="s">
        <v>445</v>
      </c>
      <c r="H323" s="491" t="s">
        <v>449</v>
      </c>
      <c r="I323" s="491" t="s">
        <v>89</v>
      </c>
      <c r="J323" s="491" t="s">
        <v>453</v>
      </c>
      <c r="K323" s="488">
        <v>39864</v>
      </c>
      <c r="L323" s="487" t="s">
        <v>68</v>
      </c>
      <c r="M323" s="254">
        <v>55</v>
      </c>
      <c r="N323" s="458">
        <v>1780</v>
      </c>
      <c r="O323" s="459">
        <v>356</v>
      </c>
      <c r="P323" s="458">
        <f>190777.5+154065+60826.5+20820+23589+29712+19396.5+16102+12940+11034+3005+981+1140+40+98.25+284+1000+300+220+1211.5+155+156+63+1780+5228+1780+450+952+145+640+2445+2376+2376+2376+4752+2376+2852+1780</f>
        <v>580224.25</v>
      </c>
      <c r="Q323" s="296">
        <f>20518+17650+7809+3283+4115+5826+3911+3770+2981+2505+653+199+194+8+18+60+100+75+44+292+22+22+19+445+1307+445+75+238+29+128+383+594+594+594+1188+594+713+356</f>
        <v>81757</v>
      </c>
      <c r="R323" s="218">
        <v>40949</v>
      </c>
    </row>
    <row r="324" spans="1:18" ht="9" customHeight="1">
      <c r="A324" s="772" t="s">
        <v>223</v>
      </c>
      <c r="B324" s="760"/>
      <c r="C324" s="332"/>
      <c r="D324" s="760"/>
      <c r="E324" s="767" t="s">
        <v>55</v>
      </c>
      <c r="F324" s="762"/>
      <c r="G324" s="528" t="s">
        <v>445</v>
      </c>
      <c r="H324" s="528" t="s">
        <v>449</v>
      </c>
      <c r="I324" s="528" t="s">
        <v>89</v>
      </c>
      <c r="J324" s="528" t="s">
        <v>453</v>
      </c>
      <c r="K324" s="488">
        <v>39864</v>
      </c>
      <c r="L324" s="526" t="s">
        <v>68</v>
      </c>
      <c r="M324" s="258">
        <v>55</v>
      </c>
      <c r="N324" s="270">
        <v>950</v>
      </c>
      <c r="O324" s="272">
        <v>190</v>
      </c>
      <c r="P324" s="270">
        <f>190777.5+154065+60826.5+20820+23589+29712+19396.5+16102+12940+11034+3005+981+1140+40+98.25+284+1000+300+220+1211.5+155+156+63+1780+5228+1780+450+952+145+640+2445+2376+2376+2376+4752+2376+2852+1780+950</f>
        <v>581174.25</v>
      </c>
      <c r="Q324" s="272">
        <f>20518+17650+7809+3283+4115+5826+3911+3770+2981+2505+653+199+194+8+18+60+100+75+44+292+22+22+19+445+1307+445+75+238+29+128+383+594+594+594+1188+594+713+356+190</f>
        <v>81947</v>
      </c>
      <c r="R324" s="297">
        <v>40970</v>
      </c>
    </row>
    <row r="325" spans="1:18" ht="9" customHeight="1">
      <c r="A325" s="766"/>
      <c r="B325" s="766"/>
      <c r="C325" s="755"/>
      <c r="D325" s="766"/>
      <c r="E325" s="756"/>
      <c r="F325" s="756"/>
      <c r="G325" s="501" t="s">
        <v>291</v>
      </c>
      <c r="H325" s="502" t="s">
        <v>296</v>
      </c>
      <c r="I325" s="487" t="s">
        <v>260</v>
      </c>
      <c r="J325" s="502" t="s">
        <v>295</v>
      </c>
      <c r="K325" s="488">
        <v>40830</v>
      </c>
      <c r="L325" s="487" t="s">
        <v>10</v>
      </c>
      <c r="M325" s="255">
        <v>62</v>
      </c>
      <c r="N325" s="458">
        <v>1610</v>
      </c>
      <c r="O325" s="459">
        <v>249</v>
      </c>
      <c r="P325" s="458">
        <f>1594092+1610</f>
        <v>1595702</v>
      </c>
      <c r="Q325" s="296">
        <f>149626+249</f>
        <v>149875</v>
      </c>
      <c r="R325" s="218">
        <v>40914</v>
      </c>
    </row>
    <row r="326" spans="1:18" ht="9" customHeight="1">
      <c r="A326" s="764"/>
      <c r="B326" s="764"/>
      <c r="C326" s="759"/>
      <c r="D326" s="764"/>
      <c r="E326" s="763"/>
      <c r="F326" s="763"/>
      <c r="G326" s="501" t="s">
        <v>291</v>
      </c>
      <c r="H326" s="502" t="s">
        <v>296</v>
      </c>
      <c r="I326" s="487" t="s">
        <v>260</v>
      </c>
      <c r="J326" s="502" t="s">
        <v>295</v>
      </c>
      <c r="K326" s="488">
        <v>40830</v>
      </c>
      <c r="L326" s="487" t="s">
        <v>10</v>
      </c>
      <c r="M326" s="255">
        <v>62</v>
      </c>
      <c r="N326" s="458">
        <v>1190</v>
      </c>
      <c r="O326" s="459">
        <v>170</v>
      </c>
      <c r="P326" s="458">
        <v>1594092</v>
      </c>
      <c r="Q326" s="459">
        <v>149626</v>
      </c>
      <c r="R326" s="297">
        <v>40907</v>
      </c>
    </row>
    <row r="327" spans="1:18" ht="9" customHeight="1">
      <c r="A327" s="766"/>
      <c r="B327" s="766"/>
      <c r="C327" s="755"/>
      <c r="D327" s="770"/>
      <c r="E327" s="756"/>
      <c r="F327" s="756"/>
      <c r="G327" s="502" t="s">
        <v>291</v>
      </c>
      <c r="H327" s="502" t="s">
        <v>296</v>
      </c>
      <c r="I327" s="487" t="s">
        <v>260</v>
      </c>
      <c r="J327" s="502" t="s">
        <v>295</v>
      </c>
      <c r="K327" s="488">
        <v>40830</v>
      </c>
      <c r="L327" s="487" t="s">
        <v>10</v>
      </c>
      <c r="M327" s="255">
        <v>62</v>
      </c>
      <c r="N327" s="458">
        <v>1165</v>
      </c>
      <c r="O327" s="459">
        <v>167</v>
      </c>
      <c r="P327" s="458">
        <v>1597479</v>
      </c>
      <c r="Q327" s="296">
        <v>150144</v>
      </c>
      <c r="R327" s="218">
        <v>40949</v>
      </c>
    </row>
    <row r="328" spans="1:18" ht="9" customHeight="1">
      <c r="A328" s="766"/>
      <c r="B328" s="766"/>
      <c r="C328" s="755"/>
      <c r="D328" s="766"/>
      <c r="E328" s="756"/>
      <c r="F328" s="756"/>
      <c r="G328" s="501" t="s">
        <v>291</v>
      </c>
      <c r="H328" s="502" t="s">
        <v>296</v>
      </c>
      <c r="I328" s="487" t="s">
        <v>260</v>
      </c>
      <c r="J328" s="502" t="s">
        <v>295</v>
      </c>
      <c r="K328" s="488">
        <v>40830</v>
      </c>
      <c r="L328" s="487" t="s">
        <v>10</v>
      </c>
      <c r="M328" s="255">
        <v>62</v>
      </c>
      <c r="N328" s="458">
        <v>612</v>
      </c>
      <c r="O328" s="459">
        <v>102</v>
      </c>
      <c r="P328" s="458">
        <v>1596314</v>
      </c>
      <c r="Q328" s="459">
        <v>149977</v>
      </c>
      <c r="R328" s="218">
        <v>40921</v>
      </c>
    </row>
    <row r="329" spans="1:18" ht="9" customHeight="1">
      <c r="A329" s="769" t="s">
        <v>223</v>
      </c>
      <c r="B329" s="755"/>
      <c r="C329" s="755"/>
      <c r="D329" s="771" t="s">
        <v>292</v>
      </c>
      <c r="E329" s="765" t="s">
        <v>55</v>
      </c>
      <c r="F329" s="758"/>
      <c r="G329" s="494" t="s">
        <v>358</v>
      </c>
      <c r="H329" s="491" t="s">
        <v>360</v>
      </c>
      <c r="I329" s="493"/>
      <c r="J329" s="491" t="s">
        <v>359</v>
      </c>
      <c r="K329" s="488">
        <v>39829</v>
      </c>
      <c r="L329" s="487" t="s">
        <v>68</v>
      </c>
      <c r="M329" s="254">
        <v>65</v>
      </c>
      <c r="N329" s="458">
        <v>1424</v>
      </c>
      <c r="O329" s="459">
        <v>356</v>
      </c>
      <c r="P329" s="458">
        <f>237023+244842+160469+47021+21536+18820+18020.5+26440+10695+9162.5+9870+6322+1787+2032+757+348+420.5+158+4053+339.5+3161.5+1729.5+752+1417+1780+64+1208+952+552+139.5+544+40+8072+1780+1424+1780+440+1780+1188+2612+952+712+4276+1424</f>
        <v>858895.5</v>
      </c>
      <c r="Q329" s="296">
        <f>25678+28966+21290+6590+4890+3520+3479+4786+1907+1716+2388+1533+368+541+126+70+67+48+991+81+743+414+155+169+445+16+302+238+117+23+48+12+2018+445+356+445+55+445+297+653+238+178+1069+356</f>
        <v>118272</v>
      </c>
      <c r="R329" s="218">
        <v>40914</v>
      </c>
    </row>
    <row r="330" spans="1:18" ht="9" customHeight="1">
      <c r="A330" s="772" t="s">
        <v>223</v>
      </c>
      <c r="B330" s="784"/>
      <c r="C330" s="760"/>
      <c r="D330" s="773" t="s">
        <v>292</v>
      </c>
      <c r="E330" s="767" t="s">
        <v>55</v>
      </c>
      <c r="F330" s="761"/>
      <c r="G330" s="63" t="s">
        <v>627</v>
      </c>
      <c r="H330" s="63" t="s">
        <v>360</v>
      </c>
      <c r="I330" s="65" t="s">
        <v>89</v>
      </c>
      <c r="J330" s="63" t="s">
        <v>632</v>
      </c>
      <c r="K330" s="220">
        <v>40515</v>
      </c>
      <c r="L330" s="64" t="s">
        <v>68</v>
      </c>
      <c r="M330" s="258">
        <v>62</v>
      </c>
      <c r="N330" s="270">
        <v>1622</v>
      </c>
      <c r="O330" s="272">
        <v>787</v>
      </c>
      <c r="P330" s="270">
        <f>353151+191248+132731.5+71376+47862+26248.5+19265+34650.5+35095.5+42312+25849+10987+7528+3248+2395.5+3280.5+3141.5+4280+3042+1597+6128+4358+2107+777+4230+4335.5+1718.5+594+1978+2020+7747.5+1188+329+1188+823+1622</f>
        <v>1060432</v>
      </c>
      <c r="Q330" s="272">
        <f>34650+19352+14525+10591+7581+5012+3223+6065+6865+6589+3930+1782+1091+624+468+512+688+987+804+306+1395+991+478+166+1058+1084+430+148+474+261+1593+297+63+238+398+787</f>
        <v>135506</v>
      </c>
      <c r="R330" s="297">
        <v>40977</v>
      </c>
    </row>
    <row r="331" spans="1:18" ht="9" customHeight="1">
      <c r="A331" s="769" t="s">
        <v>223</v>
      </c>
      <c r="B331" s="759"/>
      <c r="C331" s="755"/>
      <c r="D331" s="771" t="s">
        <v>292</v>
      </c>
      <c r="E331" s="765" t="s">
        <v>55</v>
      </c>
      <c r="F331" s="756"/>
      <c r="G331" s="491" t="s">
        <v>627</v>
      </c>
      <c r="H331" s="491" t="s">
        <v>360</v>
      </c>
      <c r="I331" s="493" t="s">
        <v>89</v>
      </c>
      <c r="J331" s="491" t="s">
        <v>632</v>
      </c>
      <c r="K331" s="488">
        <v>40515</v>
      </c>
      <c r="L331" s="487" t="s">
        <v>68</v>
      </c>
      <c r="M331" s="254">
        <v>62</v>
      </c>
      <c r="N331" s="458">
        <v>1188</v>
      </c>
      <c r="O331" s="459">
        <v>238</v>
      </c>
      <c r="P331" s="458">
        <f>353151+191248+132731.5+71376+47862+26248.5+19265+34650.5+35095.5+42312+25849+10987+7528+3248+2395.5+3280.5+3141.5+4280+3042+1597+6128+4358+2107+777+4230+4335.5+1718.5+594+1978+2020+7747.5+1188+329+1188</f>
        <v>1057987</v>
      </c>
      <c r="Q331" s="296">
        <f>34650+19352+14525+10591+7581+5012+3223+6065+6865+6589+3930+1782+1091+624+468+512+688+987+804+306+1395+991+478+166+1058+1084+430+148+474+261+1593+297+63+238</f>
        <v>134321</v>
      </c>
      <c r="R331" s="218">
        <v>40949</v>
      </c>
    </row>
    <row r="332" spans="1:18" ht="9" customHeight="1">
      <c r="A332" s="772" t="s">
        <v>223</v>
      </c>
      <c r="B332" s="784"/>
      <c r="C332" s="760"/>
      <c r="D332" s="773" t="s">
        <v>292</v>
      </c>
      <c r="E332" s="767" t="s">
        <v>55</v>
      </c>
      <c r="F332" s="761"/>
      <c r="G332" s="528" t="s">
        <v>627</v>
      </c>
      <c r="H332" s="528" t="s">
        <v>360</v>
      </c>
      <c r="I332" s="527" t="s">
        <v>89</v>
      </c>
      <c r="J332" s="528" t="s">
        <v>632</v>
      </c>
      <c r="K332" s="488">
        <v>40515</v>
      </c>
      <c r="L332" s="526" t="s">
        <v>68</v>
      </c>
      <c r="M332" s="258">
        <v>62</v>
      </c>
      <c r="N332" s="270">
        <v>823</v>
      </c>
      <c r="O332" s="272">
        <v>398</v>
      </c>
      <c r="P332" s="270">
        <f>353151+191248+132731.5+71376+47862+26248.5+19265+34650.5+35095.5+42312+25849+10987+7528+3248+2395.5+3280.5+3141.5+4280+3042+1597+6128+4358+2107+777+4230+4335.5+1718.5+594+1978+2020+7747.5+1188+329+1188+823</f>
        <v>1058810</v>
      </c>
      <c r="Q332" s="272">
        <f>34650+19352+14525+10591+7581+5012+3223+6065+6865+6589+3930+1782+1091+624+468+512+688+987+804+306+1395+991+478+166+1058+1084+430+148+474+261+1593+297+63+238+398</f>
        <v>134719</v>
      </c>
      <c r="R332" s="297">
        <v>40970</v>
      </c>
    </row>
    <row r="333" spans="1:18" ht="9" customHeight="1">
      <c r="A333" s="760"/>
      <c r="B333" s="760"/>
      <c r="C333" s="760"/>
      <c r="D333" s="760"/>
      <c r="E333" s="767" t="s">
        <v>55</v>
      </c>
      <c r="F333" s="762"/>
      <c r="G333" s="528" t="s">
        <v>681</v>
      </c>
      <c r="H333" s="528" t="s">
        <v>682</v>
      </c>
      <c r="I333" s="528" t="s">
        <v>248</v>
      </c>
      <c r="J333" s="528" t="s">
        <v>683</v>
      </c>
      <c r="K333" s="488">
        <v>40816</v>
      </c>
      <c r="L333" s="526" t="s">
        <v>68</v>
      </c>
      <c r="M333" s="254">
        <v>20</v>
      </c>
      <c r="N333" s="270">
        <v>440</v>
      </c>
      <c r="O333" s="272">
        <v>63</v>
      </c>
      <c r="P333" s="270">
        <f>75142.5+52388.5+8679+971+3899.5+2877+58+4904+58+2376+150+440</f>
        <v>151943.5</v>
      </c>
      <c r="Q333" s="272">
        <f>6131+4590+666+86+328+725+26+1257+26+594+15+63</f>
        <v>14507</v>
      </c>
      <c r="R333" s="297">
        <v>40970</v>
      </c>
    </row>
    <row r="334" spans="1:18" ht="9" customHeight="1">
      <c r="A334" s="755"/>
      <c r="B334" s="755"/>
      <c r="C334" s="755"/>
      <c r="D334" s="755"/>
      <c r="E334" s="765" t="s">
        <v>55</v>
      </c>
      <c r="F334" s="758"/>
      <c r="G334" s="491" t="s">
        <v>681</v>
      </c>
      <c r="H334" s="491" t="s">
        <v>682</v>
      </c>
      <c r="I334" s="491" t="s">
        <v>248</v>
      </c>
      <c r="J334" s="491" t="s">
        <v>683</v>
      </c>
      <c r="K334" s="488">
        <v>40816</v>
      </c>
      <c r="L334" s="487" t="s">
        <v>68</v>
      </c>
      <c r="M334" s="254">
        <v>20</v>
      </c>
      <c r="N334" s="458">
        <v>150</v>
      </c>
      <c r="O334" s="459">
        <v>15</v>
      </c>
      <c r="P334" s="458">
        <f>75142.5+52388.5+8679+971+3899.5+2877+58+4904+58+2376+150</f>
        <v>151503.5</v>
      </c>
      <c r="Q334" s="459">
        <f>6131+4590+666+86+328+725+26+1257+26+594+15</f>
        <v>14444</v>
      </c>
      <c r="R334" s="297">
        <v>40963</v>
      </c>
    </row>
    <row r="335" spans="1:18" ht="9" customHeight="1">
      <c r="A335" s="760"/>
      <c r="B335" s="760"/>
      <c r="C335" s="760"/>
      <c r="D335" s="760"/>
      <c r="E335" s="761"/>
      <c r="F335" s="768" t="s">
        <v>54</v>
      </c>
      <c r="G335" s="528" t="s">
        <v>710</v>
      </c>
      <c r="H335" s="258"/>
      <c r="I335" s="527"/>
      <c r="J335" s="528" t="s">
        <v>710</v>
      </c>
      <c r="K335" s="488">
        <v>39836</v>
      </c>
      <c r="L335" s="526" t="s">
        <v>68</v>
      </c>
      <c r="M335" s="254">
        <v>13</v>
      </c>
      <c r="N335" s="270">
        <v>1780</v>
      </c>
      <c r="O335" s="272">
        <v>356</v>
      </c>
      <c r="P335" s="270">
        <f>57133.5+23554+18557+9186+29743.5+13631.5+13446+7072+7029+8018.5+7220.5+2856.5+1828+102+3517+635+324+30+2146+1842+376+154+799+463.52+415.64+339.28+4160+712+230+1780</f>
        <v>217301.44</v>
      </c>
      <c r="Q335" s="272">
        <f>5405+2651+2356+1389+3583+1713+1661+1216+1174+1324+1425+542+453+16+757+96+108+10+508+436+35+14+67+102+95+80+1040+178+60+356</f>
        <v>28850</v>
      </c>
      <c r="R335" s="297">
        <v>40970</v>
      </c>
    </row>
    <row r="336" spans="1:18" ht="9" customHeight="1">
      <c r="A336" s="759"/>
      <c r="B336" s="759"/>
      <c r="C336" s="759"/>
      <c r="D336" s="771" t="s">
        <v>292</v>
      </c>
      <c r="E336" s="763"/>
      <c r="F336" s="763"/>
      <c r="G336" s="495" t="s">
        <v>65</v>
      </c>
      <c r="H336" s="496" t="s">
        <v>91</v>
      </c>
      <c r="I336" s="510" t="s">
        <v>94</v>
      </c>
      <c r="J336" s="496" t="s">
        <v>65</v>
      </c>
      <c r="K336" s="503">
        <v>40837</v>
      </c>
      <c r="L336" s="487" t="s">
        <v>12</v>
      </c>
      <c r="M336" s="254">
        <v>112</v>
      </c>
      <c r="N336" s="214">
        <v>4349</v>
      </c>
      <c r="O336" s="217">
        <v>651</v>
      </c>
      <c r="P336" s="214">
        <v>2336338</v>
      </c>
      <c r="Q336" s="307">
        <v>245652</v>
      </c>
      <c r="R336" s="297">
        <v>40907</v>
      </c>
    </row>
    <row r="337" spans="1:18" ht="9" customHeight="1">
      <c r="A337" s="755"/>
      <c r="B337" s="755"/>
      <c r="C337" s="755"/>
      <c r="D337" s="771" t="s">
        <v>292</v>
      </c>
      <c r="E337" s="756"/>
      <c r="F337" s="756"/>
      <c r="G337" s="495" t="s">
        <v>65</v>
      </c>
      <c r="H337" s="496" t="s">
        <v>91</v>
      </c>
      <c r="I337" s="510" t="s">
        <v>94</v>
      </c>
      <c r="J337" s="496" t="s">
        <v>65</v>
      </c>
      <c r="K337" s="503">
        <v>40837</v>
      </c>
      <c r="L337" s="487" t="s">
        <v>12</v>
      </c>
      <c r="M337" s="254">
        <v>112</v>
      </c>
      <c r="N337" s="214">
        <v>3941</v>
      </c>
      <c r="O337" s="217">
        <v>554</v>
      </c>
      <c r="P337" s="214">
        <v>2341282</v>
      </c>
      <c r="Q337" s="217">
        <v>246371</v>
      </c>
      <c r="R337" s="218">
        <v>40928</v>
      </c>
    </row>
    <row r="338" spans="1:18" ht="9" customHeight="1">
      <c r="A338" s="755"/>
      <c r="B338" s="755"/>
      <c r="C338" s="755"/>
      <c r="D338" s="771" t="s">
        <v>292</v>
      </c>
      <c r="E338" s="756"/>
      <c r="F338" s="756"/>
      <c r="G338" s="495" t="s">
        <v>65</v>
      </c>
      <c r="H338" s="496" t="s">
        <v>91</v>
      </c>
      <c r="I338" s="510" t="s">
        <v>94</v>
      </c>
      <c r="J338" s="496" t="s">
        <v>65</v>
      </c>
      <c r="K338" s="503">
        <v>40837</v>
      </c>
      <c r="L338" s="487" t="s">
        <v>12</v>
      </c>
      <c r="M338" s="254">
        <v>112</v>
      </c>
      <c r="N338" s="497">
        <v>1003</v>
      </c>
      <c r="O338" s="498">
        <v>165</v>
      </c>
      <c r="P338" s="497">
        <v>2337341</v>
      </c>
      <c r="Q338" s="298">
        <v>245817</v>
      </c>
      <c r="R338" s="218">
        <v>40914</v>
      </c>
    </row>
    <row r="339" spans="1:18" ht="9" customHeight="1">
      <c r="A339" s="769" t="s">
        <v>223</v>
      </c>
      <c r="B339" s="759"/>
      <c r="C339" s="774">
        <v>2</v>
      </c>
      <c r="D339" s="755"/>
      <c r="E339" s="758"/>
      <c r="F339" s="756"/>
      <c r="G339" s="491" t="s">
        <v>658</v>
      </c>
      <c r="H339" s="492" t="s">
        <v>126</v>
      </c>
      <c r="I339" s="493" t="s">
        <v>89</v>
      </c>
      <c r="J339" s="491" t="s">
        <v>663</v>
      </c>
      <c r="K339" s="488">
        <v>40228</v>
      </c>
      <c r="L339" s="487" t="s">
        <v>68</v>
      </c>
      <c r="M339" s="254">
        <v>88</v>
      </c>
      <c r="N339" s="458">
        <v>1782</v>
      </c>
      <c r="O339" s="459">
        <v>356</v>
      </c>
      <c r="P339" s="458">
        <f>848677.55+469+99+661+35+1782+1782+1782</f>
        <v>855287.55</v>
      </c>
      <c r="Q339" s="459">
        <f>99747+71+15+97+3+445+445+356</f>
        <v>101179</v>
      </c>
      <c r="R339" s="218">
        <v>40956</v>
      </c>
    </row>
    <row r="340" spans="1:18" ht="9" customHeight="1">
      <c r="A340" s="759"/>
      <c r="B340" s="759"/>
      <c r="C340" s="759"/>
      <c r="D340" s="759"/>
      <c r="E340" s="758"/>
      <c r="F340" s="758"/>
      <c r="G340" s="494" t="s">
        <v>154</v>
      </c>
      <c r="H340" s="492" t="s">
        <v>194</v>
      </c>
      <c r="I340" s="493" t="s">
        <v>79</v>
      </c>
      <c r="J340" s="491" t="s">
        <v>155</v>
      </c>
      <c r="K340" s="503">
        <v>40781</v>
      </c>
      <c r="L340" s="487" t="s">
        <v>68</v>
      </c>
      <c r="M340" s="254">
        <v>25</v>
      </c>
      <c r="N340" s="458">
        <v>3841</v>
      </c>
      <c r="O340" s="459">
        <v>653</v>
      </c>
      <c r="P340" s="458">
        <f>144733+112570+56967.5+34113.5+30823.5+33890.5+41306+25896.5+24762.5+2776+2376+588+744+1788+950.5+3841</f>
        <v>518126.5</v>
      </c>
      <c r="Q340" s="459">
        <f>11669+10065+5619+3946+3929+4284+5351+3682+3657+420+594+249+124+397+237+653</f>
        <v>54876</v>
      </c>
      <c r="R340" s="297">
        <v>40907</v>
      </c>
    </row>
    <row r="341" spans="1:18" ht="9" customHeight="1">
      <c r="A341" s="755"/>
      <c r="B341" s="755"/>
      <c r="C341" s="755"/>
      <c r="D341" s="755"/>
      <c r="E341" s="756"/>
      <c r="F341" s="756"/>
      <c r="G341" s="494" t="s">
        <v>154</v>
      </c>
      <c r="H341" s="492" t="s">
        <v>194</v>
      </c>
      <c r="I341" s="493" t="s">
        <v>79</v>
      </c>
      <c r="J341" s="491" t="s">
        <v>155</v>
      </c>
      <c r="K341" s="503">
        <v>40781</v>
      </c>
      <c r="L341" s="487" t="s">
        <v>68</v>
      </c>
      <c r="M341" s="254">
        <v>25</v>
      </c>
      <c r="N341" s="458">
        <v>1705</v>
      </c>
      <c r="O341" s="459">
        <v>271</v>
      </c>
      <c r="P341" s="458">
        <f>144733+112570+56967.5+34113.5+30823.5+33890.5+41306+25896.5+24762.5+2776+2376+588+744+1788+950.5+3841+1705</f>
        <v>519831.5</v>
      </c>
      <c r="Q341" s="296">
        <f>11669+10065+5619+3946+3929+4284+5351+3682+3657+420+594+249+124+397+237+653+271</f>
        <v>55147</v>
      </c>
      <c r="R341" s="218">
        <v>40914</v>
      </c>
    </row>
    <row r="342" spans="1:18" ht="9" customHeight="1">
      <c r="A342" s="755"/>
      <c r="B342" s="755"/>
      <c r="C342" s="755"/>
      <c r="D342" s="755"/>
      <c r="E342" s="756"/>
      <c r="F342" s="756"/>
      <c r="G342" s="494" t="s">
        <v>154</v>
      </c>
      <c r="H342" s="492" t="s">
        <v>194</v>
      </c>
      <c r="I342" s="493" t="s">
        <v>79</v>
      </c>
      <c r="J342" s="491" t="s">
        <v>155</v>
      </c>
      <c r="K342" s="503">
        <v>40781</v>
      </c>
      <c r="L342" s="487" t="s">
        <v>68</v>
      </c>
      <c r="M342" s="254">
        <v>25</v>
      </c>
      <c r="N342" s="458">
        <v>854</v>
      </c>
      <c r="O342" s="459">
        <v>126</v>
      </c>
      <c r="P342" s="458">
        <f>144733+112570+56967.5+34113.5+30823.5+33890.5+41306+25896.5+24762.5+2776+2376+588+744+1788+950.5+3841+1705+854</f>
        <v>520685.5</v>
      </c>
      <c r="Q342" s="459">
        <f>11669+10065+5619+3946+3929+4284+5351+3682+3657+420+594+249+124+397+237+653+271+126</f>
        <v>55273</v>
      </c>
      <c r="R342" s="218">
        <v>40921</v>
      </c>
    </row>
    <row r="343" spans="1:18" ht="9" customHeight="1">
      <c r="A343" s="769" t="s">
        <v>223</v>
      </c>
      <c r="B343" s="779">
        <v>3</v>
      </c>
      <c r="C343" s="774">
        <v>2</v>
      </c>
      <c r="D343" s="771" t="s">
        <v>292</v>
      </c>
      <c r="E343" s="756"/>
      <c r="F343" s="756"/>
      <c r="G343" s="496" t="s">
        <v>655</v>
      </c>
      <c r="H343" s="492" t="s">
        <v>92</v>
      </c>
      <c r="I343" s="496" t="s">
        <v>94</v>
      </c>
      <c r="J343" s="496" t="s">
        <v>656</v>
      </c>
      <c r="K343" s="488">
        <v>40682</v>
      </c>
      <c r="L343" s="487" t="s">
        <v>12</v>
      </c>
      <c r="M343" s="254">
        <v>115</v>
      </c>
      <c r="N343" s="214">
        <v>320</v>
      </c>
      <c r="O343" s="217">
        <v>20</v>
      </c>
      <c r="P343" s="214">
        <v>13128382</v>
      </c>
      <c r="Q343" s="307">
        <v>1170803</v>
      </c>
      <c r="R343" s="218">
        <v>40956</v>
      </c>
    </row>
    <row r="344" spans="1:18" ht="9" customHeight="1">
      <c r="A344" s="755"/>
      <c r="B344" s="755"/>
      <c r="C344" s="755"/>
      <c r="D344" s="755"/>
      <c r="E344" s="765" t="s">
        <v>55</v>
      </c>
      <c r="F344" s="758"/>
      <c r="G344" s="494" t="s">
        <v>355</v>
      </c>
      <c r="H344" s="491" t="s">
        <v>365</v>
      </c>
      <c r="I344" s="491" t="s">
        <v>85</v>
      </c>
      <c r="J344" s="491" t="s">
        <v>362</v>
      </c>
      <c r="K344" s="488">
        <v>40347</v>
      </c>
      <c r="L344" s="487" t="s">
        <v>68</v>
      </c>
      <c r="M344" s="254">
        <v>66</v>
      </c>
      <c r="N344" s="458">
        <v>2138.5</v>
      </c>
      <c r="O344" s="459">
        <v>535</v>
      </c>
      <c r="P344" s="458">
        <f>478213+7083+3309.5+6055+4900+8378+4378.5+2349+3103+2074+7679.5+6108+2991.5+2180+2234+642+2775.5+1757+1151+3382+60+1782+2851+1188+713+286+2138.5+2138.5</f>
        <v>561900.5</v>
      </c>
      <c r="Q344" s="459">
        <f>55327+1259+553+1133+756+1285+650+408+682+334+1688+1394+539+483+475+201+677+260+202+852+20+445+712+297+178+67+535+535</f>
        <v>71947</v>
      </c>
      <c r="R344" s="218">
        <v>40921</v>
      </c>
    </row>
    <row r="345" spans="1:18" ht="9" customHeight="1">
      <c r="A345" s="755"/>
      <c r="B345" s="755"/>
      <c r="C345" s="755"/>
      <c r="D345" s="755"/>
      <c r="E345" s="765" t="s">
        <v>55</v>
      </c>
      <c r="F345" s="758"/>
      <c r="G345" s="494" t="s">
        <v>355</v>
      </c>
      <c r="H345" s="491" t="s">
        <v>365</v>
      </c>
      <c r="I345" s="491" t="s">
        <v>85</v>
      </c>
      <c r="J345" s="491" t="s">
        <v>362</v>
      </c>
      <c r="K345" s="488">
        <v>40347</v>
      </c>
      <c r="L345" s="487" t="s">
        <v>68</v>
      </c>
      <c r="M345" s="254">
        <v>66</v>
      </c>
      <c r="N345" s="458">
        <v>2138.5</v>
      </c>
      <c r="O345" s="459">
        <v>535</v>
      </c>
      <c r="P345" s="458">
        <f>478213+7083+3309.5+6055+4900+8378+4378.5+2349+3103+2074+7679.5+6108+2991.5+2180+2234+642+2775.5+1757+1151+3382+60+1782+2851+1188+713+286+2138.5</f>
        <v>559762</v>
      </c>
      <c r="Q345" s="296">
        <f>55327+1259+553+1133+756+1285+650+408+682+334+1688+1394+539+483+475+201+677+260+202+852+20+445+712+297+178+67+535</f>
        <v>71412</v>
      </c>
      <c r="R345" s="218">
        <v>40914</v>
      </c>
    </row>
    <row r="346" spans="1:18" ht="9" customHeight="1">
      <c r="A346" s="755"/>
      <c r="B346" s="755"/>
      <c r="C346" s="755"/>
      <c r="D346" s="755"/>
      <c r="E346" s="765" t="s">
        <v>55</v>
      </c>
      <c r="F346" s="758"/>
      <c r="G346" s="494" t="s">
        <v>355</v>
      </c>
      <c r="H346" s="491" t="s">
        <v>365</v>
      </c>
      <c r="I346" s="491" t="s">
        <v>85</v>
      </c>
      <c r="J346" s="491" t="s">
        <v>362</v>
      </c>
      <c r="K346" s="488">
        <v>40347</v>
      </c>
      <c r="L346" s="487" t="s">
        <v>68</v>
      </c>
      <c r="M346" s="254">
        <v>66</v>
      </c>
      <c r="N346" s="458">
        <v>2138.5</v>
      </c>
      <c r="O346" s="459">
        <v>535</v>
      </c>
      <c r="P346" s="458">
        <f>478213+7083+3309.5+6055+4900+8378+4378.5+2349+3103+2074+7679.5+6108+2991.5+2180+2234+642+2775.5+1757+1151+3382+60+1782+2851+1188+713+286+2138.5+2138.5+2138.5</f>
        <v>564039</v>
      </c>
      <c r="Q346" s="459">
        <f>55327+1259+553+1133+756+1285+650+408+682+334+1688+1394+539+483+475+201+677+260+202+852+20+445+712+297+178+67+535+535+535</f>
        <v>72482</v>
      </c>
      <c r="R346" s="218">
        <v>40928</v>
      </c>
    </row>
    <row r="347" spans="1:18" ht="9" customHeight="1">
      <c r="A347" s="755"/>
      <c r="B347" s="759"/>
      <c r="C347" s="755"/>
      <c r="D347" s="755"/>
      <c r="E347" s="756"/>
      <c r="F347" s="757" t="s">
        <v>54</v>
      </c>
      <c r="G347" s="491" t="s">
        <v>629</v>
      </c>
      <c r="H347" s="491" t="s">
        <v>635</v>
      </c>
      <c r="I347" s="493"/>
      <c r="J347" s="491" t="s">
        <v>629</v>
      </c>
      <c r="K347" s="488">
        <v>40620</v>
      </c>
      <c r="L347" s="487" t="s">
        <v>68</v>
      </c>
      <c r="M347" s="254">
        <v>18</v>
      </c>
      <c r="N347" s="458">
        <v>713</v>
      </c>
      <c r="O347" s="459">
        <v>143</v>
      </c>
      <c r="P347" s="458">
        <f>39453.5+44225+30459.5+23462+13989+8982.5+6844+2370+4120+2588+1886+275+713</f>
        <v>179367.5</v>
      </c>
      <c r="Q347" s="296">
        <f>5345+6302+4080+3427+1964+1106+1298+366+730+571+456+44+143</f>
        <v>25832</v>
      </c>
      <c r="R347" s="218">
        <v>40949</v>
      </c>
    </row>
    <row r="348" spans="1:18" ht="9" customHeight="1">
      <c r="A348" s="769" t="s">
        <v>223</v>
      </c>
      <c r="B348" s="779">
        <v>3</v>
      </c>
      <c r="C348" s="774">
        <v>2</v>
      </c>
      <c r="D348" s="755"/>
      <c r="E348" s="765" t="s">
        <v>55</v>
      </c>
      <c r="F348" s="756"/>
      <c r="G348" s="494" t="s">
        <v>383</v>
      </c>
      <c r="H348" s="492" t="s">
        <v>217</v>
      </c>
      <c r="I348" s="493" t="s">
        <v>94</v>
      </c>
      <c r="J348" s="491" t="s">
        <v>384</v>
      </c>
      <c r="K348" s="488">
        <v>40921</v>
      </c>
      <c r="L348" s="487" t="s">
        <v>12</v>
      </c>
      <c r="M348" s="254">
        <v>101</v>
      </c>
      <c r="N348" s="214">
        <v>2186377</v>
      </c>
      <c r="O348" s="217">
        <v>209171</v>
      </c>
      <c r="P348" s="214">
        <v>2186377</v>
      </c>
      <c r="Q348" s="307">
        <v>209171</v>
      </c>
      <c r="R348" s="218">
        <v>40921</v>
      </c>
    </row>
    <row r="349" spans="1:18" ht="9" customHeight="1">
      <c r="A349" s="759"/>
      <c r="B349" s="755"/>
      <c r="C349" s="755"/>
      <c r="D349" s="755"/>
      <c r="E349" s="765" t="s">
        <v>55</v>
      </c>
      <c r="F349" s="756"/>
      <c r="G349" s="495" t="s">
        <v>198</v>
      </c>
      <c r="H349" s="492" t="s">
        <v>208</v>
      </c>
      <c r="I349" s="496" t="s">
        <v>94</v>
      </c>
      <c r="J349" s="496" t="s">
        <v>198</v>
      </c>
      <c r="K349" s="488">
        <v>40606</v>
      </c>
      <c r="L349" s="487" t="s">
        <v>12</v>
      </c>
      <c r="M349" s="254">
        <v>104</v>
      </c>
      <c r="N349" s="214">
        <v>1197</v>
      </c>
      <c r="O349" s="217">
        <v>189</v>
      </c>
      <c r="P349" s="214">
        <v>1288731</v>
      </c>
      <c r="Q349" s="217">
        <v>133813</v>
      </c>
      <c r="R349" s="218">
        <v>40935</v>
      </c>
    </row>
    <row r="350" spans="1:18" ht="9" customHeight="1">
      <c r="A350" s="759"/>
      <c r="B350" s="759"/>
      <c r="C350" s="759"/>
      <c r="D350" s="759"/>
      <c r="E350" s="765" t="s">
        <v>55</v>
      </c>
      <c r="F350" s="763"/>
      <c r="G350" s="495" t="s">
        <v>198</v>
      </c>
      <c r="H350" s="492" t="s">
        <v>208</v>
      </c>
      <c r="I350" s="496" t="s">
        <v>94</v>
      </c>
      <c r="J350" s="496" t="s">
        <v>198</v>
      </c>
      <c r="K350" s="488">
        <v>40606</v>
      </c>
      <c r="L350" s="487" t="s">
        <v>12</v>
      </c>
      <c r="M350" s="254">
        <v>104</v>
      </c>
      <c r="N350" s="214">
        <v>297</v>
      </c>
      <c r="O350" s="217">
        <v>59</v>
      </c>
      <c r="P350" s="214">
        <v>1287202</v>
      </c>
      <c r="Q350" s="307">
        <v>133558</v>
      </c>
      <c r="R350" s="297">
        <v>40907</v>
      </c>
    </row>
    <row r="351" spans="1:18" ht="9" customHeight="1">
      <c r="A351" s="755"/>
      <c r="B351" s="755"/>
      <c r="C351" s="755"/>
      <c r="D351" s="759"/>
      <c r="E351" s="765" t="s">
        <v>55</v>
      </c>
      <c r="F351" s="763"/>
      <c r="G351" s="495" t="s">
        <v>197</v>
      </c>
      <c r="H351" s="492" t="s">
        <v>209</v>
      </c>
      <c r="I351" s="496" t="s">
        <v>94</v>
      </c>
      <c r="J351" s="496" t="s">
        <v>201</v>
      </c>
      <c r="K351" s="488">
        <v>40823</v>
      </c>
      <c r="L351" s="487" t="s">
        <v>12</v>
      </c>
      <c r="M351" s="254">
        <v>105</v>
      </c>
      <c r="N351" s="497">
        <v>2631</v>
      </c>
      <c r="O351" s="498">
        <v>391</v>
      </c>
      <c r="P351" s="497">
        <v>1141116</v>
      </c>
      <c r="Q351" s="298">
        <v>122643</v>
      </c>
      <c r="R351" s="218">
        <v>40914</v>
      </c>
    </row>
    <row r="352" spans="1:18" ht="9" customHeight="1">
      <c r="A352" s="759"/>
      <c r="B352" s="759"/>
      <c r="C352" s="759"/>
      <c r="D352" s="759"/>
      <c r="E352" s="765" t="s">
        <v>55</v>
      </c>
      <c r="F352" s="763"/>
      <c r="G352" s="495" t="s">
        <v>197</v>
      </c>
      <c r="H352" s="492" t="s">
        <v>209</v>
      </c>
      <c r="I352" s="496" t="s">
        <v>94</v>
      </c>
      <c r="J352" s="496" t="s">
        <v>201</v>
      </c>
      <c r="K352" s="488">
        <v>40823</v>
      </c>
      <c r="L352" s="487" t="s">
        <v>12</v>
      </c>
      <c r="M352" s="254">
        <v>105</v>
      </c>
      <c r="N352" s="214">
        <v>781</v>
      </c>
      <c r="O352" s="217">
        <v>132</v>
      </c>
      <c r="P352" s="214">
        <v>1138485</v>
      </c>
      <c r="Q352" s="307">
        <v>122252</v>
      </c>
      <c r="R352" s="297">
        <v>40907</v>
      </c>
    </row>
    <row r="353" spans="1:18" ht="9" customHeight="1">
      <c r="A353" s="755"/>
      <c r="B353" s="755"/>
      <c r="C353" s="755"/>
      <c r="D353" s="759"/>
      <c r="E353" s="765" t="s">
        <v>55</v>
      </c>
      <c r="F353" s="763"/>
      <c r="G353" s="495" t="s">
        <v>197</v>
      </c>
      <c r="H353" s="492" t="s">
        <v>209</v>
      </c>
      <c r="I353" s="496" t="s">
        <v>94</v>
      </c>
      <c r="J353" s="496" t="s">
        <v>201</v>
      </c>
      <c r="K353" s="488">
        <v>40823</v>
      </c>
      <c r="L353" s="487" t="s">
        <v>12</v>
      </c>
      <c r="M353" s="254">
        <v>105</v>
      </c>
      <c r="N353" s="214">
        <v>639</v>
      </c>
      <c r="O353" s="217">
        <v>93</v>
      </c>
      <c r="P353" s="214">
        <v>1141755</v>
      </c>
      <c r="Q353" s="307">
        <v>122736</v>
      </c>
      <c r="R353" s="218">
        <v>40921</v>
      </c>
    </row>
    <row r="354" spans="1:18" ht="9" customHeight="1">
      <c r="A354" s="755"/>
      <c r="B354" s="755"/>
      <c r="C354" s="755"/>
      <c r="D354" s="755"/>
      <c r="E354" s="756"/>
      <c r="F354" s="757" t="s">
        <v>54</v>
      </c>
      <c r="G354" s="504" t="s">
        <v>304</v>
      </c>
      <c r="H354" s="492" t="s">
        <v>112</v>
      </c>
      <c r="I354" s="492"/>
      <c r="J354" s="493" t="s">
        <v>111</v>
      </c>
      <c r="K354" s="488">
        <v>40886</v>
      </c>
      <c r="L354" s="487" t="s">
        <v>52</v>
      </c>
      <c r="M354" s="449">
        <v>8</v>
      </c>
      <c r="N354" s="514">
        <v>1920</v>
      </c>
      <c r="O354" s="515">
        <v>379</v>
      </c>
      <c r="P354" s="514">
        <f>11392+5145+695+1862+1920</f>
        <v>21014</v>
      </c>
      <c r="Q354" s="217">
        <f>1392+701+109+241+379</f>
        <v>2822</v>
      </c>
      <c r="R354" s="218">
        <v>40921</v>
      </c>
    </row>
    <row r="355" spans="1:18" ht="9" customHeight="1">
      <c r="A355" s="759"/>
      <c r="B355" s="759"/>
      <c r="C355" s="759"/>
      <c r="D355" s="759"/>
      <c r="E355" s="758"/>
      <c r="F355" s="757" t="s">
        <v>54</v>
      </c>
      <c r="G355" s="504" t="s">
        <v>304</v>
      </c>
      <c r="H355" s="492" t="s">
        <v>112</v>
      </c>
      <c r="I355" s="492"/>
      <c r="J355" s="493" t="s">
        <v>111</v>
      </c>
      <c r="K355" s="488">
        <v>40886</v>
      </c>
      <c r="L355" s="487" t="s">
        <v>52</v>
      </c>
      <c r="M355" s="449">
        <v>8</v>
      </c>
      <c r="N355" s="512">
        <v>1862</v>
      </c>
      <c r="O355" s="513">
        <v>241</v>
      </c>
      <c r="P355" s="512">
        <f>11392+5145+695+1862</f>
        <v>19094</v>
      </c>
      <c r="Q355" s="217">
        <f>1392+701+109+241</f>
        <v>2443</v>
      </c>
      <c r="R355" s="297">
        <v>40907</v>
      </c>
    </row>
    <row r="356" spans="1:18" ht="9" customHeight="1">
      <c r="A356" s="755"/>
      <c r="B356" s="755"/>
      <c r="C356" s="755"/>
      <c r="D356" s="755"/>
      <c r="E356" s="756"/>
      <c r="F356" s="757" t="s">
        <v>54</v>
      </c>
      <c r="G356" s="492" t="s">
        <v>304</v>
      </c>
      <c r="H356" s="492" t="s">
        <v>112</v>
      </c>
      <c r="I356" s="492"/>
      <c r="J356" s="493" t="s">
        <v>111</v>
      </c>
      <c r="K356" s="488">
        <v>40886</v>
      </c>
      <c r="L356" s="487" t="s">
        <v>52</v>
      </c>
      <c r="M356" s="449">
        <v>8</v>
      </c>
      <c r="N356" s="214">
        <v>1782</v>
      </c>
      <c r="O356" s="217">
        <v>356</v>
      </c>
      <c r="P356" s="214">
        <f>11392+5145+695+1862+1920+1782</f>
        <v>22796</v>
      </c>
      <c r="Q356" s="307">
        <f>1392+701+109+241+379+356</f>
        <v>3178</v>
      </c>
      <c r="R356" s="218">
        <v>40949</v>
      </c>
    </row>
    <row r="357" spans="1:18" ht="9" customHeight="1">
      <c r="A357" s="755"/>
      <c r="B357" s="759"/>
      <c r="C357" s="755"/>
      <c r="D357" s="755"/>
      <c r="E357" s="756"/>
      <c r="F357" s="756"/>
      <c r="G357" s="494" t="s">
        <v>190</v>
      </c>
      <c r="H357" s="491" t="s">
        <v>195</v>
      </c>
      <c r="I357" s="493" t="s">
        <v>79</v>
      </c>
      <c r="J357" s="491" t="s">
        <v>192</v>
      </c>
      <c r="K357" s="488">
        <v>40816</v>
      </c>
      <c r="L357" s="487" t="s">
        <v>68</v>
      </c>
      <c r="M357" s="254">
        <v>25</v>
      </c>
      <c r="N357" s="458">
        <v>5134</v>
      </c>
      <c r="O357" s="459">
        <v>664</v>
      </c>
      <c r="P357" s="458">
        <f>80510.5+53296+49611.5+29276.5+2781+46429+5648+1635+6908.5+15320.5+732+943+3320+5134</f>
        <v>301545.5</v>
      </c>
      <c r="Q357" s="459">
        <f>8978+6079+6067+4144+482+6937+761+224+842+1960+107+134+565+664</f>
        <v>37944</v>
      </c>
      <c r="R357" s="218">
        <v>40928</v>
      </c>
    </row>
    <row r="358" spans="1:18" ht="9" customHeight="1">
      <c r="A358" s="759"/>
      <c r="B358" s="759"/>
      <c r="C358" s="759"/>
      <c r="D358" s="759"/>
      <c r="E358" s="758"/>
      <c r="F358" s="758"/>
      <c r="G358" s="494" t="s">
        <v>190</v>
      </c>
      <c r="H358" s="492" t="s">
        <v>195</v>
      </c>
      <c r="I358" s="493" t="s">
        <v>79</v>
      </c>
      <c r="J358" s="491" t="s">
        <v>192</v>
      </c>
      <c r="K358" s="488">
        <v>40816</v>
      </c>
      <c r="L358" s="487" t="s">
        <v>68</v>
      </c>
      <c r="M358" s="254">
        <v>25</v>
      </c>
      <c r="N358" s="458">
        <v>3320</v>
      </c>
      <c r="O358" s="459">
        <v>565</v>
      </c>
      <c r="P358" s="458">
        <f>80510.5+53296+49611.5+29276.5+2781+46429+5648+1635+6908.5+15320.5+732+943+3320</f>
        <v>296411.5</v>
      </c>
      <c r="Q358" s="459">
        <f>8978+6079+6067+4144+482+6937+761+224+842+1960+107+134+565</f>
        <v>37280</v>
      </c>
      <c r="R358" s="297">
        <v>40907</v>
      </c>
    </row>
    <row r="359" spans="1:18" ht="9" customHeight="1">
      <c r="A359" s="755"/>
      <c r="B359" s="759"/>
      <c r="C359" s="755"/>
      <c r="D359" s="755"/>
      <c r="E359" s="756"/>
      <c r="F359" s="756"/>
      <c r="G359" s="491" t="s">
        <v>190</v>
      </c>
      <c r="H359" s="491" t="s">
        <v>195</v>
      </c>
      <c r="I359" s="493" t="s">
        <v>79</v>
      </c>
      <c r="J359" s="491" t="s">
        <v>192</v>
      </c>
      <c r="K359" s="488">
        <v>40816</v>
      </c>
      <c r="L359" s="487" t="s">
        <v>68</v>
      </c>
      <c r="M359" s="254">
        <v>25</v>
      </c>
      <c r="N359" s="458">
        <v>495</v>
      </c>
      <c r="O359" s="459">
        <v>72</v>
      </c>
      <c r="P359" s="458">
        <f>80510.5+53296+49611.5+29276.5+2781+46429+5648+1635+6908.5+15320.5+732+943+3320+5134+495</f>
        <v>302040.5</v>
      </c>
      <c r="Q359" s="296">
        <f>8978+6079+6067+4144+482+6937+761+224+842+1960+107+134+565+664+72</f>
        <v>38016</v>
      </c>
      <c r="R359" s="218">
        <v>40949</v>
      </c>
    </row>
    <row r="360" spans="1:18" ht="9" customHeight="1">
      <c r="A360" s="755"/>
      <c r="B360" s="755"/>
      <c r="C360" s="755"/>
      <c r="D360" s="755"/>
      <c r="E360" s="765" t="s">
        <v>55</v>
      </c>
      <c r="F360" s="758"/>
      <c r="G360" s="494" t="s">
        <v>354</v>
      </c>
      <c r="H360" s="491" t="s">
        <v>126</v>
      </c>
      <c r="I360" s="493" t="s">
        <v>397</v>
      </c>
      <c r="J360" s="491" t="s">
        <v>354</v>
      </c>
      <c r="K360" s="488">
        <v>40641</v>
      </c>
      <c r="L360" s="487" t="s">
        <v>68</v>
      </c>
      <c r="M360" s="254">
        <v>137</v>
      </c>
      <c r="N360" s="458">
        <v>4989.5</v>
      </c>
      <c r="O360" s="459">
        <v>1248</v>
      </c>
      <c r="P360" s="458">
        <f>1093950.25+883807.25+882248.49+232093.5+101981.5+57830.5+19947.5+33359.5+10973.5+10465+4630+3501.5+10659+9758.5+3633+5790+6145.5+1329.5+1868.5+1128+2980.5+1299.5+16988+15449+14138+200+1908+7960+4871+1544.5+1533+891+3175+713+425+224+993+2318+3705+4989.5</f>
        <v>3461405.49</v>
      </c>
      <c r="Q360" s="459">
        <f>103570+88345+90215+25333+13427+8958+3731+5336+2366+2057+997+691+1831+2140+654+1021+736+207+401+189+424+234+4142+3841+3526+40+471+1991+1218+386+96+56+735+178+84+42+228+1120+1571+1248</f>
        <v>373836</v>
      </c>
      <c r="R360" s="218">
        <v>40928</v>
      </c>
    </row>
    <row r="361" spans="1:18" ht="9" customHeight="1">
      <c r="A361" s="755"/>
      <c r="B361" s="755"/>
      <c r="C361" s="755"/>
      <c r="D361" s="755"/>
      <c r="E361" s="765" t="s">
        <v>55</v>
      </c>
      <c r="F361" s="758"/>
      <c r="G361" s="494" t="s">
        <v>354</v>
      </c>
      <c r="H361" s="491" t="s">
        <v>126</v>
      </c>
      <c r="I361" s="493" t="s">
        <v>397</v>
      </c>
      <c r="J361" s="491" t="s">
        <v>354</v>
      </c>
      <c r="K361" s="488">
        <v>40641</v>
      </c>
      <c r="L361" s="487" t="s">
        <v>68</v>
      </c>
      <c r="M361" s="254">
        <v>137</v>
      </c>
      <c r="N361" s="458">
        <v>3705</v>
      </c>
      <c r="O361" s="459">
        <v>1571</v>
      </c>
      <c r="P361" s="458">
        <f>1093950.25+883807.25+882248.49+232093.5+101981.5+57830.5+19947.5+33359.5+10973.5+10465+4630+3501.5+10659+9758.5+3633+5790+6145.5+1329.5+1868.5+1128+2980.5+1299.5+16988+15449+14138+200+1908+7960+4871+1544.5+1533+891+3175+713+425+224+993+2318+3705</f>
        <v>3456415.99</v>
      </c>
      <c r="Q361" s="459">
        <f>103570+88345+90215+25333+13427+8958+3731+5336+2366+2057+997+691+1831+2140+654+1021+736+207+401+189+424+234+4142+3841+3526+40+471+1991+1218+386+96+56+735+178+84+42+228+1120+1571</f>
        <v>372588</v>
      </c>
      <c r="R361" s="218">
        <v>40921</v>
      </c>
    </row>
    <row r="362" spans="1:18" ht="9" customHeight="1">
      <c r="A362" s="755"/>
      <c r="B362" s="755"/>
      <c r="C362" s="755"/>
      <c r="D362" s="755"/>
      <c r="E362" s="765" t="s">
        <v>55</v>
      </c>
      <c r="F362" s="758"/>
      <c r="G362" s="494" t="s">
        <v>354</v>
      </c>
      <c r="H362" s="491" t="s">
        <v>126</v>
      </c>
      <c r="I362" s="493"/>
      <c r="J362" s="491" t="s">
        <v>354</v>
      </c>
      <c r="K362" s="488">
        <v>40641</v>
      </c>
      <c r="L362" s="487" t="s">
        <v>68</v>
      </c>
      <c r="M362" s="254">
        <v>137</v>
      </c>
      <c r="N362" s="458">
        <v>2318</v>
      </c>
      <c r="O362" s="459">
        <v>1120</v>
      </c>
      <c r="P362" s="458">
        <f>1093950.25+883807.25+882248.49+232093.5+101981.5+57830.5+19947.5+33359.5+10973.5+10465+4630+3501.5+10659+9758.5+3633+5790+6145.5+1329.5+1868.5+1128+2980.5+1299.5+16988+15449+14138+200+1908+7960+4871+1544.5+1533+891+3175+713+425+224+993+2318</f>
        <v>3452710.99</v>
      </c>
      <c r="Q362" s="296">
        <f>103570+88345+90215+25333+13427+8958+3731+5336+2366+2057+997+691+1831+2140+654+1021+736+207+401+189+424+234+4142+3841+3526+40+471+1991+1218+386+96+56+735+178+84+42+228+1120</f>
        <v>371017</v>
      </c>
      <c r="R362" s="218">
        <v>40914</v>
      </c>
    </row>
    <row r="363" spans="1:18" ht="9" customHeight="1">
      <c r="A363" s="755"/>
      <c r="B363" s="755"/>
      <c r="C363" s="755"/>
      <c r="D363" s="755"/>
      <c r="E363" s="765" t="s">
        <v>55</v>
      </c>
      <c r="F363" s="758"/>
      <c r="G363" s="491" t="s">
        <v>354</v>
      </c>
      <c r="H363" s="491" t="s">
        <v>126</v>
      </c>
      <c r="I363" s="493" t="s">
        <v>397</v>
      </c>
      <c r="J363" s="491" t="s">
        <v>354</v>
      </c>
      <c r="K363" s="488">
        <v>40641</v>
      </c>
      <c r="L363" s="487" t="s">
        <v>68</v>
      </c>
      <c r="M363" s="254">
        <v>137</v>
      </c>
      <c r="N363" s="458">
        <v>831</v>
      </c>
      <c r="O363" s="459">
        <v>166</v>
      </c>
      <c r="P363" s="458">
        <f>1093950.25+883807.25+882248.49+232093.5+101981.5+57830.5+19947.5+33359.5+10973.5+10465+4630+3501.5+10659+9758.5+3633+5790+6145.5+1329.5+1868.5+1128+2980.5+1299.5+16988+15449+14138+200+1908+7960+4871+1544.5+1533+891+3175+713+425+224+993+2318+3705+4989.5+1188+831</f>
        <v>3463424.49</v>
      </c>
      <c r="Q363" s="459">
        <f>103570+88345+90215+25333+13427+8958+3731+5336+2366+2057+997+691+1831+2140+654+1021+736+207+401+189+424+234+4142+3841+3526+40+471+1991+1218+386+96+56+735+178+84+42+228+1120+1571+1248+238+166</f>
        <v>374240</v>
      </c>
      <c r="R363" s="297">
        <v>40963</v>
      </c>
    </row>
    <row r="364" spans="1:18" ht="9" customHeight="1">
      <c r="A364" s="769" t="s">
        <v>223</v>
      </c>
      <c r="B364" s="759"/>
      <c r="C364" s="774">
        <v>2</v>
      </c>
      <c r="D364" s="755"/>
      <c r="E364" s="758"/>
      <c r="F364" s="756"/>
      <c r="G364" s="491" t="s">
        <v>657</v>
      </c>
      <c r="H364" s="492" t="s">
        <v>126</v>
      </c>
      <c r="I364" s="493" t="s">
        <v>89</v>
      </c>
      <c r="J364" s="491" t="s">
        <v>662</v>
      </c>
      <c r="K364" s="488">
        <v>40760</v>
      </c>
      <c r="L364" s="487" t="s">
        <v>68</v>
      </c>
      <c r="M364" s="254">
        <v>101</v>
      </c>
      <c r="N364" s="458">
        <v>1782</v>
      </c>
      <c r="O364" s="459">
        <v>356</v>
      </c>
      <c r="P364" s="458">
        <f>1123387+667871.5+450599+390225.5+158633+89754+30860+15969.5+11575.5+6763.5+3494.5+5145+1782+1782+950.5+4039+1425.5+1782</f>
        <v>2966039</v>
      </c>
      <c r="Q364" s="459">
        <f>108166+64485+43907+41233+19918+12468+4923+2605+2337+1591+622+1207+446+446+238+1009+356+356</f>
        <v>306313</v>
      </c>
      <c r="R364" s="218">
        <v>40956</v>
      </c>
    </row>
    <row r="365" spans="1:18" ht="9" customHeight="1">
      <c r="A365" s="755"/>
      <c r="B365" s="755"/>
      <c r="C365" s="755"/>
      <c r="D365" s="755"/>
      <c r="E365" s="756"/>
      <c r="F365" s="757" t="s">
        <v>54</v>
      </c>
      <c r="G365" s="494" t="s">
        <v>356</v>
      </c>
      <c r="H365" s="491" t="s">
        <v>366</v>
      </c>
      <c r="I365" s="493"/>
      <c r="J365" s="491" t="s">
        <v>356</v>
      </c>
      <c r="K365" s="488">
        <v>40795</v>
      </c>
      <c r="L365" s="487" t="s">
        <v>68</v>
      </c>
      <c r="M365" s="254">
        <v>3</v>
      </c>
      <c r="N365" s="458">
        <v>1782</v>
      </c>
      <c r="O365" s="459">
        <v>446</v>
      </c>
      <c r="P365" s="458">
        <f>4125+2511+398+1048+854+482+594+1782</f>
        <v>11794</v>
      </c>
      <c r="Q365" s="296">
        <f>422+287+52+100+134+61+149+446</f>
        <v>1651</v>
      </c>
      <c r="R365" s="218">
        <v>40914</v>
      </c>
    </row>
    <row r="366" spans="1:18" ht="9" customHeight="1">
      <c r="A366" s="760"/>
      <c r="B366" s="760"/>
      <c r="C366" s="760"/>
      <c r="D366" s="760"/>
      <c r="E366" s="761"/>
      <c r="F366" s="768" t="s">
        <v>54</v>
      </c>
      <c r="G366" s="63" t="s">
        <v>356</v>
      </c>
      <c r="H366" s="63" t="s">
        <v>366</v>
      </c>
      <c r="I366" s="65"/>
      <c r="J366" s="63" t="s">
        <v>356</v>
      </c>
      <c r="K366" s="220">
        <v>40795</v>
      </c>
      <c r="L366" s="64" t="s">
        <v>68</v>
      </c>
      <c r="M366" s="258">
        <v>3</v>
      </c>
      <c r="N366" s="270">
        <v>950.5</v>
      </c>
      <c r="O366" s="272">
        <v>190</v>
      </c>
      <c r="P366" s="270">
        <f>4125+2511+398+1048+854+482+594+1782+713+950.5</f>
        <v>13457.5</v>
      </c>
      <c r="Q366" s="272">
        <f>422+287+52+100+134+61+149+446+143+190</f>
        <v>1984</v>
      </c>
      <c r="R366" s="297">
        <v>40977</v>
      </c>
    </row>
    <row r="367" spans="1:18" ht="9" customHeight="1">
      <c r="A367" s="755"/>
      <c r="B367" s="755"/>
      <c r="C367" s="755"/>
      <c r="D367" s="755"/>
      <c r="E367" s="756"/>
      <c r="F367" s="757" t="s">
        <v>54</v>
      </c>
      <c r="G367" s="491" t="s">
        <v>356</v>
      </c>
      <c r="H367" s="491" t="s">
        <v>366</v>
      </c>
      <c r="I367" s="493"/>
      <c r="J367" s="491" t="s">
        <v>356</v>
      </c>
      <c r="K367" s="488">
        <v>40795</v>
      </c>
      <c r="L367" s="487" t="s">
        <v>68</v>
      </c>
      <c r="M367" s="254">
        <v>3</v>
      </c>
      <c r="N367" s="458">
        <v>713</v>
      </c>
      <c r="O367" s="459">
        <v>143</v>
      </c>
      <c r="P367" s="458">
        <f>4125+2511+398+1048+854+482+594+1782+713</f>
        <v>12507</v>
      </c>
      <c r="Q367" s="296">
        <f>422+287+52+100+134+61+149+446+143</f>
        <v>1794</v>
      </c>
      <c r="R367" s="218">
        <v>40949</v>
      </c>
    </row>
    <row r="368" spans="1:18" ht="9" customHeight="1">
      <c r="A368" s="760"/>
      <c r="B368" s="760"/>
      <c r="C368" s="760"/>
      <c r="D368" s="760"/>
      <c r="E368" s="761"/>
      <c r="F368" s="768" t="s">
        <v>54</v>
      </c>
      <c r="G368" s="528" t="s">
        <v>711</v>
      </c>
      <c r="H368" s="258"/>
      <c r="I368" s="527"/>
      <c r="J368" s="528" t="s">
        <v>711</v>
      </c>
      <c r="K368" s="488">
        <v>40613</v>
      </c>
      <c r="L368" s="526" t="s">
        <v>68</v>
      </c>
      <c r="M368" s="254">
        <v>25</v>
      </c>
      <c r="N368" s="270">
        <v>1632</v>
      </c>
      <c r="O368" s="272">
        <v>204</v>
      </c>
      <c r="P368" s="270">
        <f>75934+53479.5+29060+17465+26762+20460.5+20847+12710+19039+8622+2147+3636+459+653+4560+770+4752+402+297+502+464+1127+1384+88+276+1188+1632</f>
        <v>308716</v>
      </c>
      <c r="Q368" s="272">
        <f>9554+7103+4053+2490+4055+3124+3295+2389+2957+1767+459+626+92+107+609+124+1188+40+48+86+74+161+193+16+46+297+204</f>
        <v>45157</v>
      </c>
      <c r="R368" s="297">
        <v>40970</v>
      </c>
    </row>
    <row r="369" spans="1:18" ht="9" customHeight="1">
      <c r="A369" s="755"/>
      <c r="B369" s="755"/>
      <c r="C369" s="755"/>
      <c r="D369" s="755"/>
      <c r="E369" s="756"/>
      <c r="F369" s="756"/>
      <c r="G369" s="495" t="s">
        <v>108</v>
      </c>
      <c r="H369" s="492" t="s">
        <v>125</v>
      </c>
      <c r="I369" s="496" t="s">
        <v>124</v>
      </c>
      <c r="J369" s="496" t="s">
        <v>109</v>
      </c>
      <c r="K369" s="488">
        <v>40879</v>
      </c>
      <c r="L369" s="487" t="s">
        <v>12</v>
      </c>
      <c r="M369" s="254">
        <v>38</v>
      </c>
      <c r="N369" s="497">
        <v>10036</v>
      </c>
      <c r="O369" s="498">
        <v>1553</v>
      </c>
      <c r="P369" s="497">
        <v>481544</v>
      </c>
      <c r="Q369" s="298">
        <v>44903</v>
      </c>
      <c r="R369" s="218">
        <v>40914</v>
      </c>
    </row>
    <row r="370" spans="1:18" ht="9" customHeight="1">
      <c r="A370" s="759"/>
      <c r="B370" s="759"/>
      <c r="C370" s="759"/>
      <c r="D370" s="759"/>
      <c r="E370" s="763"/>
      <c r="F370" s="763"/>
      <c r="G370" s="495" t="s">
        <v>108</v>
      </c>
      <c r="H370" s="492" t="s">
        <v>125</v>
      </c>
      <c r="I370" s="496" t="s">
        <v>124</v>
      </c>
      <c r="J370" s="496" t="s">
        <v>109</v>
      </c>
      <c r="K370" s="488">
        <v>40879</v>
      </c>
      <c r="L370" s="487" t="s">
        <v>12</v>
      </c>
      <c r="M370" s="254">
        <v>38</v>
      </c>
      <c r="N370" s="214">
        <v>10036</v>
      </c>
      <c r="O370" s="217">
        <v>1553</v>
      </c>
      <c r="P370" s="214">
        <v>481544</v>
      </c>
      <c r="Q370" s="307">
        <v>44903</v>
      </c>
      <c r="R370" s="297">
        <v>40907</v>
      </c>
    </row>
    <row r="371" spans="1:18" ht="9" customHeight="1">
      <c r="A371" s="755"/>
      <c r="B371" s="755"/>
      <c r="C371" s="755"/>
      <c r="D371" s="755"/>
      <c r="E371" s="756"/>
      <c r="F371" s="756"/>
      <c r="G371" s="495" t="s">
        <v>108</v>
      </c>
      <c r="H371" s="492" t="s">
        <v>125</v>
      </c>
      <c r="I371" s="496" t="s">
        <v>124</v>
      </c>
      <c r="J371" s="496" t="s">
        <v>109</v>
      </c>
      <c r="K371" s="488">
        <v>40879</v>
      </c>
      <c r="L371" s="487" t="s">
        <v>12</v>
      </c>
      <c r="M371" s="254">
        <v>38</v>
      </c>
      <c r="N371" s="214">
        <v>3119</v>
      </c>
      <c r="O371" s="217">
        <v>502</v>
      </c>
      <c r="P371" s="214">
        <v>491017</v>
      </c>
      <c r="Q371" s="307">
        <v>46303</v>
      </c>
      <c r="R371" s="218">
        <v>40921</v>
      </c>
    </row>
    <row r="372" spans="1:18" ht="9" customHeight="1">
      <c r="A372" s="755"/>
      <c r="B372" s="755"/>
      <c r="C372" s="755"/>
      <c r="D372" s="755"/>
      <c r="E372" s="756"/>
      <c r="F372" s="756"/>
      <c r="G372" s="496" t="s">
        <v>108</v>
      </c>
      <c r="H372" s="492" t="s">
        <v>125</v>
      </c>
      <c r="I372" s="496" t="s">
        <v>124</v>
      </c>
      <c r="J372" s="496" t="s">
        <v>109</v>
      </c>
      <c r="K372" s="488">
        <v>40879</v>
      </c>
      <c r="L372" s="487" t="s">
        <v>12</v>
      </c>
      <c r="M372" s="254">
        <v>38</v>
      </c>
      <c r="N372" s="214">
        <v>2509</v>
      </c>
      <c r="O372" s="217">
        <v>332</v>
      </c>
      <c r="P372" s="214">
        <v>495830</v>
      </c>
      <c r="Q372" s="307">
        <v>47001</v>
      </c>
      <c r="R372" s="218">
        <v>40949</v>
      </c>
    </row>
    <row r="373" spans="1:18" ht="9" customHeight="1">
      <c r="A373" s="755"/>
      <c r="B373" s="755"/>
      <c r="C373" s="755"/>
      <c r="D373" s="755"/>
      <c r="E373" s="756"/>
      <c r="F373" s="756"/>
      <c r="G373" s="495" t="s">
        <v>108</v>
      </c>
      <c r="H373" s="492" t="s">
        <v>125</v>
      </c>
      <c r="I373" s="496" t="s">
        <v>124</v>
      </c>
      <c r="J373" s="496" t="s">
        <v>109</v>
      </c>
      <c r="K373" s="488">
        <v>40879</v>
      </c>
      <c r="L373" s="487" t="s">
        <v>12</v>
      </c>
      <c r="M373" s="254">
        <v>38</v>
      </c>
      <c r="N373" s="214">
        <v>2304</v>
      </c>
      <c r="O373" s="217">
        <v>366</v>
      </c>
      <c r="P373" s="214">
        <v>493321</v>
      </c>
      <c r="Q373" s="217">
        <v>46669</v>
      </c>
      <c r="R373" s="218">
        <v>40928</v>
      </c>
    </row>
    <row r="374" spans="1:18" ht="9" customHeight="1">
      <c r="A374" s="759"/>
      <c r="B374" s="779">
        <v>3</v>
      </c>
      <c r="C374" s="759"/>
      <c r="D374" s="755"/>
      <c r="E374" s="758"/>
      <c r="F374" s="758"/>
      <c r="G374" s="499" t="s">
        <v>147</v>
      </c>
      <c r="H374" s="487" t="s">
        <v>166</v>
      </c>
      <c r="I374" s="487" t="s">
        <v>99</v>
      </c>
      <c r="J374" s="487" t="s">
        <v>153</v>
      </c>
      <c r="K374" s="488">
        <v>40900</v>
      </c>
      <c r="L374" s="487" t="s">
        <v>52</v>
      </c>
      <c r="M374" s="255">
        <v>69</v>
      </c>
      <c r="N374" s="512">
        <v>100865</v>
      </c>
      <c r="O374" s="513">
        <v>10455</v>
      </c>
      <c r="P374" s="512">
        <f>247246+100865</f>
        <v>348111</v>
      </c>
      <c r="Q374" s="217">
        <f>24388+10455</f>
        <v>34843</v>
      </c>
      <c r="R374" s="297">
        <v>40907</v>
      </c>
    </row>
    <row r="375" spans="1:18" ht="9" customHeight="1">
      <c r="A375" s="759"/>
      <c r="B375" s="779">
        <v>3</v>
      </c>
      <c r="C375" s="755"/>
      <c r="D375" s="755"/>
      <c r="E375" s="756"/>
      <c r="F375" s="756"/>
      <c r="G375" s="499" t="s">
        <v>147</v>
      </c>
      <c r="H375" s="487" t="s">
        <v>166</v>
      </c>
      <c r="I375" s="487" t="s">
        <v>99</v>
      </c>
      <c r="J375" s="487" t="s">
        <v>153</v>
      </c>
      <c r="K375" s="488">
        <v>40900</v>
      </c>
      <c r="L375" s="487" t="s">
        <v>52</v>
      </c>
      <c r="M375" s="255">
        <v>69</v>
      </c>
      <c r="N375" s="512">
        <v>4174</v>
      </c>
      <c r="O375" s="513">
        <v>350</v>
      </c>
      <c r="P375" s="512">
        <f>247246+100865+4174</f>
        <v>352285</v>
      </c>
      <c r="Q375" s="307">
        <f>24388+10455+350</f>
        <v>35193</v>
      </c>
      <c r="R375" s="218">
        <v>40914</v>
      </c>
    </row>
    <row r="376" spans="1:18" ht="9" customHeight="1">
      <c r="A376" s="759"/>
      <c r="B376" s="779">
        <v>3</v>
      </c>
      <c r="C376" s="755"/>
      <c r="D376" s="755"/>
      <c r="E376" s="756"/>
      <c r="F376" s="756"/>
      <c r="G376" s="499" t="s">
        <v>147</v>
      </c>
      <c r="H376" s="487" t="s">
        <v>166</v>
      </c>
      <c r="I376" s="487" t="s">
        <v>99</v>
      </c>
      <c r="J376" s="487" t="s">
        <v>153</v>
      </c>
      <c r="K376" s="488">
        <v>40900</v>
      </c>
      <c r="L376" s="487" t="s">
        <v>52</v>
      </c>
      <c r="M376" s="255">
        <v>69</v>
      </c>
      <c r="N376" s="514">
        <v>1569</v>
      </c>
      <c r="O376" s="515">
        <v>207</v>
      </c>
      <c r="P376" s="514">
        <f>247246+100865+4174+1569</f>
        <v>353854</v>
      </c>
      <c r="Q376" s="217">
        <f>24388+10455+350+207</f>
        <v>35400</v>
      </c>
      <c r="R376" s="218">
        <v>40921</v>
      </c>
    </row>
    <row r="377" spans="1:18" ht="9" customHeight="1">
      <c r="A377" s="759"/>
      <c r="B377" s="779">
        <v>3</v>
      </c>
      <c r="C377" s="755"/>
      <c r="D377" s="755"/>
      <c r="E377" s="756"/>
      <c r="F377" s="756"/>
      <c r="G377" s="486" t="s">
        <v>147</v>
      </c>
      <c r="H377" s="487" t="s">
        <v>166</v>
      </c>
      <c r="I377" s="487" t="s">
        <v>99</v>
      </c>
      <c r="J377" s="487" t="s">
        <v>153</v>
      </c>
      <c r="K377" s="488">
        <v>40900</v>
      </c>
      <c r="L377" s="487" t="s">
        <v>52</v>
      </c>
      <c r="M377" s="255">
        <v>69</v>
      </c>
      <c r="N377" s="458">
        <v>1480</v>
      </c>
      <c r="O377" s="459">
        <v>151</v>
      </c>
      <c r="P377" s="458">
        <f>247246+100865+4174+1569+1480</f>
        <v>355334</v>
      </c>
      <c r="Q377" s="459">
        <f>24388+10455+350+207+151</f>
        <v>35551</v>
      </c>
      <c r="R377" s="297">
        <v>40963</v>
      </c>
    </row>
    <row r="378" spans="1:18" ht="9" customHeight="1">
      <c r="A378" s="759"/>
      <c r="B378" s="759"/>
      <c r="C378" s="759"/>
      <c r="D378" s="771" t="s">
        <v>292</v>
      </c>
      <c r="E378" s="780"/>
      <c r="F378" s="776"/>
      <c r="G378" s="506" t="s">
        <v>221</v>
      </c>
      <c r="H378" s="492" t="s">
        <v>96</v>
      </c>
      <c r="I378" s="487" t="s">
        <v>95</v>
      </c>
      <c r="J378" s="487" t="s">
        <v>146</v>
      </c>
      <c r="K378" s="503">
        <v>40893</v>
      </c>
      <c r="L378" s="487" t="s">
        <v>10</v>
      </c>
      <c r="M378" s="254">
        <v>133</v>
      </c>
      <c r="N378" s="458">
        <v>916701</v>
      </c>
      <c r="O378" s="459">
        <v>91574</v>
      </c>
      <c r="P378" s="458">
        <v>5181376</v>
      </c>
      <c r="Q378" s="459">
        <v>509965</v>
      </c>
      <c r="R378" s="297">
        <v>40907</v>
      </c>
    </row>
    <row r="379" spans="1:18" ht="9" customHeight="1">
      <c r="A379" s="755"/>
      <c r="B379" s="755"/>
      <c r="C379" s="755"/>
      <c r="D379" s="771" t="s">
        <v>292</v>
      </c>
      <c r="E379" s="778"/>
      <c r="F379" s="775"/>
      <c r="G379" s="495" t="s">
        <v>221</v>
      </c>
      <c r="H379" s="492" t="s">
        <v>96</v>
      </c>
      <c r="I379" s="487" t="s">
        <v>95</v>
      </c>
      <c r="J379" s="487" t="s">
        <v>146</v>
      </c>
      <c r="K379" s="503">
        <v>40893</v>
      </c>
      <c r="L379" s="487" t="s">
        <v>10</v>
      </c>
      <c r="M379" s="254">
        <v>133</v>
      </c>
      <c r="N379" s="458">
        <f>765772+1082</f>
        <v>766854</v>
      </c>
      <c r="O379" s="459">
        <f>73798+89</f>
        <v>73887</v>
      </c>
      <c r="P379" s="458">
        <f>5181376+765772+1082</f>
        <v>5948230</v>
      </c>
      <c r="Q379" s="296">
        <f>509965+73798+89</f>
        <v>583852</v>
      </c>
      <c r="R379" s="218">
        <v>40914</v>
      </c>
    </row>
    <row r="380" spans="1:18" ht="9" customHeight="1">
      <c r="A380" s="755"/>
      <c r="B380" s="755"/>
      <c r="C380" s="755"/>
      <c r="D380" s="771" t="s">
        <v>292</v>
      </c>
      <c r="E380" s="778"/>
      <c r="F380" s="775"/>
      <c r="G380" s="495" t="s">
        <v>221</v>
      </c>
      <c r="H380" s="492" t="s">
        <v>96</v>
      </c>
      <c r="I380" s="487" t="s">
        <v>95</v>
      </c>
      <c r="J380" s="487" t="s">
        <v>146</v>
      </c>
      <c r="K380" s="503">
        <v>40893</v>
      </c>
      <c r="L380" s="487" t="s">
        <v>10</v>
      </c>
      <c r="M380" s="254">
        <v>133</v>
      </c>
      <c r="N380" s="458">
        <v>564431</v>
      </c>
      <c r="O380" s="459">
        <v>57561</v>
      </c>
      <c r="P380" s="458">
        <v>6512661</v>
      </c>
      <c r="Q380" s="459">
        <v>641413</v>
      </c>
      <c r="R380" s="218">
        <v>40921</v>
      </c>
    </row>
    <row r="381" spans="1:18" ht="9" customHeight="1">
      <c r="A381" s="755"/>
      <c r="B381" s="755"/>
      <c r="C381" s="755"/>
      <c r="D381" s="771" t="s">
        <v>292</v>
      </c>
      <c r="E381" s="778"/>
      <c r="F381" s="775"/>
      <c r="G381" s="495" t="s">
        <v>221</v>
      </c>
      <c r="H381" s="492" t="s">
        <v>96</v>
      </c>
      <c r="I381" s="487" t="s">
        <v>95</v>
      </c>
      <c r="J381" s="487" t="s">
        <v>146</v>
      </c>
      <c r="K381" s="503">
        <v>40893</v>
      </c>
      <c r="L381" s="487" t="s">
        <v>10</v>
      </c>
      <c r="M381" s="254">
        <v>133</v>
      </c>
      <c r="N381" s="458">
        <v>474772</v>
      </c>
      <c r="O381" s="459">
        <v>47798</v>
      </c>
      <c r="P381" s="458">
        <v>6987433</v>
      </c>
      <c r="Q381" s="459">
        <v>689211</v>
      </c>
      <c r="R381" s="218">
        <v>40928</v>
      </c>
    </row>
    <row r="382" spans="1:18" ht="9" customHeight="1">
      <c r="A382" s="755"/>
      <c r="B382" s="755"/>
      <c r="C382" s="755"/>
      <c r="D382" s="771" t="s">
        <v>292</v>
      </c>
      <c r="E382" s="778"/>
      <c r="F382" s="775"/>
      <c r="G382" s="495" t="s">
        <v>221</v>
      </c>
      <c r="H382" s="492" t="s">
        <v>96</v>
      </c>
      <c r="I382" s="487" t="s">
        <v>95</v>
      </c>
      <c r="J382" s="487" t="s">
        <v>146</v>
      </c>
      <c r="K382" s="503">
        <v>40893</v>
      </c>
      <c r="L382" s="487" t="s">
        <v>10</v>
      </c>
      <c r="M382" s="254">
        <v>133</v>
      </c>
      <c r="N382" s="458">
        <v>145930</v>
      </c>
      <c r="O382" s="459">
        <v>14703</v>
      </c>
      <c r="P382" s="458">
        <v>7133363</v>
      </c>
      <c r="Q382" s="459">
        <v>703914</v>
      </c>
      <c r="R382" s="218">
        <v>40935</v>
      </c>
    </row>
    <row r="383" spans="1:18" ht="9" customHeight="1">
      <c r="A383" s="755"/>
      <c r="B383" s="755"/>
      <c r="C383" s="755"/>
      <c r="D383" s="771" t="s">
        <v>292</v>
      </c>
      <c r="E383" s="778"/>
      <c r="F383" s="775"/>
      <c r="G383" s="495" t="s">
        <v>221</v>
      </c>
      <c r="H383" s="492" t="s">
        <v>96</v>
      </c>
      <c r="I383" s="487" t="s">
        <v>95</v>
      </c>
      <c r="J383" s="487" t="s">
        <v>146</v>
      </c>
      <c r="K383" s="503">
        <v>40893</v>
      </c>
      <c r="L383" s="487" t="s">
        <v>10</v>
      </c>
      <c r="M383" s="254">
        <v>133</v>
      </c>
      <c r="N383" s="458">
        <v>49746</v>
      </c>
      <c r="O383" s="459">
        <v>4961</v>
      </c>
      <c r="P383" s="458">
        <v>7183109</v>
      </c>
      <c r="Q383" s="459">
        <v>708875</v>
      </c>
      <c r="R383" s="218">
        <v>40942</v>
      </c>
    </row>
    <row r="384" spans="1:18" ht="9" customHeight="1">
      <c r="A384" s="755"/>
      <c r="B384" s="755"/>
      <c r="C384" s="755"/>
      <c r="D384" s="771" t="s">
        <v>292</v>
      </c>
      <c r="E384" s="778"/>
      <c r="F384" s="775"/>
      <c r="G384" s="496" t="s">
        <v>221</v>
      </c>
      <c r="H384" s="492" t="s">
        <v>96</v>
      </c>
      <c r="I384" s="487" t="s">
        <v>95</v>
      </c>
      <c r="J384" s="487" t="s">
        <v>146</v>
      </c>
      <c r="K384" s="503">
        <v>40893</v>
      </c>
      <c r="L384" s="487" t="s">
        <v>10</v>
      </c>
      <c r="M384" s="254">
        <v>133</v>
      </c>
      <c r="N384" s="458">
        <v>22843</v>
      </c>
      <c r="O384" s="459">
        <v>2889</v>
      </c>
      <c r="P384" s="458">
        <v>7205952</v>
      </c>
      <c r="Q384" s="296">
        <v>711764</v>
      </c>
      <c r="R384" s="218">
        <v>40949</v>
      </c>
    </row>
    <row r="385" spans="1:18" ht="9" customHeight="1">
      <c r="A385" s="755"/>
      <c r="B385" s="755"/>
      <c r="C385" s="755"/>
      <c r="D385" s="771" t="s">
        <v>292</v>
      </c>
      <c r="E385" s="778"/>
      <c r="F385" s="775"/>
      <c r="G385" s="496" t="s">
        <v>221</v>
      </c>
      <c r="H385" s="492" t="s">
        <v>96</v>
      </c>
      <c r="I385" s="487" t="s">
        <v>95</v>
      </c>
      <c r="J385" s="487" t="s">
        <v>146</v>
      </c>
      <c r="K385" s="503">
        <v>40893</v>
      </c>
      <c r="L385" s="487" t="s">
        <v>10</v>
      </c>
      <c r="M385" s="254">
        <v>133</v>
      </c>
      <c r="N385" s="458">
        <v>4932</v>
      </c>
      <c r="O385" s="459">
        <v>721</v>
      </c>
      <c r="P385" s="458">
        <v>7215300</v>
      </c>
      <c r="Q385" s="459">
        <v>713745</v>
      </c>
      <c r="R385" s="297">
        <v>40963</v>
      </c>
    </row>
    <row r="386" spans="1:18" ht="9" customHeight="1">
      <c r="A386" s="755"/>
      <c r="B386" s="755"/>
      <c r="C386" s="755"/>
      <c r="D386" s="771" t="s">
        <v>292</v>
      </c>
      <c r="E386" s="778"/>
      <c r="F386" s="775"/>
      <c r="G386" s="496" t="s">
        <v>221</v>
      </c>
      <c r="H386" s="492" t="s">
        <v>96</v>
      </c>
      <c r="I386" s="487" t="s">
        <v>95</v>
      </c>
      <c r="J386" s="487" t="s">
        <v>146</v>
      </c>
      <c r="K386" s="503">
        <v>40893</v>
      </c>
      <c r="L386" s="487" t="s">
        <v>10</v>
      </c>
      <c r="M386" s="254">
        <v>133</v>
      </c>
      <c r="N386" s="458">
        <v>4416</v>
      </c>
      <c r="O386" s="459">
        <v>1260</v>
      </c>
      <c r="P386" s="458">
        <v>7210368</v>
      </c>
      <c r="Q386" s="459">
        <v>713024</v>
      </c>
      <c r="R386" s="218">
        <v>40956</v>
      </c>
    </row>
    <row r="387" spans="1:18" ht="9" customHeight="1">
      <c r="A387" s="760"/>
      <c r="B387" s="760"/>
      <c r="C387" s="760"/>
      <c r="D387" s="773" t="s">
        <v>292</v>
      </c>
      <c r="E387" s="781"/>
      <c r="F387" s="320"/>
      <c r="G387" s="68" t="s">
        <v>221</v>
      </c>
      <c r="H387" s="61" t="s">
        <v>96</v>
      </c>
      <c r="I387" s="64" t="s">
        <v>95</v>
      </c>
      <c r="J387" s="64" t="s">
        <v>146</v>
      </c>
      <c r="K387" s="221">
        <v>40893</v>
      </c>
      <c r="L387" s="64" t="s">
        <v>10</v>
      </c>
      <c r="M387" s="258">
        <v>133</v>
      </c>
      <c r="N387" s="270">
        <v>796</v>
      </c>
      <c r="O387" s="272">
        <v>210</v>
      </c>
      <c r="P387" s="270">
        <v>7216096</v>
      </c>
      <c r="Q387" s="272">
        <v>713955</v>
      </c>
      <c r="R387" s="297">
        <v>40977</v>
      </c>
    </row>
    <row r="388" spans="1:18" ht="9" customHeight="1">
      <c r="A388" s="755"/>
      <c r="B388" s="755"/>
      <c r="C388" s="766"/>
      <c r="D388" s="755"/>
      <c r="E388" s="756"/>
      <c r="F388" s="758"/>
      <c r="G388" s="491" t="s">
        <v>448</v>
      </c>
      <c r="H388" s="491" t="s">
        <v>462</v>
      </c>
      <c r="I388" s="491" t="s">
        <v>89</v>
      </c>
      <c r="J388" s="491" t="s">
        <v>456</v>
      </c>
      <c r="K388" s="488">
        <v>40753</v>
      </c>
      <c r="L388" s="487" t="s">
        <v>68</v>
      </c>
      <c r="M388" s="254">
        <v>13</v>
      </c>
      <c r="N388" s="458">
        <v>1188</v>
      </c>
      <c r="O388" s="459">
        <v>238</v>
      </c>
      <c r="P388" s="458">
        <f>37355+12427+7492+8213.5+4676+5757+7050+1356+2892.5+6045+5978+639+919+810+143.5+1188</f>
        <v>102941.5</v>
      </c>
      <c r="Q388" s="296">
        <f>3112+1234+925+858+645+791+1079+205+381+739+757+85+126+135+31+238</f>
        <v>11341</v>
      </c>
      <c r="R388" s="218">
        <v>40949</v>
      </c>
    </row>
    <row r="389" spans="1:18" ht="9" customHeight="1">
      <c r="A389" s="755"/>
      <c r="B389" s="755"/>
      <c r="C389" s="766"/>
      <c r="D389" s="755"/>
      <c r="E389" s="756"/>
      <c r="F389" s="758"/>
      <c r="G389" s="491" t="s">
        <v>448</v>
      </c>
      <c r="H389" s="491" t="s">
        <v>462</v>
      </c>
      <c r="I389" s="491" t="s">
        <v>89</v>
      </c>
      <c r="J389" s="491" t="s">
        <v>456</v>
      </c>
      <c r="K389" s="488">
        <v>40753</v>
      </c>
      <c r="L389" s="487" t="s">
        <v>68</v>
      </c>
      <c r="M389" s="254">
        <v>13</v>
      </c>
      <c r="N389" s="458">
        <v>1188</v>
      </c>
      <c r="O389" s="459">
        <v>238</v>
      </c>
      <c r="P389" s="458">
        <f>37355+12427+7492+8213.5+4676+5757+7050+1356+2892.5+6045+5978+639+919+810+143.5+1188+1188</f>
        <v>104129.5</v>
      </c>
      <c r="Q389" s="459">
        <f>3112+1234+925+858+645+791+1079+205+381+739+757+85+126+135+31+238+238</f>
        <v>11579</v>
      </c>
      <c r="R389" s="297">
        <v>40963</v>
      </c>
    </row>
    <row r="390" spans="1:18" ht="9" customHeight="1">
      <c r="A390" s="760"/>
      <c r="B390" s="760"/>
      <c r="C390" s="332"/>
      <c r="D390" s="760"/>
      <c r="E390" s="761"/>
      <c r="F390" s="762"/>
      <c r="G390" s="63" t="s">
        <v>448</v>
      </c>
      <c r="H390" s="63" t="s">
        <v>462</v>
      </c>
      <c r="I390" s="63" t="s">
        <v>89</v>
      </c>
      <c r="J390" s="63" t="s">
        <v>456</v>
      </c>
      <c r="K390" s="220">
        <v>40753</v>
      </c>
      <c r="L390" s="64" t="s">
        <v>68</v>
      </c>
      <c r="M390" s="258">
        <v>13</v>
      </c>
      <c r="N390" s="270">
        <v>1188</v>
      </c>
      <c r="O390" s="272">
        <v>238</v>
      </c>
      <c r="P390" s="270">
        <f>37355+12427+7492+8213.5+4676+5757+7050+1356+2892.5+6045+5978+639+919+810+143.5+1188+1188+1188</f>
        <v>105317.5</v>
      </c>
      <c r="Q390" s="272">
        <f>3112+1234+925+858+645+791+1079+205+381+739+757+85+126+135+31+238+238+238</f>
        <v>11817</v>
      </c>
      <c r="R390" s="297">
        <v>40977</v>
      </c>
    </row>
    <row r="391" spans="1:18" ht="9" customHeight="1">
      <c r="A391" s="755"/>
      <c r="B391" s="755"/>
      <c r="C391" s="766"/>
      <c r="D391" s="755"/>
      <c r="E391" s="756"/>
      <c r="F391" s="758"/>
      <c r="G391" s="494" t="s">
        <v>448</v>
      </c>
      <c r="H391" s="491" t="s">
        <v>462</v>
      </c>
      <c r="I391" s="491" t="s">
        <v>89</v>
      </c>
      <c r="J391" s="491" t="s">
        <v>456</v>
      </c>
      <c r="K391" s="488">
        <v>40753</v>
      </c>
      <c r="L391" s="487" t="s">
        <v>68</v>
      </c>
      <c r="M391" s="254">
        <v>13</v>
      </c>
      <c r="N391" s="458">
        <v>810</v>
      </c>
      <c r="O391" s="459">
        <v>135</v>
      </c>
      <c r="P391" s="458">
        <f>37355+12427+7492+8213.5+4676+5757+7050+1356+2892.5+6045+5978+639+919+810</f>
        <v>101610</v>
      </c>
      <c r="Q391" s="459">
        <f>3112+1234+925+858+645+791+1079+205+381+739+757+85+126+135</f>
        <v>11072</v>
      </c>
      <c r="R391" s="218">
        <v>40928</v>
      </c>
    </row>
    <row r="392" spans="1:18" ht="9" customHeight="1">
      <c r="A392" s="755"/>
      <c r="B392" s="755"/>
      <c r="C392" s="766"/>
      <c r="D392" s="755"/>
      <c r="E392" s="756"/>
      <c r="F392" s="758"/>
      <c r="G392" s="494" t="s">
        <v>448</v>
      </c>
      <c r="H392" s="491" t="s">
        <v>462</v>
      </c>
      <c r="I392" s="491" t="s">
        <v>89</v>
      </c>
      <c r="J392" s="491" t="s">
        <v>456</v>
      </c>
      <c r="K392" s="488">
        <v>40753</v>
      </c>
      <c r="L392" s="487" t="s">
        <v>68</v>
      </c>
      <c r="M392" s="254">
        <v>13</v>
      </c>
      <c r="N392" s="458">
        <v>143.5</v>
      </c>
      <c r="O392" s="459">
        <v>31</v>
      </c>
      <c r="P392" s="458">
        <f>37355+12427+7492+8213.5+4676+5757+7050+1356+2892.5+6045+5978+639+919+810+143.5</f>
        <v>101753.5</v>
      </c>
      <c r="Q392" s="459">
        <f>3112+1234+925+858+645+791+1079+205+381+739+757+85+126+135+31</f>
        <v>11103</v>
      </c>
      <c r="R392" s="218">
        <v>40942</v>
      </c>
    </row>
    <row r="393" spans="1:18" ht="9" customHeight="1">
      <c r="A393" s="755"/>
      <c r="B393" s="755"/>
      <c r="C393" s="755"/>
      <c r="D393" s="755"/>
      <c r="E393" s="756"/>
      <c r="F393" s="758"/>
      <c r="G393" s="494" t="s">
        <v>548</v>
      </c>
      <c r="H393" s="491" t="s">
        <v>549</v>
      </c>
      <c r="I393" s="493" t="s">
        <v>128</v>
      </c>
      <c r="J393" s="491" t="s">
        <v>550</v>
      </c>
      <c r="K393" s="488">
        <v>40683</v>
      </c>
      <c r="L393" s="487" t="s">
        <v>68</v>
      </c>
      <c r="M393" s="254">
        <v>6</v>
      </c>
      <c r="N393" s="458">
        <v>3801.5</v>
      </c>
      <c r="O393" s="459">
        <v>760</v>
      </c>
      <c r="P393" s="458">
        <f>16905.5+10044+3710+2342+9911.5+7248+6024+1678+1960+374+2139+2655.5+2562+447+1328+1270+869+1782+475+25+3801.5</f>
        <v>77551</v>
      </c>
      <c r="Q393" s="459">
        <f>1241+811+837+224+905+1125+738+283+277+57+267+346+338+61+166+189+146+446+119+5+760</f>
        <v>9341</v>
      </c>
      <c r="R393" s="218">
        <v>40942</v>
      </c>
    </row>
    <row r="394" spans="1:18" ht="9" customHeight="1">
      <c r="A394" s="755"/>
      <c r="B394" s="755"/>
      <c r="C394" s="759"/>
      <c r="D394" s="755"/>
      <c r="E394" s="758"/>
      <c r="F394" s="758"/>
      <c r="G394" s="504" t="s">
        <v>244</v>
      </c>
      <c r="H394" s="487" t="s">
        <v>247</v>
      </c>
      <c r="I394" s="487" t="s">
        <v>248</v>
      </c>
      <c r="J394" s="487" t="s">
        <v>245</v>
      </c>
      <c r="K394" s="488">
        <v>40753</v>
      </c>
      <c r="L394" s="487" t="s">
        <v>13</v>
      </c>
      <c r="M394" s="505">
        <v>3</v>
      </c>
      <c r="N394" s="214">
        <v>1188</v>
      </c>
      <c r="O394" s="217">
        <v>237</v>
      </c>
      <c r="P394" s="214">
        <v>16007.5</v>
      </c>
      <c r="Q394" s="217">
        <v>1536</v>
      </c>
      <c r="R394" s="297">
        <v>40907</v>
      </c>
    </row>
    <row r="395" spans="1:18" ht="9" customHeight="1">
      <c r="A395" s="769" t="s">
        <v>223</v>
      </c>
      <c r="B395" s="756"/>
      <c r="C395" s="774">
        <v>2</v>
      </c>
      <c r="D395" s="755"/>
      <c r="E395" s="755"/>
      <c r="F395" s="756"/>
      <c r="G395" s="495" t="s">
        <v>346</v>
      </c>
      <c r="H395" s="492" t="s">
        <v>91</v>
      </c>
      <c r="I395" s="496" t="s">
        <v>94</v>
      </c>
      <c r="J395" s="496" t="s">
        <v>346</v>
      </c>
      <c r="K395" s="488">
        <v>40648</v>
      </c>
      <c r="L395" s="487" t="s">
        <v>12</v>
      </c>
      <c r="M395" s="254">
        <v>151</v>
      </c>
      <c r="N395" s="497">
        <v>615</v>
      </c>
      <c r="O395" s="498">
        <v>123</v>
      </c>
      <c r="P395" s="497">
        <v>1956708</v>
      </c>
      <c r="Q395" s="298">
        <v>218938</v>
      </c>
      <c r="R395" s="218">
        <v>40914</v>
      </c>
    </row>
    <row r="396" spans="1:18" ht="9" customHeight="1">
      <c r="A396" s="759"/>
      <c r="B396" s="759"/>
      <c r="C396" s="759"/>
      <c r="D396" s="759"/>
      <c r="E396" s="777"/>
      <c r="F396" s="757" t="s">
        <v>54</v>
      </c>
      <c r="G396" s="501" t="s">
        <v>141</v>
      </c>
      <c r="H396" s="492" t="s">
        <v>142</v>
      </c>
      <c r="I396" s="502"/>
      <c r="J396" s="502" t="s">
        <v>141</v>
      </c>
      <c r="K396" s="503">
        <v>40893</v>
      </c>
      <c r="L396" s="487" t="s">
        <v>8</v>
      </c>
      <c r="M396" s="257">
        <v>131</v>
      </c>
      <c r="N396" s="458">
        <v>2464903</v>
      </c>
      <c r="O396" s="459">
        <v>273690</v>
      </c>
      <c r="P396" s="458">
        <v>8604215</v>
      </c>
      <c r="Q396" s="459">
        <v>960307</v>
      </c>
      <c r="R396" s="297">
        <v>40907</v>
      </c>
    </row>
    <row r="397" spans="1:18" ht="9" customHeight="1">
      <c r="A397" s="755"/>
      <c r="B397" s="755"/>
      <c r="C397" s="755"/>
      <c r="D397" s="755"/>
      <c r="E397" s="778"/>
      <c r="F397" s="757" t="s">
        <v>54</v>
      </c>
      <c r="G397" s="501" t="s">
        <v>141</v>
      </c>
      <c r="H397" s="492" t="s">
        <v>142</v>
      </c>
      <c r="I397" s="502"/>
      <c r="J397" s="502" t="s">
        <v>141</v>
      </c>
      <c r="K397" s="503">
        <v>40893</v>
      </c>
      <c r="L397" s="487" t="s">
        <v>8</v>
      </c>
      <c r="M397" s="257">
        <v>131</v>
      </c>
      <c r="N397" s="458">
        <v>1826075</v>
      </c>
      <c r="O397" s="459">
        <v>198737</v>
      </c>
      <c r="P397" s="458">
        <v>10430290</v>
      </c>
      <c r="Q397" s="296">
        <v>1159044</v>
      </c>
      <c r="R397" s="218">
        <v>40914</v>
      </c>
    </row>
    <row r="398" spans="1:18" ht="9" customHeight="1">
      <c r="A398" s="755"/>
      <c r="B398" s="755"/>
      <c r="C398" s="755"/>
      <c r="D398" s="755"/>
      <c r="E398" s="778"/>
      <c r="F398" s="757" t="s">
        <v>54</v>
      </c>
      <c r="G398" s="501" t="s">
        <v>141</v>
      </c>
      <c r="H398" s="492" t="s">
        <v>142</v>
      </c>
      <c r="I398" s="502"/>
      <c r="J398" s="502" t="s">
        <v>141</v>
      </c>
      <c r="K398" s="503">
        <v>40893</v>
      </c>
      <c r="L398" s="487" t="s">
        <v>8</v>
      </c>
      <c r="M398" s="257">
        <v>131</v>
      </c>
      <c r="N398" s="458">
        <v>1674165</v>
      </c>
      <c r="O398" s="459">
        <v>188583</v>
      </c>
      <c r="P398" s="458">
        <v>13641012</v>
      </c>
      <c r="Q398" s="459">
        <v>1519587</v>
      </c>
      <c r="R398" s="218">
        <v>40928</v>
      </c>
    </row>
    <row r="399" spans="1:18" ht="9" customHeight="1">
      <c r="A399" s="755"/>
      <c r="B399" s="755"/>
      <c r="C399" s="755"/>
      <c r="D399" s="755"/>
      <c r="E399" s="778"/>
      <c r="F399" s="757" t="s">
        <v>54</v>
      </c>
      <c r="G399" s="501" t="s">
        <v>141</v>
      </c>
      <c r="H399" s="492" t="s">
        <v>142</v>
      </c>
      <c r="I399" s="502"/>
      <c r="J399" s="502" t="s">
        <v>141</v>
      </c>
      <c r="K399" s="503">
        <v>40893</v>
      </c>
      <c r="L399" s="487" t="s">
        <v>8</v>
      </c>
      <c r="M399" s="257">
        <v>131</v>
      </c>
      <c r="N399" s="456">
        <v>1536557</v>
      </c>
      <c r="O399" s="457">
        <v>171960</v>
      </c>
      <c r="P399" s="458">
        <v>11382284</v>
      </c>
      <c r="Q399" s="459">
        <v>1257533</v>
      </c>
      <c r="R399" s="218">
        <v>40921</v>
      </c>
    </row>
    <row r="400" spans="1:18" ht="9" customHeight="1">
      <c r="A400" s="755"/>
      <c r="B400" s="755"/>
      <c r="C400" s="755"/>
      <c r="D400" s="755"/>
      <c r="E400" s="778"/>
      <c r="F400" s="757" t="s">
        <v>54</v>
      </c>
      <c r="G400" s="501" t="s">
        <v>141</v>
      </c>
      <c r="H400" s="492" t="s">
        <v>142</v>
      </c>
      <c r="I400" s="502"/>
      <c r="J400" s="502" t="s">
        <v>141</v>
      </c>
      <c r="K400" s="503">
        <v>40893</v>
      </c>
      <c r="L400" s="487" t="s">
        <v>8</v>
      </c>
      <c r="M400" s="257">
        <v>131</v>
      </c>
      <c r="N400" s="456">
        <v>782818</v>
      </c>
      <c r="O400" s="457">
        <v>90206</v>
      </c>
      <c r="P400" s="456">
        <v>14423830</v>
      </c>
      <c r="Q400" s="457">
        <v>1609793</v>
      </c>
      <c r="R400" s="218">
        <v>40935</v>
      </c>
    </row>
    <row r="401" spans="1:18" ht="9" customHeight="1">
      <c r="A401" s="755"/>
      <c r="B401" s="755"/>
      <c r="C401" s="755"/>
      <c r="D401" s="755"/>
      <c r="E401" s="778"/>
      <c r="F401" s="757" t="s">
        <v>54</v>
      </c>
      <c r="G401" s="501" t="s">
        <v>141</v>
      </c>
      <c r="H401" s="492" t="s">
        <v>142</v>
      </c>
      <c r="I401" s="502"/>
      <c r="J401" s="502" t="s">
        <v>141</v>
      </c>
      <c r="K401" s="503">
        <v>40893</v>
      </c>
      <c r="L401" s="487" t="s">
        <v>8</v>
      </c>
      <c r="M401" s="257">
        <v>131</v>
      </c>
      <c r="N401" s="458">
        <v>546513</v>
      </c>
      <c r="O401" s="520">
        <v>61901</v>
      </c>
      <c r="P401" s="458">
        <v>14970343</v>
      </c>
      <c r="Q401" s="521">
        <v>1671694</v>
      </c>
      <c r="R401" s="218">
        <v>40942</v>
      </c>
    </row>
    <row r="402" spans="1:18" ht="9" customHeight="1">
      <c r="A402" s="755"/>
      <c r="B402" s="755"/>
      <c r="C402" s="755"/>
      <c r="D402" s="755"/>
      <c r="E402" s="778"/>
      <c r="F402" s="757" t="s">
        <v>54</v>
      </c>
      <c r="G402" s="502" t="s">
        <v>141</v>
      </c>
      <c r="H402" s="492" t="s">
        <v>142</v>
      </c>
      <c r="I402" s="502"/>
      <c r="J402" s="502" t="s">
        <v>141</v>
      </c>
      <c r="K402" s="503">
        <v>40893</v>
      </c>
      <c r="L402" s="487" t="s">
        <v>8</v>
      </c>
      <c r="M402" s="257">
        <v>131</v>
      </c>
      <c r="N402" s="458">
        <v>387361</v>
      </c>
      <c r="O402" s="459">
        <v>45227</v>
      </c>
      <c r="P402" s="458">
        <v>15357703</v>
      </c>
      <c r="Q402" s="296">
        <v>1716921</v>
      </c>
      <c r="R402" s="218">
        <v>40949</v>
      </c>
    </row>
    <row r="403" spans="1:18" ht="9" customHeight="1">
      <c r="A403" s="755"/>
      <c r="B403" s="755"/>
      <c r="C403" s="755"/>
      <c r="D403" s="755"/>
      <c r="E403" s="778"/>
      <c r="F403" s="757" t="s">
        <v>54</v>
      </c>
      <c r="G403" s="502" t="s">
        <v>141</v>
      </c>
      <c r="H403" s="492" t="s">
        <v>142</v>
      </c>
      <c r="I403" s="502"/>
      <c r="J403" s="502" t="s">
        <v>141</v>
      </c>
      <c r="K403" s="503">
        <v>40893</v>
      </c>
      <c r="L403" s="487" t="s">
        <v>8</v>
      </c>
      <c r="M403" s="257">
        <v>131</v>
      </c>
      <c r="N403" s="458">
        <v>71809</v>
      </c>
      <c r="O403" s="459">
        <v>8523</v>
      </c>
      <c r="P403" s="458">
        <v>15429512</v>
      </c>
      <c r="Q403" s="459">
        <v>1725444</v>
      </c>
      <c r="R403" s="218">
        <v>40956</v>
      </c>
    </row>
    <row r="404" spans="1:18" ht="9" customHeight="1">
      <c r="A404" s="755"/>
      <c r="B404" s="755"/>
      <c r="C404" s="755"/>
      <c r="D404" s="755"/>
      <c r="E404" s="778"/>
      <c r="F404" s="757" t="s">
        <v>54</v>
      </c>
      <c r="G404" s="502" t="s">
        <v>141</v>
      </c>
      <c r="H404" s="492" t="s">
        <v>142</v>
      </c>
      <c r="I404" s="502"/>
      <c r="J404" s="502" t="s">
        <v>141</v>
      </c>
      <c r="K404" s="503">
        <v>40893</v>
      </c>
      <c r="L404" s="487" t="s">
        <v>8</v>
      </c>
      <c r="M404" s="257">
        <v>131</v>
      </c>
      <c r="N404" s="458">
        <v>33707</v>
      </c>
      <c r="O404" s="459">
        <v>4300</v>
      </c>
      <c r="P404" s="458">
        <v>15464802</v>
      </c>
      <c r="Q404" s="459">
        <v>1729952</v>
      </c>
      <c r="R404" s="297">
        <v>40963</v>
      </c>
    </row>
    <row r="405" spans="1:18" ht="9" customHeight="1">
      <c r="A405" s="760"/>
      <c r="B405" s="760"/>
      <c r="C405" s="760"/>
      <c r="D405" s="760"/>
      <c r="E405" s="781"/>
      <c r="F405" s="768" t="s">
        <v>54</v>
      </c>
      <c r="G405" s="266" t="s">
        <v>141</v>
      </c>
      <c r="H405" s="258" t="s">
        <v>142</v>
      </c>
      <c r="I405" s="266"/>
      <c r="J405" s="266" t="s">
        <v>141</v>
      </c>
      <c r="K405" s="503">
        <v>40893</v>
      </c>
      <c r="L405" s="526" t="s">
        <v>8</v>
      </c>
      <c r="M405" s="257">
        <v>131</v>
      </c>
      <c r="N405" s="270">
        <v>1843</v>
      </c>
      <c r="O405" s="272">
        <v>250</v>
      </c>
      <c r="P405" s="270">
        <v>15466645</v>
      </c>
      <c r="Q405" s="272">
        <v>1730202</v>
      </c>
      <c r="R405" s="297">
        <v>40970</v>
      </c>
    </row>
    <row r="406" spans="1:18" ht="9" customHeight="1">
      <c r="A406" s="760"/>
      <c r="B406" s="760"/>
      <c r="C406" s="760"/>
      <c r="D406" s="760"/>
      <c r="E406" s="781"/>
      <c r="F406" s="768" t="s">
        <v>54</v>
      </c>
      <c r="G406" s="66" t="s">
        <v>141</v>
      </c>
      <c r="H406" s="61" t="s">
        <v>142</v>
      </c>
      <c r="I406" s="66"/>
      <c r="J406" s="66" t="s">
        <v>141</v>
      </c>
      <c r="K406" s="221">
        <v>40893</v>
      </c>
      <c r="L406" s="64" t="s">
        <v>8</v>
      </c>
      <c r="M406" s="266">
        <v>131</v>
      </c>
      <c r="N406" s="270">
        <v>1295</v>
      </c>
      <c r="O406" s="272">
        <v>205</v>
      </c>
      <c r="P406" s="270">
        <v>15467940</v>
      </c>
      <c r="Q406" s="272">
        <v>1730407</v>
      </c>
      <c r="R406" s="297">
        <v>40977</v>
      </c>
    </row>
    <row r="407" spans="1:18" ht="9" customHeight="1">
      <c r="A407" s="755"/>
      <c r="B407" s="755"/>
      <c r="C407" s="759"/>
      <c r="D407" s="755"/>
      <c r="E407" s="758"/>
      <c r="F407" s="758"/>
      <c r="G407" s="504" t="s">
        <v>256</v>
      </c>
      <c r="H407" s="487" t="s">
        <v>257</v>
      </c>
      <c r="I407" s="487" t="s">
        <v>248</v>
      </c>
      <c r="J407" s="487" t="s">
        <v>240</v>
      </c>
      <c r="K407" s="488">
        <v>40739</v>
      </c>
      <c r="L407" s="487" t="s">
        <v>13</v>
      </c>
      <c r="M407" s="505">
        <v>3</v>
      </c>
      <c r="N407" s="214">
        <v>2608</v>
      </c>
      <c r="O407" s="217">
        <v>520</v>
      </c>
      <c r="P407" s="214">
        <v>43756.5</v>
      </c>
      <c r="Q407" s="217">
        <v>5487</v>
      </c>
      <c r="R407" s="297">
        <v>40907</v>
      </c>
    </row>
    <row r="408" spans="1:18" ht="9" customHeight="1">
      <c r="A408" s="760"/>
      <c r="B408" s="760"/>
      <c r="C408" s="760"/>
      <c r="D408" s="760"/>
      <c r="E408" s="761"/>
      <c r="F408" s="761"/>
      <c r="G408" s="303" t="s">
        <v>256</v>
      </c>
      <c r="H408" s="526" t="s">
        <v>257</v>
      </c>
      <c r="I408" s="526" t="s">
        <v>248</v>
      </c>
      <c r="J408" s="526" t="s">
        <v>240</v>
      </c>
      <c r="K408" s="488">
        <v>40739</v>
      </c>
      <c r="L408" s="526" t="s">
        <v>13</v>
      </c>
      <c r="M408" s="258">
        <v>3</v>
      </c>
      <c r="N408" s="261">
        <v>1188</v>
      </c>
      <c r="O408" s="262">
        <v>238</v>
      </c>
      <c r="P408" s="261">
        <v>44944.5</v>
      </c>
      <c r="Q408" s="262">
        <v>5725</v>
      </c>
      <c r="R408" s="297">
        <v>40970</v>
      </c>
    </row>
    <row r="409" spans="1:18" ht="9" customHeight="1">
      <c r="A409" s="769" t="s">
        <v>223</v>
      </c>
      <c r="B409" s="755"/>
      <c r="C409" s="766"/>
      <c r="D409" s="771" t="s">
        <v>292</v>
      </c>
      <c r="E409" s="756"/>
      <c r="F409" s="758"/>
      <c r="G409" s="491" t="s">
        <v>535</v>
      </c>
      <c r="H409" s="491" t="s">
        <v>460</v>
      </c>
      <c r="I409" s="491" t="s">
        <v>89</v>
      </c>
      <c r="J409" s="491" t="s">
        <v>468</v>
      </c>
      <c r="K409" s="488">
        <v>40522</v>
      </c>
      <c r="L409" s="487" t="s">
        <v>68</v>
      </c>
      <c r="M409" s="254">
        <v>127</v>
      </c>
      <c r="N409" s="458">
        <v>1782</v>
      </c>
      <c r="O409" s="459">
        <v>356</v>
      </c>
      <c r="P409" s="458">
        <f>1048675+809166.5+457718.5+70165.5+7102+12164+8619.5+11777.5+6559.5+3338.5+10420.5+3303+3205+2076+1722.5+314+264+550+5455+5583.5+1818.5+950.5+1188+1782</f>
        <v>2473919</v>
      </c>
      <c r="Q409" s="459">
        <f>92481+73795+43350+8841+1153+2869+1615+2831+1620+630+2477+726+513+481+318+38+33+104+1359+1394+447+238+297+356</f>
        <v>237966</v>
      </c>
      <c r="R409" s="218">
        <v>40956</v>
      </c>
    </row>
    <row r="410" spans="1:18" ht="9" customHeight="1">
      <c r="A410" s="769" t="s">
        <v>223</v>
      </c>
      <c r="B410" s="755"/>
      <c r="C410" s="766"/>
      <c r="D410" s="771" t="s">
        <v>292</v>
      </c>
      <c r="E410" s="756"/>
      <c r="F410" s="758"/>
      <c r="G410" s="494" t="s">
        <v>535</v>
      </c>
      <c r="H410" s="491" t="s">
        <v>460</v>
      </c>
      <c r="I410" s="491" t="s">
        <v>89</v>
      </c>
      <c r="J410" s="491" t="s">
        <v>468</v>
      </c>
      <c r="K410" s="488">
        <v>40522</v>
      </c>
      <c r="L410" s="487" t="s">
        <v>68</v>
      </c>
      <c r="M410" s="254">
        <v>127</v>
      </c>
      <c r="N410" s="458">
        <v>1188</v>
      </c>
      <c r="O410" s="459">
        <v>297</v>
      </c>
      <c r="P410" s="458">
        <f>1048675+809166.5+457718.5+70165.5+7102+12164+8619.5+11777.5+6559.5+3338.5+10420.5+3303+3205+2076+1722.5+314+264+550+5455+5583.5+1818.5+950.5+1188</f>
        <v>2472137</v>
      </c>
      <c r="Q410" s="459">
        <f>92481+73795+43350+8841+1153+2869+1615+2831+1620+630+2477+726+513+481+318+38+33+104+1359+1394+447+238+297</f>
        <v>237610</v>
      </c>
      <c r="R410" s="218">
        <v>40928</v>
      </c>
    </row>
    <row r="411" spans="1:18" ht="9" customHeight="1">
      <c r="A411" s="755"/>
      <c r="B411" s="755"/>
      <c r="C411" s="755"/>
      <c r="D411" s="755"/>
      <c r="E411" s="756"/>
      <c r="F411" s="756"/>
      <c r="G411" s="501" t="s">
        <v>345</v>
      </c>
      <c r="H411" s="492" t="s">
        <v>126</v>
      </c>
      <c r="I411" s="502" t="s">
        <v>89</v>
      </c>
      <c r="J411" s="502" t="s">
        <v>352</v>
      </c>
      <c r="K411" s="503">
        <v>40914</v>
      </c>
      <c r="L411" s="487" t="s">
        <v>68</v>
      </c>
      <c r="M411" s="516">
        <v>66</v>
      </c>
      <c r="N411" s="458">
        <v>683638.5</v>
      </c>
      <c r="O411" s="459">
        <v>65177</v>
      </c>
      <c r="P411" s="458">
        <v>683638.5</v>
      </c>
      <c r="Q411" s="296">
        <v>65177</v>
      </c>
      <c r="R411" s="218">
        <v>40914</v>
      </c>
    </row>
    <row r="412" spans="1:18" ht="9" customHeight="1">
      <c r="A412" s="755"/>
      <c r="B412" s="779">
        <v>3</v>
      </c>
      <c r="C412" s="755"/>
      <c r="D412" s="755"/>
      <c r="E412" s="756"/>
      <c r="F412" s="756"/>
      <c r="G412" s="501" t="s">
        <v>345</v>
      </c>
      <c r="H412" s="492" t="s">
        <v>126</v>
      </c>
      <c r="I412" s="502" t="s">
        <v>89</v>
      </c>
      <c r="J412" s="502" t="s">
        <v>352</v>
      </c>
      <c r="K412" s="503">
        <v>40914</v>
      </c>
      <c r="L412" s="487" t="s">
        <v>68</v>
      </c>
      <c r="M412" s="254">
        <v>66</v>
      </c>
      <c r="N412" s="458">
        <v>541400</v>
      </c>
      <c r="O412" s="459">
        <v>52837</v>
      </c>
      <c r="P412" s="458">
        <f>683638.5+541400</f>
        <v>1225038.5</v>
      </c>
      <c r="Q412" s="459">
        <f>65177+52837</f>
        <v>118014</v>
      </c>
      <c r="R412" s="218">
        <v>40921</v>
      </c>
    </row>
    <row r="413" spans="1:18" ht="9" customHeight="1">
      <c r="A413" s="759"/>
      <c r="B413" s="759"/>
      <c r="C413" s="759"/>
      <c r="D413" s="759"/>
      <c r="E413" s="758"/>
      <c r="F413" s="782"/>
      <c r="G413" s="499" t="s">
        <v>168</v>
      </c>
      <c r="H413" s="492" t="s">
        <v>171</v>
      </c>
      <c r="I413" s="486" t="s">
        <v>99</v>
      </c>
      <c r="J413" s="493" t="s">
        <v>172</v>
      </c>
      <c r="K413" s="488">
        <v>40830</v>
      </c>
      <c r="L413" s="487" t="s">
        <v>52</v>
      </c>
      <c r="M413" s="255">
        <v>24</v>
      </c>
      <c r="N413" s="512">
        <v>1775</v>
      </c>
      <c r="O413" s="513">
        <v>204</v>
      </c>
      <c r="P413" s="512">
        <f>39089+12457+497+1407+378+156+1775</f>
        <v>55759</v>
      </c>
      <c r="Q413" s="217">
        <f>3631+1290+71+217+63+19+204</f>
        <v>5495</v>
      </c>
      <c r="R413" s="297">
        <v>40907</v>
      </c>
    </row>
    <row r="414" spans="1:18" ht="9" customHeight="1">
      <c r="A414" s="755"/>
      <c r="B414" s="755"/>
      <c r="C414" s="755"/>
      <c r="D414" s="755"/>
      <c r="E414" s="756"/>
      <c r="F414" s="782"/>
      <c r="G414" s="499" t="s">
        <v>168</v>
      </c>
      <c r="H414" s="492" t="s">
        <v>171</v>
      </c>
      <c r="I414" s="486" t="s">
        <v>99</v>
      </c>
      <c r="J414" s="493" t="s">
        <v>172</v>
      </c>
      <c r="K414" s="488">
        <v>40830</v>
      </c>
      <c r="L414" s="487" t="s">
        <v>52</v>
      </c>
      <c r="M414" s="255">
        <v>24</v>
      </c>
      <c r="N414" s="512">
        <v>525</v>
      </c>
      <c r="O414" s="513">
        <v>69</v>
      </c>
      <c r="P414" s="512">
        <f>39089+12457+497+1407+378+156+1775+429+525</f>
        <v>56713</v>
      </c>
      <c r="Q414" s="217">
        <f>3631+1290+71+217+63+19+204+72+69</f>
        <v>5636</v>
      </c>
      <c r="R414" s="218">
        <v>40928</v>
      </c>
    </row>
    <row r="415" spans="1:18" ht="9" customHeight="1">
      <c r="A415" s="755"/>
      <c r="B415" s="755"/>
      <c r="C415" s="755"/>
      <c r="D415" s="755"/>
      <c r="E415" s="756"/>
      <c r="F415" s="782"/>
      <c r="G415" s="499" t="s">
        <v>168</v>
      </c>
      <c r="H415" s="492" t="s">
        <v>171</v>
      </c>
      <c r="I415" s="486" t="s">
        <v>99</v>
      </c>
      <c r="J415" s="493" t="s">
        <v>172</v>
      </c>
      <c r="K415" s="488">
        <v>40830</v>
      </c>
      <c r="L415" s="487" t="s">
        <v>52</v>
      </c>
      <c r="M415" s="255">
        <v>24</v>
      </c>
      <c r="N415" s="514">
        <v>429</v>
      </c>
      <c r="O415" s="515">
        <v>72</v>
      </c>
      <c r="P415" s="514">
        <f>39089+12457+497+1407+378+156+1775+429</f>
        <v>56188</v>
      </c>
      <c r="Q415" s="217">
        <f>3631+1290+71+217+63+19+204+72</f>
        <v>5567</v>
      </c>
      <c r="R415" s="218">
        <v>40921</v>
      </c>
    </row>
    <row r="416" spans="1:18" ht="9" customHeight="1">
      <c r="A416" s="755"/>
      <c r="B416" s="755"/>
      <c r="C416" s="755"/>
      <c r="D416" s="755"/>
      <c r="E416" s="755"/>
      <c r="F416" s="776"/>
      <c r="G416" s="504" t="s">
        <v>438</v>
      </c>
      <c r="H416" s="493" t="s">
        <v>440</v>
      </c>
      <c r="I416" s="492" t="s">
        <v>189</v>
      </c>
      <c r="J416" s="502" t="s">
        <v>439</v>
      </c>
      <c r="K416" s="488">
        <v>40844</v>
      </c>
      <c r="L416" s="487" t="s">
        <v>8</v>
      </c>
      <c r="M416" s="518">
        <v>29</v>
      </c>
      <c r="N416" s="458">
        <v>680</v>
      </c>
      <c r="O416" s="459">
        <v>92</v>
      </c>
      <c r="P416" s="458">
        <v>343647</v>
      </c>
      <c r="Q416" s="459">
        <v>27776</v>
      </c>
      <c r="R416" s="218">
        <v>40928</v>
      </c>
    </row>
    <row r="417" spans="1:18" ht="9" customHeight="1">
      <c r="A417" s="755"/>
      <c r="B417" s="755"/>
      <c r="C417" s="755"/>
      <c r="D417" s="755"/>
      <c r="E417" s="755"/>
      <c r="F417" s="758"/>
      <c r="G417" s="491" t="s">
        <v>679</v>
      </c>
      <c r="H417" s="491" t="s">
        <v>685</v>
      </c>
      <c r="I417" s="491" t="s">
        <v>89</v>
      </c>
      <c r="J417" s="491" t="s">
        <v>684</v>
      </c>
      <c r="K417" s="488">
        <v>40718</v>
      </c>
      <c r="L417" s="487" t="s">
        <v>68</v>
      </c>
      <c r="M417" s="254">
        <v>25</v>
      </c>
      <c r="N417" s="458">
        <v>950.5</v>
      </c>
      <c r="O417" s="459">
        <v>190</v>
      </c>
      <c r="P417" s="458">
        <f>57373+29138.5+18608.5+18274+18081+33158.5+15047+12993+4041+3825+2818+2748+473+119+6415.5+950.5</f>
        <v>224063.5</v>
      </c>
      <c r="Q417" s="459">
        <f>5353+2775+2460+2094+2184+3706+2068+1709+576+481+366+567+74+16+1605+190</f>
        <v>26224</v>
      </c>
      <c r="R417" s="297">
        <v>40963</v>
      </c>
    </row>
    <row r="418" spans="1:18" ht="9" customHeight="1">
      <c r="A418" s="755"/>
      <c r="B418" s="755"/>
      <c r="C418" s="759"/>
      <c r="D418" s="755"/>
      <c r="E418" s="758"/>
      <c r="F418" s="758"/>
      <c r="G418" s="506" t="s">
        <v>158</v>
      </c>
      <c r="H418" s="487" t="s">
        <v>162</v>
      </c>
      <c r="I418" s="487" t="s">
        <v>79</v>
      </c>
      <c r="J418" s="487" t="s">
        <v>161</v>
      </c>
      <c r="K418" s="503">
        <v>40907</v>
      </c>
      <c r="L418" s="487" t="s">
        <v>13</v>
      </c>
      <c r="M418" s="254">
        <v>1</v>
      </c>
      <c r="N418" s="214">
        <v>2379</v>
      </c>
      <c r="O418" s="217">
        <v>255</v>
      </c>
      <c r="P418" s="214">
        <v>2379</v>
      </c>
      <c r="Q418" s="217">
        <v>255</v>
      </c>
      <c r="R418" s="297">
        <v>40907</v>
      </c>
    </row>
    <row r="419" spans="1:18" ht="9" customHeight="1">
      <c r="A419" s="755"/>
      <c r="B419" s="755"/>
      <c r="C419" s="755"/>
      <c r="D419" s="755"/>
      <c r="E419" s="756"/>
      <c r="F419" s="756"/>
      <c r="G419" s="506" t="s">
        <v>158</v>
      </c>
      <c r="H419" s="487" t="s">
        <v>162</v>
      </c>
      <c r="I419" s="487" t="s">
        <v>79</v>
      </c>
      <c r="J419" s="487" t="s">
        <v>161</v>
      </c>
      <c r="K419" s="503">
        <v>40907</v>
      </c>
      <c r="L419" s="487" t="s">
        <v>13</v>
      </c>
      <c r="M419" s="254">
        <v>1</v>
      </c>
      <c r="N419" s="497">
        <v>342</v>
      </c>
      <c r="O419" s="498">
        <v>34</v>
      </c>
      <c r="P419" s="497">
        <v>2721</v>
      </c>
      <c r="Q419" s="298">
        <v>289</v>
      </c>
      <c r="R419" s="218">
        <v>40914</v>
      </c>
    </row>
    <row r="420" spans="1:18" ht="9" customHeight="1">
      <c r="A420" s="755"/>
      <c r="B420" s="755"/>
      <c r="C420" s="755"/>
      <c r="D420" s="755"/>
      <c r="E420" s="778"/>
      <c r="F420" s="758"/>
      <c r="G420" s="506" t="s">
        <v>391</v>
      </c>
      <c r="H420" s="492" t="s">
        <v>93</v>
      </c>
      <c r="I420" s="510" t="s">
        <v>95</v>
      </c>
      <c r="J420" s="487" t="s">
        <v>392</v>
      </c>
      <c r="K420" s="488">
        <v>40556</v>
      </c>
      <c r="L420" s="487" t="s">
        <v>10</v>
      </c>
      <c r="M420" s="254">
        <v>85</v>
      </c>
      <c r="N420" s="458">
        <v>777874</v>
      </c>
      <c r="O420" s="459">
        <v>70890</v>
      </c>
      <c r="P420" s="458">
        <v>777874</v>
      </c>
      <c r="Q420" s="459">
        <v>70890</v>
      </c>
      <c r="R420" s="218">
        <v>40921</v>
      </c>
    </row>
    <row r="421" spans="1:18" ht="9" customHeight="1">
      <c r="A421" s="755"/>
      <c r="B421" s="755"/>
      <c r="C421" s="755"/>
      <c r="D421" s="755"/>
      <c r="E421" s="756"/>
      <c r="F421" s="775"/>
      <c r="G421" s="486" t="s">
        <v>649</v>
      </c>
      <c r="H421" s="487" t="s">
        <v>651</v>
      </c>
      <c r="I421" s="487" t="s">
        <v>99</v>
      </c>
      <c r="J421" s="487" t="s">
        <v>654</v>
      </c>
      <c r="K421" s="488">
        <v>39423</v>
      </c>
      <c r="L421" s="487" t="s">
        <v>52</v>
      </c>
      <c r="M421" s="255">
        <v>164</v>
      </c>
      <c r="N421" s="214">
        <v>1901</v>
      </c>
      <c r="O421" s="217">
        <v>380</v>
      </c>
      <c r="P421" s="214">
        <f>3571428+831+1901</f>
        <v>3574160</v>
      </c>
      <c r="Q421" s="490">
        <f>442208+166+380</f>
        <v>442754</v>
      </c>
      <c r="R421" s="218">
        <v>40956</v>
      </c>
    </row>
    <row r="422" spans="1:18" ht="9" customHeight="1">
      <c r="A422" s="759"/>
      <c r="B422" s="779">
        <v>3</v>
      </c>
      <c r="C422" s="759"/>
      <c r="D422" s="755"/>
      <c r="E422" s="758"/>
      <c r="F422" s="782"/>
      <c r="G422" s="499" t="s">
        <v>167</v>
      </c>
      <c r="H422" s="492" t="s">
        <v>170</v>
      </c>
      <c r="I422" s="486" t="s">
        <v>99</v>
      </c>
      <c r="J422" s="493" t="s">
        <v>169</v>
      </c>
      <c r="K422" s="503">
        <v>40872</v>
      </c>
      <c r="L422" s="487" t="s">
        <v>52</v>
      </c>
      <c r="M422" s="255">
        <v>21</v>
      </c>
      <c r="N422" s="512">
        <v>3616.5</v>
      </c>
      <c r="O422" s="513">
        <v>459</v>
      </c>
      <c r="P422" s="512">
        <f>48871+740+512+11538+3616.5</f>
        <v>65277.5</v>
      </c>
      <c r="Q422" s="217">
        <f>5142+80+52+1109+459</f>
        <v>6842</v>
      </c>
      <c r="R422" s="297">
        <v>40907</v>
      </c>
    </row>
    <row r="423" spans="1:18" ht="9" customHeight="1">
      <c r="A423" s="755"/>
      <c r="B423" s="755"/>
      <c r="C423" s="755"/>
      <c r="D423" s="755"/>
      <c r="E423" s="756"/>
      <c r="F423" s="756"/>
      <c r="G423" s="496" t="s">
        <v>200</v>
      </c>
      <c r="H423" s="492" t="s">
        <v>205</v>
      </c>
      <c r="I423" s="496" t="s">
        <v>206</v>
      </c>
      <c r="J423" s="496" t="s">
        <v>204</v>
      </c>
      <c r="K423" s="488">
        <v>40872</v>
      </c>
      <c r="L423" s="487" t="s">
        <v>12</v>
      </c>
      <c r="M423" s="254">
        <v>55</v>
      </c>
      <c r="N423" s="214">
        <v>3055</v>
      </c>
      <c r="O423" s="217">
        <v>350</v>
      </c>
      <c r="P423" s="214">
        <v>761032</v>
      </c>
      <c r="Q423" s="307">
        <v>63588</v>
      </c>
      <c r="R423" s="218">
        <v>40949</v>
      </c>
    </row>
    <row r="424" spans="1:18" ht="9" customHeight="1">
      <c r="A424" s="755"/>
      <c r="B424" s="755"/>
      <c r="C424" s="755"/>
      <c r="D424" s="755"/>
      <c r="E424" s="756"/>
      <c r="F424" s="756"/>
      <c r="G424" s="495" t="s">
        <v>200</v>
      </c>
      <c r="H424" s="492" t="s">
        <v>205</v>
      </c>
      <c r="I424" s="496" t="s">
        <v>206</v>
      </c>
      <c r="J424" s="496" t="s">
        <v>204</v>
      </c>
      <c r="K424" s="488">
        <v>40872</v>
      </c>
      <c r="L424" s="487" t="s">
        <v>12</v>
      </c>
      <c r="M424" s="254">
        <v>55</v>
      </c>
      <c r="N424" s="214">
        <v>2380</v>
      </c>
      <c r="O424" s="217">
        <v>277</v>
      </c>
      <c r="P424" s="214">
        <v>757977</v>
      </c>
      <c r="Q424" s="217">
        <v>63238</v>
      </c>
      <c r="R424" s="218">
        <v>40935</v>
      </c>
    </row>
    <row r="425" spans="1:18" ht="9" customHeight="1">
      <c r="A425" s="755"/>
      <c r="B425" s="755"/>
      <c r="C425" s="755"/>
      <c r="D425" s="755"/>
      <c r="E425" s="756"/>
      <c r="F425" s="756"/>
      <c r="G425" s="495" t="s">
        <v>200</v>
      </c>
      <c r="H425" s="492" t="s">
        <v>205</v>
      </c>
      <c r="I425" s="496" t="s">
        <v>206</v>
      </c>
      <c r="J425" s="496" t="s">
        <v>204</v>
      </c>
      <c r="K425" s="488">
        <v>40872</v>
      </c>
      <c r="L425" s="487" t="s">
        <v>12</v>
      </c>
      <c r="M425" s="254">
        <v>55</v>
      </c>
      <c r="N425" s="497">
        <v>1489</v>
      </c>
      <c r="O425" s="498">
        <v>230</v>
      </c>
      <c r="P425" s="497">
        <v>755597</v>
      </c>
      <c r="Q425" s="298">
        <v>62961</v>
      </c>
      <c r="R425" s="218">
        <v>40914</v>
      </c>
    </row>
    <row r="426" spans="1:18" ht="9" customHeight="1">
      <c r="A426" s="759"/>
      <c r="B426" s="759"/>
      <c r="C426" s="759"/>
      <c r="D426" s="759"/>
      <c r="E426" s="758"/>
      <c r="F426" s="763"/>
      <c r="G426" s="495" t="s">
        <v>200</v>
      </c>
      <c r="H426" s="492" t="s">
        <v>205</v>
      </c>
      <c r="I426" s="496" t="s">
        <v>206</v>
      </c>
      <c r="J426" s="496" t="s">
        <v>204</v>
      </c>
      <c r="K426" s="488">
        <v>40872</v>
      </c>
      <c r="L426" s="487" t="s">
        <v>12</v>
      </c>
      <c r="M426" s="254">
        <v>55</v>
      </c>
      <c r="N426" s="214">
        <v>433</v>
      </c>
      <c r="O426" s="217">
        <v>58</v>
      </c>
      <c r="P426" s="214">
        <v>754108</v>
      </c>
      <c r="Q426" s="307">
        <v>62731</v>
      </c>
      <c r="R426" s="297">
        <v>40907</v>
      </c>
    </row>
    <row r="427" spans="1:18" ht="9" customHeight="1">
      <c r="A427" s="766"/>
      <c r="B427" s="766"/>
      <c r="C427" s="755"/>
      <c r="D427" s="766"/>
      <c r="E427" s="756"/>
      <c r="F427" s="758"/>
      <c r="G427" s="506" t="s">
        <v>393</v>
      </c>
      <c r="H427" s="492" t="s">
        <v>396</v>
      </c>
      <c r="I427" s="487" t="s">
        <v>394</v>
      </c>
      <c r="J427" s="487" t="s">
        <v>395</v>
      </c>
      <c r="K427" s="488">
        <v>40921</v>
      </c>
      <c r="L427" s="487" t="s">
        <v>370</v>
      </c>
      <c r="M427" s="254">
        <v>30</v>
      </c>
      <c r="N427" s="453">
        <v>209032</v>
      </c>
      <c r="O427" s="460">
        <v>15493</v>
      </c>
      <c r="P427" s="453">
        <v>209032</v>
      </c>
      <c r="Q427" s="460">
        <v>15493</v>
      </c>
      <c r="R427" s="218">
        <v>40921</v>
      </c>
    </row>
    <row r="428" spans="1:18" ht="9" customHeight="1">
      <c r="A428" s="766"/>
      <c r="B428" s="766"/>
      <c r="C428" s="755"/>
      <c r="D428" s="766"/>
      <c r="E428" s="756"/>
      <c r="F428" s="758"/>
      <c r="G428" s="487" t="s">
        <v>434</v>
      </c>
      <c r="H428" s="492" t="s">
        <v>435</v>
      </c>
      <c r="I428" s="487" t="s">
        <v>394</v>
      </c>
      <c r="J428" s="487" t="s">
        <v>436</v>
      </c>
      <c r="K428" s="488">
        <v>40816</v>
      </c>
      <c r="L428" s="487" t="s">
        <v>370</v>
      </c>
      <c r="M428" s="254">
        <v>41</v>
      </c>
      <c r="N428" s="453">
        <v>4033</v>
      </c>
      <c r="O428" s="460">
        <v>564</v>
      </c>
      <c r="P428" s="453">
        <v>478630</v>
      </c>
      <c r="Q428" s="522">
        <v>36193</v>
      </c>
      <c r="R428" s="218">
        <v>40949</v>
      </c>
    </row>
    <row r="429" spans="1:18" ht="9" customHeight="1">
      <c r="A429" s="766"/>
      <c r="B429" s="766"/>
      <c r="C429" s="755"/>
      <c r="D429" s="766"/>
      <c r="E429" s="756"/>
      <c r="F429" s="758"/>
      <c r="G429" s="506" t="s">
        <v>434</v>
      </c>
      <c r="H429" s="492" t="s">
        <v>435</v>
      </c>
      <c r="I429" s="487" t="s">
        <v>394</v>
      </c>
      <c r="J429" s="487" t="s">
        <v>436</v>
      </c>
      <c r="K429" s="488">
        <v>40816</v>
      </c>
      <c r="L429" s="487" t="s">
        <v>370</v>
      </c>
      <c r="M429" s="254">
        <v>41</v>
      </c>
      <c r="N429" s="453">
        <v>3084</v>
      </c>
      <c r="O429" s="460">
        <v>617</v>
      </c>
      <c r="P429" s="453">
        <v>1283193</v>
      </c>
      <c r="Q429" s="460">
        <v>101565</v>
      </c>
      <c r="R429" s="218">
        <v>40928</v>
      </c>
    </row>
    <row r="430" spans="1:18" ht="9" customHeight="1">
      <c r="A430" s="332"/>
      <c r="B430" s="332"/>
      <c r="C430" s="760"/>
      <c r="D430" s="332"/>
      <c r="E430" s="761"/>
      <c r="F430" s="762"/>
      <c r="G430" s="526" t="s">
        <v>434</v>
      </c>
      <c r="H430" s="258" t="s">
        <v>435</v>
      </c>
      <c r="I430" s="526" t="s">
        <v>394</v>
      </c>
      <c r="J430" s="526" t="s">
        <v>436</v>
      </c>
      <c r="K430" s="488">
        <v>40816</v>
      </c>
      <c r="L430" s="526" t="s">
        <v>370</v>
      </c>
      <c r="M430" s="258">
        <v>41</v>
      </c>
      <c r="N430" s="483">
        <v>1313.5</v>
      </c>
      <c r="O430" s="484">
        <v>100</v>
      </c>
      <c r="P430" s="483">
        <v>1294032</v>
      </c>
      <c r="Q430" s="484">
        <v>102876</v>
      </c>
      <c r="R430" s="297">
        <v>40970</v>
      </c>
    </row>
    <row r="431" spans="1:18" ht="9" customHeight="1">
      <c r="A431" s="766"/>
      <c r="B431" s="766"/>
      <c r="C431" s="755"/>
      <c r="D431" s="766"/>
      <c r="E431" s="756"/>
      <c r="F431" s="758"/>
      <c r="G431" s="487" t="s">
        <v>434</v>
      </c>
      <c r="H431" s="492" t="s">
        <v>435</v>
      </c>
      <c r="I431" s="487" t="s">
        <v>394</v>
      </c>
      <c r="J431" s="487" t="s">
        <v>436</v>
      </c>
      <c r="K431" s="488">
        <v>40816</v>
      </c>
      <c r="L431" s="487" t="s">
        <v>370</v>
      </c>
      <c r="M431" s="254">
        <v>41</v>
      </c>
      <c r="N431" s="453">
        <v>49</v>
      </c>
      <c r="O431" s="460">
        <v>7</v>
      </c>
      <c r="P431" s="453">
        <v>1292719</v>
      </c>
      <c r="Q431" s="460">
        <v>102776</v>
      </c>
      <c r="R431" s="218">
        <v>40956</v>
      </c>
    </row>
    <row r="432" spans="1:18" ht="9" customHeight="1">
      <c r="A432" s="766"/>
      <c r="B432" s="766"/>
      <c r="C432" s="755"/>
      <c r="D432" s="766"/>
      <c r="E432" s="775"/>
      <c r="F432" s="758"/>
      <c r="G432" s="491" t="s">
        <v>676</v>
      </c>
      <c r="H432" s="491" t="s">
        <v>678</v>
      </c>
      <c r="I432" s="493" t="s">
        <v>85</v>
      </c>
      <c r="J432" s="491" t="s">
        <v>677</v>
      </c>
      <c r="K432" s="488">
        <v>40599</v>
      </c>
      <c r="L432" s="487" t="s">
        <v>68</v>
      </c>
      <c r="M432" s="254">
        <v>60</v>
      </c>
      <c r="N432" s="458">
        <v>1188</v>
      </c>
      <c r="O432" s="459">
        <v>238</v>
      </c>
      <c r="P432" s="458">
        <f>324952+205669.75+36076.25+7149.5+4976+6474+8888+8102.5+7995.5+1904.5+2442.5+3379+326+230+1971.5+455+1188</f>
        <v>622180</v>
      </c>
      <c r="Q432" s="459">
        <f>28582+18445+3670+1269+845+865+1858+1230+1292+340+347+689+52+38+447+79+238</f>
        <v>60286</v>
      </c>
      <c r="R432" s="297">
        <v>40963</v>
      </c>
    </row>
    <row r="433" spans="1:18" ht="9" customHeight="1">
      <c r="A433" s="769" t="s">
        <v>223</v>
      </c>
      <c r="B433" s="779">
        <v>3</v>
      </c>
      <c r="C433" s="759"/>
      <c r="D433" s="755"/>
      <c r="E433" s="765" t="s">
        <v>55</v>
      </c>
      <c r="F433" s="776"/>
      <c r="G433" s="504" t="s">
        <v>219</v>
      </c>
      <c r="H433" s="493" t="s">
        <v>183</v>
      </c>
      <c r="I433" s="492" t="s">
        <v>189</v>
      </c>
      <c r="J433" s="502" t="s">
        <v>181</v>
      </c>
      <c r="K433" s="488">
        <v>40907</v>
      </c>
      <c r="L433" s="487" t="s">
        <v>8</v>
      </c>
      <c r="M433" s="448">
        <v>73</v>
      </c>
      <c r="N433" s="458">
        <v>119808</v>
      </c>
      <c r="O433" s="459">
        <v>10660</v>
      </c>
      <c r="P433" s="458">
        <v>119808</v>
      </c>
      <c r="Q433" s="459">
        <v>10660</v>
      </c>
      <c r="R433" s="297">
        <v>40907</v>
      </c>
    </row>
    <row r="434" spans="1:18" ht="9" customHeight="1">
      <c r="A434" s="769" t="s">
        <v>223</v>
      </c>
      <c r="B434" s="779">
        <v>3</v>
      </c>
      <c r="C434" s="755"/>
      <c r="D434" s="755"/>
      <c r="E434" s="765" t="s">
        <v>55</v>
      </c>
      <c r="F434" s="776"/>
      <c r="G434" s="504" t="s">
        <v>219</v>
      </c>
      <c r="H434" s="493" t="s">
        <v>183</v>
      </c>
      <c r="I434" s="492" t="s">
        <v>189</v>
      </c>
      <c r="J434" s="502" t="s">
        <v>181</v>
      </c>
      <c r="K434" s="488">
        <v>40907</v>
      </c>
      <c r="L434" s="487" t="s">
        <v>8</v>
      </c>
      <c r="M434" s="448">
        <v>73</v>
      </c>
      <c r="N434" s="458">
        <v>21746</v>
      </c>
      <c r="O434" s="459">
        <v>2043</v>
      </c>
      <c r="P434" s="458">
        <v>141554</v>
      </c>
      <c r="Q434" s="296">
        <v>12703</v>
      </c>
      <c r="R434" s="218">
        <v>40914</v>
      </c>
    </row>
    <row r="435" spans="1:18" ht="9" customHeight="1">
      <c r="A435" s="769" t="s">
        <v>223</v>
      </c>
      <c r="B435" s="779">
        <v>3</v>
      </c>
      <c r="C435" s="755"/>
      <c r="D435" s="755"/>
      <c r="E435" s="765" t="s">
        <v>55</v>
      </c>
      <c r="F435" s="776"/>
      <c r="G435" s="504" t="s">
        <v>219</v>
      </c>
      <c r="H435" s="493" t="s">
        <v>183</v>
      </c>
      <c r="I435" s="492" t="s">
        <v>189</v>
      </c>
      <c r="J435" s="502" t="s">
        <v>181</v>
      </c>
      <c r="K435" s="488">
        <v>40907</v>
      </c>
      <c r="L435" s="487" t="s">
        <v>8</v>
      </c>
      <c r="M435" s="448">
        <v>73</v>
      </c>
      <c r="N435" s="456">
        <v>324</v>
      </c>
      <c r="O435" s="457">
        <v>32</v>
      </c>
      <c r="P435" s="458">
        <v>141554</v>
      </c>
      <c r="Q435" s="459">
        <v>12703</v>
      </c>
      <c r="R435" s="218">
        <v>40921</v>
      </c>
    </row>
    <row r="436" spans="1:18" ht="9" customHeight="1">
      <c r="A436" s="755"/>
      <c r="B436" s="755"/>
      <c r="C436" s="755"/>
      <c r="D436" s="755"/>
      <c r="E436" s="756"/>
      <c r="F436" s="756"/>
      <c r="G436" s="501" t="s">
        <v>341</v>
      </c>
      <c r="H436" s="492" t="s">
        <v>342</v>
      </c>
      <c r="I436" s="502" t="s">
        <v>189</v>
      </c>
      <c r="J436" s="502" t="s">
        <v>343</v>
      </c>
      <c r="K436" s="503">
        <v>40914</v>
      </c>
      <c r="L436" s="487" t="s">
        <v>8</v>
      </c>
      <c r="M436" s="257">
        <v>36</v>
      </c>
      <c r="N436" s="458">
        <v>273878</v>
      </c>
      <c r="O436" s="459">
        <v>21924</v>
      </c>
      <c r="P436" s="458">
        <v>273878</v>
      </c>
      <c r="Q436" s="296">
        <v>21924</v>
      </c>
      <c r="R436" s="218">
        <v>40914</v>
      </c>
    </row>
    <row r="437" spans="1:18" ht="9" customHeight="1">
      <c r="A437" s="755"/>
      <c r="B437" s="755"/>
      <c r="C437" s="755"/>
      <c r="D437" s="755"/>
      <c r="E437" s="756"/>
      <c r="F437" s="756"/>
      <c r="G437" s="501" t="s">
        <v>341</v>
      </c>
      <c r="H437" s="492" t="s">
        <v>342</v>
      </c>
      <c r="I437" s="502" t="s">
        <v>189</v>
      </c>
      <c r="J437" s="502" t="s">
        <v>343</v>
      </c>
      <c r="K437" s="503">
        <v>40914</v>
      </c>
      <c r="L437" s="487" t="s">
        <v>8</v>
      </c>
      <c r="M437" s="257">
        <v>36</v>
      </c>
      <c r="N437" s="456">
        <v>155690</v>
      </c>
      <c r="O437" s="457">
        <v>13332</v>
      </c>
      <c r="P437" s="458">
        <v>372505</v>
      </c>
      <c r="Q437" s="459">
        <v>29481</v>
      </c>
      <c r="R437" s="218">
        <v>40921</v>
      </c>
    </row>
    <row r="438" spans="1:18" ht="9" customHeight="1">
      <c r="A438" s="769" t="s">
        <v>223</v>
      </c>
      <c r="B438" s="779">
        <v>3</v>
      </c>
      <c r="C438" s="755"/>
      <c r="D438" s="766"/>
      <c r="E438" s="765" t="s">
        <v>55</v>
      </c>
      <c r="F438" s="756"/>
      <c r="G438" s="501" t="s">
        <v>220</v>
      </c>
      <c r="H438" s="502" t="s">
        <v>93</v>
      </c>
      <c r="I438" s="487" t="s">
        <v>95</v>
      </c>
      <c r="J438" s="502" t="s">
        <v>60</v>
      </c>
      <c r="K438" s="488">
        <v>40760</v>
      </c>
      <c r="L438" s="487" t="s">
        <v>10</v>
      </c>
      <c r="M438" s="449">
        <v>184</v>
      </c>
      <c r="N438" s="458">
        <v>10116</v>
      </c>
      <c r="O438" s="459">
        <v>2291</v>
      </c>
      <c r="P438" s="458">
        <v>11523435</v>
      </c>
      <c r="Q438" s="459">
        <v>1146278</v>
      </c>
      <c r="R438" s="218">
        <v>40935</v>
      </c>
    </row>
    <row r="439" spans="1:18" ht="9" customHeight="1">
      <c r="A439" s="769" t="s">
        <v>223</v>
      </c>
      <c r="B439" s="779">
        <v>3</v>
      </c>
      <c r="C439" s="755"/>
      <c r="D439" s="766"/>
      <c r="E439" s="765" t="s">
        <v>55</v>
      </c>
      <c r="F439" s="756"/>
      <c r="G439" s="501" t="s">
        <v>220</v>
      </c>
      <c r="H439" s="502" t="s">
        <v>93</v>
      </c>
      <c r="I439" s="487" t="s">
        <v>95</v>
      </c>
      <c r="J439" s="502" t="s">
        <v>60</v>
      </c>
      <c r="K439" s="488">
        <v>40760</v>
      </c>
      <c r="L439" s="487" t="s">
        <v>10</v>
      </c>
      <c r="M439" s="449">
        <v>184</v>
      </c>
      <c r="N439" s="458">
        <v>4268</v>
      </c>
      <c r="O439" s="459">
        <v>880</v>
      </c>
      <c r="P439" s="458">
        <v>11513319</v>
      </c>
      <c r="Q439" s="459">
        <v>1143987</v>
      </c>
      <c r="R439" s="218">
        <v>40928</v>
      </c>
    </row>
    <row r="440" spans="1:18" ht="9" customHeight="1">
      <c r="A440" s="769" t="s">
        <v>223</v>
      </c>
      <c r="B440" s="779">
        <v>3</v>
      </c>
      <c r="C440" s="759"/>
      <c r="D440" s="770"/>
      <c r="E440" s="765" t="s">
        <v>55</v>
      </c>
      <c r="F440" s="763"/>
      <c r="G440" s="501" t="s">
        <v>220</v>
      </c>
      <c r="H440" s="502" t="s">
        <v>93</v>
      </c>
      <c r="I440" s="487" t="s">
        <v>95</v>
      </c>
      <c r="J440" s="502" t="s">
        <v>60</v>
      </c>
      <c r="K440" s="488">
        <v>40760</v>
      </c>
      <c r="L440" s="487" t="s">
        <v>10</v>
      </c>
      <c r="M440" s="449">
        <v>184</v>
      </c>
      <c r="N440" s="458">
        <v>3227</v>
      </c>
      <c r="O440" s="459">
        <v>581</v>
      </c>
      <c r="P440" s="458">
        <v>11506311</v>
      </c>
      <c r="Q440" s="459">
        <v>1142393</v>
      </c>
      <c r="R440" s="297">
        <v>40907</v>
      </c>
    </row>
    <row r="441" spans="1:18" ht="9" customHeight="1">
      <c r="A441" s="769" t="s">
        <v>223</v>
      </c>
      <c r="B441" s="779">
        <v>3</v>
      </c>
      <c r="C441" s="755"/>
      <c r="D441" s="766"/>
      <c r="E441" s="765" t="s">
        <v>55</v>
      </c>
      <c r="F441" s="756"/>
      <c r="G441" s="501" t="s">
        <v>220</v>
      </c>
      <c r="H441" s="502" t="s">
        <v>93</v>
      </c>
      <c r="I441" s="487" t="s">
        <v>95</v>
      </c>
      <c r="J441" s="502" t="s">
        <v>60</v>
      </c>
      <c r="K441" s="488">
        <v>40760</v>
      </c>
      <c r="L441" s="487" t="s">
        <v>10</v>
      </c>
      <c r="M441" s="449">
        <v>184</v>
      </c>
      <c r="N441" s="458">
        <v>2676</v>
      </c>
      <c r="O441" s="459">
        <v>704</v>
      </c>
      <c r="P441" s="458">
        <f>11506311+2676</f>
        <v>11508987</v>
      </c>
      <c r="Q441" s="296">
        <f>1142393+704</f>
        <v>1143097</v>
      </c>
      <c r="R441" s="218">
        <v>40914</v>
      </c>
    </row>
    <row r="442" spans="1:18" ht="9" customHeight="1">
      <c r="A442" s="769" t="s">
        <v>223</v>
      </c>
      <c r="B442" s="779">
        <v>3</v>
      </c>
      <c r="C442" s="755"/>
      <c r="D442" s="766"/>
      <c r="E442" s="765" t="s">
        <v>55</v>
      </c>
      <c r="F442" s="756"/>
      <c r="G442" s="502" t="s">
        <v>220</v>
      </c>
      <c r="H442" s="502" t="s">
        <v>93</v>
      </c>
      <c r="I442" s="487" t="s">
        <v>95</v>
      </c>
      <c r="J442" s="502" t="s">
        <v>60</v>
      </c>
      <c r="K442" s="488">
        <v>40760</v>
      </c>
      <c r="L442" s="487" t="s">
        <v>10</v>
      </c>
      <c r="M442" s="449">
        <v>184</v>
      </c>
      <c r="N442" s="458">
        <v>2378</v>
      </c>
      <c r="O442" s="459">
        <v>535</v>
      </c>
      <c r="P442" s="458">
        <v>11528561</v>
      </c>
      <c r="Q442" s="459">
        <v>1147374</v>
      </c>
      <c r="R442" s="218">
        <v>40956</v>
      </c>
    </row>
    <row r="443" spans="1:18" ht="9" customHeight="1">
      <c r="A443" s="769" t="s">
        <v>223</v>
      </c>
      <c r="B443" s="779">
        <v>3</v>
      </c>
      <c r="C443" s="755"/>
      <c r="D443" s="766"/>
      <c r="E443" s="765" t="s">
        <v>55</v>
      </c>
      <c r="F443" s="756"/>
      <c r="G443" s="502" t="s">
        <v>220</v>
      </c>
      <c r="H443" s="502" t="s">
        <v>93</v>
      </c>
      <c r="I443" s="487" t="s">
        <v>95</v>
      </c>
      <c r="J443" s="502" t="s">
        <v>60</v>
      </c>
      <c r="K443" s="488">
        <v>40760</v>
      </c>
      <c r="L443" s="487" t="s">
        <v>10</v>
      </c>
      <c r="M443" s="449">
        <v>184</v>
      </c>
      <c r="N443" s="458">
        <v>2152</v>
      </c>
      <c r="O443" s="459">
        <v>412</v>
      </c>
      <c r="P443" s="458">
        <v>11526183</v>
      </c>
      <c r="Q443" s="296">
        <v>1146839</v>
      </c>
      <c r="R443" s="218">
        <v>40949</v>
      </c>
    </row>
    <row r="444" spans="1:18" ht="9" customHeight="1">
      <c r="A444" s="769" t="s">
        <v>223</v>
      </c>
      <c r="B444" s="779">
        <v>3</v>
      </c>
      <c r="C444" s="755"/>
      <c r="D444" s="766"/>
      <c r="E444" s="765" t="s">
        <v>55</v>
      </c>
      <c r="F444" s="756"/>
      <c r="G444" s="502" t="s">
        <v>220</v>
      </c>
      <c r="H444" s="502" t="s">
        <v>93</v>
      </c>
      <c r="I444" s="487" t="s">
        <v>95</v>
      </c>
      <c r="J444" s="502" t="s">
        <v>60</v>
      </c>
      <c r="K444" s="488">
        <v>40760</v>
      </c>
      <c r="L444" s="487" t="s">
        <v>10</v>
      </c>
      <c r="M444" s="449">
        <v>184</v>
      </c>
      <c r="N444" s="458">
        <v>1190</v>
      </c>
      <c r="O444" s="459">
        <v>238</v>
      </c>
      <c r="P444" s="458">
        <f>11528561+1190</f>
        <v>11529751</v>
      </c>
      <c r="Q444" s="459">
        <f>1147374+238</f>
        <v>1147612</v>
      </c>
      <c r="R444" s="297">
        <v>40963</v>
      </c>
    </row>
    <row r="445" spans="1:18" ht="9" customHeight="1">
      <c r="A445" s="769" t="s">
        <v>223</v>
      </c>
      <c r="B445" s="779">
        <v>3</v>
      </c>
      <c r="C445" s="755"/>
      <c r="D445" s="766"/>
      <c r="E445" s="765" t="s">
        <v>55</v>
      </c>
      <c r="F445" s="756"/>
      <c r="G445" s="501" t="s">
        <v>220</v>
      </c>
      <c r="H445" s="502" t="s">
        <v>93</v>
      </c>
      <c r="I445" s="487" t="s">
        <v>95</v>
      </c>
      <c r="J445" s="502" t="s">
        <v>60</v>
      </c>
      <c r="K445" s="488">
        <v>40760</v>
      </c>
      <c r="L445" s="487" t="s">
        <v>10</v>
      </c>
      <c r="M445" s="449">
        <v>184</v>
      </c>
      <c r="N445" s="458">
        <v>596</v>
      </c>
      <c r="O445" s="459">
        <v>149</v>
      </c>
      <c r="P445" s="458">
        <v>11524031</v>
      </c>
      <c r="Q445" s="459">
        <v>1146427</v>
      </c>
      <c r="R445" s="218">
        <v>40942</v>
      </c>
    </row>
    <row r="446" spans="1:18" ht="9" customHeight="1">
      <c r="A446" s="772" t="s">
        <v>223</v>
      </c>
      <c r="B446" s="783">
        <v>3</v>
      </c>
      <c r="C446" s="760"/>
      <c r="D446" s="332"/>
      <c r="E446" s="767" t="s">
        <v>55</v>
      </c>
      <c r="F446" s="761"/>
      <c r="G446" s="266" t="s">
        <v>220</v>
      </c>
      <c r="H446" s="266" t="s">
        <v>93</v>
      </c>
      <c r="I446" s="526" t="s">
        <v>95</v>
      </c>
      <c r="J446" s="266" t="s">
        <v>60</v>
      </c>
      <c r="K446" s="488">
        <v>40760</v>
      </c>
      <c r="L446" s="526" t="s">
        <v>10</v>
      </c>
      <c r="M446" s="449">
        <v>184</v>
      </c>
      <c r="N446" s="270">
        <v>196</v>
      </c>
      <c r="O446" s="272">
        <v>30</v>
      </c>
      <c r="P446" s="270">
        <v>11529947</v>
      </c>
      <c r="Q446" s="272">
        <v>1147642</v>
      </c>
      <c r="R446" s="297">
        <v>40970</v>
      </c>
    </row>
    <row r="447" spans="1:18" ht="9" customHeight="1">
      <c r="A447" s="769" t="s">
        <v>223</v>
      </c>
      <c r="B447" s="779">
        <v>3</v>
      </c>
      <c r="C447" s="755"/>
      <c r="D447" s="766"/>
      <c r="E447" s="765" t="s">
        <v>55</v>
      </c>
      <c r="F447" s="756"/>
      <c r="G447" s="501" t="s">
        <v>220</v>
      </c>
      <c r="H447" s="502" t="s">
        <v>93</v>
      </c>
      <c r="I447" s="487" t="s">
        <v>95</v>
      </c>
      <c r="J447" s="502" t="s">
        <v>60</v>
      </c>
      <c r="K447" s="488">
        <v>40760</v>
      </c>
      <c r="L447" s="487" t="s">
        <v>10</v>
      </c>
      <c r="M447" s="449">
        <v>184</v>
      </c>
      <c r="N447" s="458">
        <v>64</v>
      </c>
      <c r="O447" s="459">
        <v>10</v>
      </c>
      <c r="P447" s="458">
        <v>11509051</v>
      </c>
      <c r="Q447" s="459">
        <v>1143107</v>
      </c>
      <c r="R447" s="218">
        <v>40921</v>
      </c>
    </row>
    <row r="448" spans="1:18" ht="9" customHeight="1">
      <c r="A448" s="332"/>
      <c r="B448" s="332"/>
      <c r="C448" s="760"/>
      <c r="D448" s="332"/>
      <c r="E448" s="761"/>
      <c r="F448" s="762"/>
      <c r="G448" s="526" t="s">
        <v>704</v>
      </c>
      <c r="H448" s="258" t="s">
        <v>709</v>
      </c>
      <c r="I448" s="526" t="s">
        <v>706</v>
      </c>
      <c r="J448" s="526" t="s">
        <v>705</v>
      </c>
      <c r="K448" s="488">
        <v>40312</v>
      </c>
      <c r="L448" s="526" t="s">
        <v>52</v>
      </c>
      <c r="M448" s="255">
        <v>64</v>
      </c>
      <c r="N448" s="261">
        <v>1188</v>
      </c>
      <c r="O448" s="262">
        <v>238</v>
      </c>
      <c r="P448" s="276">
        <f>384993+315+150+24+2376+1188</f>
        <v>389046</v>
      </c>
      <c r="Q448" s="277">
        <f>43717+38+25+4+475+238</f>
        <v>44497</v>
      </c>
      <c r="R448" s="297">
        <v>40970</v>
      </c>
    </row>
    <row r="449" spans="1:18" ht="9" customHeight="1">
      <c r="A449" s="769" t="s">
        <v>223</v>
      </c>
      <c r="B449" s="779">
        <v>3</v>
      </c>
      <c r="C449" s="755"/>
      <c r="D449" s="755"/>
      <c r="E449" s="765" t="s">
        <v>55</v>
      </c>
      <c r="F449" s="775"/>
      <c r="G449" s="502" t="s">
        <v>174</v>
      </c>
      <c r="H449" s="502" t="s">
        <v>185</v>
      </c>
      <c r="I449" s="502" t="s">
        <v>186</v>
      </c>
      <c r="J449" s="502" t="s">
        <v>177</v>
      </c>
      <c r="K449" s="488">
        <v>39710</v>
      </c>
      <c r="L449" s="487" t="s">
        <v>53</v>
      </c>
      <c r="M449" s="448">
        <v>66</v>
      </c>
      <c r="N449" s="214">
        <v>2402</v>
      </c>
      <c r="O449" s="217">
        <v>480</v>
      </c>
      <c r="P449" s="214">
        <f>152576+127511+68854.5+21974+10111.5+7103+7290+0.5+1014+3149+989+3524+0.5+3768+138+2528+257+351.5+573.5+184+3655+10+15+10+210+156+3603+3603+1922+1201+1201+2402</f>
        <v>429885</v>
      </c>
      <c r="Q449" s="307">
        <f>50018+825+47+65+137+67+1215+2+3+2+35+26+721+720+384+240+240+480</f>
        <v>55227</v>
      </c>
      <c r="R449" s="218">
        <v>40949</v>
      </c>
    </row>
    <row r="450" spans="1:18" ht="9" customHeight="1">
      <c r="A450" s="769" t="s">
        <v>223</v>
      </c>
      <c r="B450" s="779">
        <v>3</v>
      </c>
      <c r="C450" s="759"/>
      <c r="D450" s="755"/>
      <c r="E450" s="765" t="s">
        <v>55</v>
      </c>
      <c r="F450" s="776"/>
      <c r="G450" s="501" t="s">
        <v>174</v>
      </c>
      <c r="H450" s="502" t="s">
        <v>185</v>
      </c>
      <c r="I450" s="502" t="s">
        <v>186</v>
      </c>
      <c r="J450" s="502" t="s">
        <v>177</v>
      </c>
      <c r="K450" s="488">
        <v>39710</v>
      </c>
      <c r="L450" s="487" t="s">
        <v>53</v>
      </c>
      <c r="M450" s="448">
        <v>66</v>
      </c>
      <c r="N450" s="214">
        <v>1201</v>
      </c>
      <c r="O450" s="217">
        <v>240</v>
      </c>
      <c r="P450" s="214">
        <f>152576+127511+68854.5+21974+10111.5+7103+7290+0.5+1014+3149+989+3524+0.5+3768+138+2528+257+351.5+573.5+184+3655+10+15+10+210+156+3603+3603+1922+1201</f>
        <v>426282</v>
      </c>
      <c r="Q450" s="490">
        <f>50018+825+47+65+137+67+1215+2+3+2+35+26+721+720+384+240</f>
        <v>54507</v>
      </c>
      <c r="R450" s="297">
        <v>40907</v>
      </c>
    </row>
    <row r="451" spans="1:18" ht="9" customHeight="1">
      <c r="A451" s="769" t="s">
        <v>223</v>
      </c>
      <c r="B451" s="779">
        <v>3</v>
      </c>
      <c r="C451" s="755"/>
      <c r="D451" s="755"/>
      <c r="E451" s="765" t="s">
        <v>55</v>
      </c>
      <c r="F451" s="775"/>
      <c r="G451" s="501" t="s">
        <v>174</v>
      </c>
      <c r="H451" s="502" t="s">
        <v>185</v>
      </c>
      <c r="I451" s="502" t="s">
        <v>186</v>
      </c>
      <c r="J451" s="502" t="s">
        <v>177</v>
      </c>
      <c r="K451" s="488">
        <v>39710</v>
      </c>
      <c r="L451" s="487" t="s">
        <v>53</v>
      </c>
      <c r="M451" s="448">
        <v>66</v>
      </c>
      <c r="N451" s="214">
        <v>1201</v>
      </c>
      <c r="O451" s="217">
        <v>240</v>
      </c>
      <c r="P451" s="214">
        <f>152576+127511+68854.5+21974+10111.5+7103+7290+0.5+1014+3149+989+3524+0.5+3768+138+2528+257+351.5+573.5+184+3655+10+15+10+210+156+3603+3603+1922+1201+1201</f>
        <v>427483</v>
      </c>
      <c r="Q451" s="217">
        <f>50018+825+47+65+137+67+1215+2+3+2+35+26+721+720+384+240+240</f>
        <v>54747</v>
      </c>
      <c r="R451" s="218">
        <v>40935</v>
      </c>
    </row>
    <row r="452" spans="1:18" ht="9" customHeight="1">
      <c r="A452" s="755"/>
      <c r="B452" s="755"/>
      <c r="C452" s="755"/>
      <c r="D452" s="755"/>
      <c r="E452" s="756"/>
      <c r="F452" s="756"/>
      <c r="G452" s="501" t="s">
        <v>149</v>
      </c>
      <c r="H452" s="492" t="s">
        <v>184</v>
      </c>
      <c r="I452" s="502" t="s">
        <v>189</v>
      </c>
      <c r="J452" s="502" t="s">
        <v>150</v>
      </c>
      <c r="K452" s="503">
        <v>40830</v>
      </c>
      <c r="L452" s="487" t="s">
        <v>8</v>
      </c>
      <c r="M452" s="257">
        <v>60</v>
      </c>
      <c r="N452" s="458">
        <v>7574</v>
      </c>
      <c r="O452" s="459">
        <v>1094</v>
      </c>
      <c r="P452" s="458">
        <v>393915</v>
      </c>
      <c r="Q452" s="459">
        <v>41412</v>
      </c>
      <c r="R452" s="218">
        <v>40928</v>
      </c>
    </row>
    <row r="453" spans="1:18" ht="9" customHeight="1">
      <c r="A453" s="755"/>
      <c r="B453" s="755"/>
      <c r="C453" s="755"/>
      <c r="D453" s="755"/>
      <c r="E453" s="756"/>
      <c r="F453" s="756"/>
      <c r="G453" s="502" t="s">
        <v>149</v>
      </c>
      <c r="H453" s="492" t="s">
        <v>184</v>
      </c>
      <c r="I453" s="502" t="s">
        <v>189</v>
      </c>
      <c r="J453" s="502" t="s">
        <v>150</v>
      </c>
      <c r="K453" s="503">
        <v>40830</v>
      </c>
      <c r="L453" s="487" t="s">
        <v>8</v>
      </c>
      <c r="M453" s="257">
        <v>60</v>
      </c>
      <c r="N453" s="458">
        <v>710</v>
      </c>
      <c r="O453" s="459">
        <v>114</v>
      </c>
      <c r="P453" s="458">
        <v>395335</v>
      </c>
      <c r="Q453" s="296">
        <v>41640</v>
      </c>
      <c r="R453" s="218">
        <v>40949</v>
      </c>
    </row>
    <row r="454" spans="1:18" ht="9" customHeight="1">
      <c r="A454" s="759"/>
      <c r="B454" s="759"/>
      <c r="C454" s="759"/>
      <c r="D454" s="759"/>
      <c r="E454" s="758"/>
      <c r="F454" s="763"/>
      <c r="G454" s="501" t="s">
        <v>149</v>
      </c>
      <c r="H454" s="492" t="s">
        <v>184</v>
      </c>
      <c r="I454" s="502" t="s">
        <v>189</v>
      </c>
      <c r="J454" s="502" t="s">
        <v>150</v>
      </c>
      <c r="K454" s="503">
        <v>40830</v>
      </c>
      <c r="L454" s="487" t="s">
        <v>8</v>
      </c>
      <c r="M454" s="257">
        <v>60</v>
      </c>
      <c r="N454" s="458">
        <v>476</v>
      </c>
      <c r="O454" s="459">
        <v>70</v>
      </c>
      <c r="P454" s="458">
        <v>386024</v>
      </c>
      <c r="Q454" s="459">
        <v>40273</v>
      </c>
      <c r="R454" s="297">
        <v>40907</v>
      </c>
    </row>
    <row r="455" spans="1:18" ht="9" customHeight="1">
      <c r="A455" s="759"/>
      <c r="B455" s="779">
        <v>3</v>
      </c>
      <c r="C455" s="759"/>
      <c r="D455" s="755"/>
      <c r="E455" s="758"/>
      <c r="F455" s="758"/>
      <c r="G455" s="494" t="s">
        <v>274</v>
      </c>
      <c r="H455" s="492" t="s">
        <v>140</v>
      </c>
      <c r="I455" s="493" t="s">
        <v>85</v>
      </c>
      <c r="J455" s="491" t="s">
        <v>286</v>
      </c>
      <c r="K455" s="488">
        <v>40830</v>
      </c>
      <c r="L455" s="487" t="s">
        <v>68</v>
      </c>
      <c r="M455" s="254">
        <v>98</v>
      </c>
      <c r="N455" s="458">
        <v>6668.5</v>
      </c>
      <c r="O455" s="459">
        <v>1646</v>
      </c>
      <c r="P455" s="458">
        <f>573965.5+340647.5+298149+37925.5+16221+796+1713.5+3994+1930+1403+3582+6668.5</f>
        <v>1286995.5</v>
      </c>
      <c r="Q455" s="459">
        <f>50953+31140+27249+4634+2655+127+438+632+617+597+1015+1646</f>
        <v>121703</v>
      </c>
      <c r="R455" s="297">
        <v>40907</v>
      </c>
    </row>
    <row r="456" spans="1:18" ht="9" customHeight="1">
      <c r="A456" s="759"/>
      <c r="B456" s="779">
        <v>3</v>
      </c>
      <c r="C456" s="759"/>
      <c r="D456" s="755"/>
      <c r="E456" s="758"/>
      <c r="F456" s="756"/>
      <c r="G456" s="491" t="s">
        <v>274</v>
      </c>
      <c r="H456" s="492" t="s">
        <v>140</v>
      </c>
      <c r="I456" s="493" t="s">
        <v>85</v>
      </c>
      <c r="J456" s="491" t="s">
        <v>286</v>
      </c>
      <c r="K456" s="488">
        <v>40830</v>
      </c>
      <c r="L456" s="487" t="s">
        <v>68</v>
      </c>
      <c r="M456" s="254">
        <v>98</v>
      </c>
      <c r="N456" s="458">
        <v>3207.5</v>
      </c>
      <c r="O456" s="459">
        <v>641</v>
      </c>
      <c r="P456" s="458">
        <f>573965.5+340647.5+298149+37925.5+16221+796+1713.5+3994+1930+1403+3582+6668.5+488+3207.5</f>
        <v>1290691</v>
      </c>
      <c r="Q456" s="459">
        <f>50953+31140+27249+4634+2655+127+438+632+617+597+1015+1646+70+641</f>
        <v>122414</v>
      </c>
      <c r="R456" s="218">
        <v>40956</v>
      </c>
    </row>
    <row r="457" spans="1:18" ht="9" customHeight="1">
      <c r="A457" s="759"/>
      <c r="B457" s="779">
        <v>3</v>
      </c>
      <c r="C457" s="759"/>
      <c r="D457" s="755"/>
      <c r="E457" s="758"/>
      <c r="F457" s="756"/>
      <c r="G457" s="494" t="s">
        <v>274</v>
      </c>
      <c r="H457" s="492" t="s">
        <v>140</v>
      </c>
      <c r="I457" s="493" t="s">
        <v>85</v>
      </c>
      <c r="J457" s="491" t="s">
        <v>286</v>
      </c>
      <c r="K457" s="488">
        <v>40830</v>
      </c>
      <c r="L457" s="487" t="s">
        <v>68</v>
      </c>
      <c r="M457" s="254">
        <v>98</v>
      </c>
      <c r="N457" s="458">
        <v>488</v>
      </c>
      <c r="O457" s="459">
        <v>70</v>
      </c>
      <c r="P457" s="458">
        <f>573965.5+340647.5+298149+37925.5+16221+796+1713.5+3994+1930+1403+3582+6668.5+488</f>
        <v>1287483.5</v>
      </c>
      <c r="Q457" s="296">
        <f>50953+31140+27249+4634+2655+127+438+632+617+597+1015+1646+70</f>
        <v>121773</v>
      </c>
      <c r="R457" s="218">
        <v>40914</v>
      </c>
    </row>
    <row r="458" spans="1:18" ht="9" customHeight="1">
      <c r="A458" s="759"/>
      <c r="B458" s="755"/>
      <c r="C458" s="755"/>
      <c r="D458" s="755"/>
      <c r="E458" s="755"/>
      <c r="F458" s="756"/>
      <c r="G458" s="495" t="s">
        <v>387</v>
      </c>
      <c r="H458" s="492" t="s">
        <v>83</v>
      </c>
      <c r="I458" s="496" t="s">
        <v>94</v>
      </c>
      <c r="J458" s="496" t="s">
        <v>388</v>
      </c>
      <c r="K458" s="488">
        <v>40851</v>
      </c>
      <c r="L458" s="487" t="s">
        <v>12</v>
      </c>
      <c r="M458" s="254">
        <v>72</v>
      </c>
      <c r="N458" s="214">
        <v>612</v>
      </c>
      <c r="O458" s="217">
        <v>102</v>
      </c>
      <c r="P458" s="214">
        <v>1116374</v>
      </c>
      <c r="Q458" s="307">
        <v>103200</v>
      </c>
      <c r="R458" s="218">
        <v>40921</v>
      </c>
    </row>
    <row r="459" spans="1:18" ht="9" customHeight="1">
      <c r="A459" s="755"/>
      <c r="B459" s="755"/>
      <c r="C459" s="755"/>
      <c r="D459" s="755"/>
      <c r="E459" s="755"/>
      <c r="F459" s="756"/>
      <c r="G459" s="511" t="s">
        <v>425</v>
      </c>
      <c r="H459" s="510" t="s">
        <v>91</v>
      </c>
      <c r="I459" s="510" t="s">
        <v>94</v>
      </c>
      <c r="J459" s="493" t="s">
        <v>429</v>
      </c>
      <c r="K459" s="488">
        <v>40907</v>
      </c>
      <c r="L459" s="487" t="s">
        <v>8</v>
      </c>
      <c r="M459" s="448">
        <v>73</v>
      </c>
      <c r="N459" s="345">
        <v>324</v>
      </c>
      <c r="O459" s="346">
        <v>32</v>
      </c>
      <c r="P459" s="345">
        <v>141554</v>
      </c>
      <c r="Q459" s="346">
        <v>12703</v>
      </c>
      <c r="R459" s="218">
        <v>40928</v>
      </c>
    </row>
    <row r="460" spans="1:18" s="749" customFormat="1" ht="9" customHeight="1">
      <c r="A460" s="760"/>
      <c r="B460" s="760"/>
      <c r="C460" s="760"/>
      <c r="D460" s="781"/>
      <c r="E460" s="781"/>
      <c r="F460" s="768" t="s">
        <v>54</v>
      </c>
      <c r="G460" s="281" t="s">
        <v>717</v>
      </c>
      <c r="H460" s="258" t="s">
        <v>716</v>
      </c>
      <c r="I460" s="526"/>
      <c r="J460" s="526" t="s">
        <v>717</v>
      </c>
      <c r="K460" s="503">
        <v>40682</v>
      </c>
      <c r="L460" s="526" t="s">
        <v>10</v>
      </c>
      <c r="M460" s="254">
        <v>164</v>
      </c>
      <c r="N460" s="270">
        <v>1188</v>
      </c>
      <c r="O460" s="272">
        <v>297</v>
      </c>
      <c r="P460" s="270">
        <v>578668</v>
      </c>
      <c r="Q460" s="272">
        <v>63763</v>
      </c>
      <c r="R460" s="297">
        <v>40970</v>
      </c>
    </row>
    <row r="461" spans="1:18" s="749" customFormat="1" ht="9" customHeight="1">
      <c r="A461" s="764"/>
      <c r="B461" s="764"/>
      <c r="C461" s="759"/>
      <c r="D461" s="771" t="s">
        <v>292</v>
      </c>
      <c r="E461" s="758"/>
      <c r="F461" s="763"/>
      <c r="G461" s="494" t="s">
        <v>86</v>
      </c>
      <c r="H461" s="492" t="s">
        <v>90</v>
      </c>
      <c r="I461" s="502" t="s">
        <v>85</v>
      </c>
      <c r="J461" s="502" t="s">
        <v>84</v>
      </c>
      <c r="K461" s="488">
        <v>40865</v>
      </c>
      <c r="L461" s="487" t="s">
        <v>68</v>
      </c>
      <c r="M461" s="257">
        <v>269</v>
      </c>
      <c r="N461" s="458">
        <v>50403.5</v>
      </c>
      <c r="O461" s="459">
        <v>10176</v>
      </c>
      <c r="P461" s="458">
        <f>5909490.25+3097966.75+1490952+971866.5+533653.5+131687+50403.5</f>
        <v>12186019.5</v>
      </c>
      <c r="Q461" s="459">
        <f>649738+347416+170125+112162+66621+19435+10176</f>
        <v>1375673</v>
      </c>
      <c r="R461" s="297">
        <v>40907</v>
      </c>
    </row>
    <row r="462" spans="1:18" s="749" customFormat="1" ht="9" customHeight="1">
      <c r="A462" s="766"/>
      <c r="B462" s="766"/>
      <c r="C462" s="759"/>
      <c r="D462" s="771" t="s">
        <v>292</v>
      </c>
      <c r="E462" s="758"/>
      <c r="F462" s="763"/>
      <c r="G462" s="494" t="s">
        <v>86</v>
      </c>
      <c r="H462" s="492" t="s">
        <v>90</v>
      </c>
      <c r="I462" s="502" t="s">
        <v>85</v>
      </c>
      <c r="J462" s="502" t="s">
        <v>84</v>
      </c>
      <c r="K462" s="488">
        <v>40865</v>
      </c>
      <c r="L462" s="487" t="s">
        <v>68</v>
      </c>
      <c r="M462" s="257">
        <v>269</v>
      </c>
      <c r="N462" s="458">
        <v>9558</v>
      </c>
      <c r="O462" s="459">
        <v>1583</v>
      </c>
      <c r="P462" s="458">
        <f>5909490.25+3097966.75+1490952+971866.5+533653.5+131687+50452.5+9558</f>
        <v>12195626.5</v>
      </c>
      <c r="Q462" s="296">
        <f>649738+347416+170125+112162+66621+19435+10184+1583</f>
        <v>1377264</v>
      </c>
      <c r="R462" s="218">
        <v>40914</v>
      </c>
    </row>
    <row r="463" spans="1:18" s="749" customFormat="1" ht="9" customHeight="1">
      <c r="A463" s="766"/>
      <c r="B463" s="766"/>
      <c r="C463" s="759"/>
      <c r="D463" s="771" t="s">
        <v>292</v>
      </c>
      <c r="E463" s="758"/>
      <c r="F463" s="763"/>
      <c r="G463" s="494" t="s">
        <v>86</v>
      </c>
      <c r="H463" s="492" t="s">
        <v>90</v>
      </c>
      <c r="I463" s="502" t="s">
        <v>85</v>
      </c>
      <c r="J463" s="502" t="s">
        <v>84</v>
      </c>
      <c r="K463" s="488">
        <v>40865</v>
      </c>
      <c r="L463" s="487" t="s">
        <v>68</v>
      </c>
      <c r="M463" s="257">
        <v>269</v>
      </c>
      <c r="N463" s="458">
        <v>4400</v>
      </c>
      <c r="O463" s="459">
        <v>654</v>
      </c>
      <c r="P463" s="458">
        <f>5909490.25+3097966.75+1490952+971866.5+533653.5+131687+50452.5+9558+4400</f>
        <v>12200026.5</v>
      </c>
      <c r="Q463" s="459">
        <f>649738+347416+170125+112162+66621+19435+10184+1583+654</f>
        <v>1377918</v>
      </c>
      <c r="R463" s="218">
        <v>40921</v>
      </c>
    </row>
    <row r="464" spans="1:18" s="749" customFormat="1" ht="9" customHeight="1">
      <c r="A464" s="766"/>
      <c r="B464" s="766"/>
      <c r="C464" s="759"/>
      <c r="D464" s="771" t="s">
        <v>292</v>
      </c>
      <c r="E464" s="758"/>
      <c r="F464" s="763"/>
      <c r="G464" s="494" t="s">
        <v>86</v>
      </c>
      <c r="H464" s="492" t="s">
        <v>90</v>
      </c>
      <c r="I464" s="502" t="s">
        <v>85</v>
      </c>
      <c r="J464" s="502" t="s">
        <v>84</v>
      </c>
      <c r="K464" s="488">
        <v>40865</v>
      </c>
      <c r="L464" s="487" t="s">
        <v>68</v>
      </c>
      <c r="M464" s="257">
        <v>269</v>
      </c>
      <c r="N464" s="458">
        <v>2984</v>
      </c>
      <c r="O464" s="459">
        <v>504</v>
      </c>
      <c r="P464" s="458">
        <f>5909490.25+3097966.75+1490952+971866.5+533653.5+131687+50452.5+9558+4400+2382+513+2984</f>
        <v>12205905.5</v>
      </c>
      <c r="Q464" s="459">
        <f>649738+347416+170125+112162+66621+19435+10184+1583+654+354+78+504</f>
        <v>1378854</v>
      </c>
      <c r="R464" s="218">
        <v>40942</v>
      </c>
    </row>
    <row r="465" spans="1:18" s="749" customFormat="1" ht="9" customHeight="1">
      <c r="A465" s="766"/>
      <c r="B465" s="766"/>
      <c r="C465" s="759"/>
      <c r="D465" s="771" t="s">
        <v>292</v>
      </c>
      <c r="E465" s="758"/>
      <c r="F465" s="763"/>
      <c r="G465" s="491" t="s">
        <v>86</v>
      </c>
      <c r="H465" s="492" t="s">
        <v>90</v>
      </c>
      <c r="I465" s="502" t="s">
        <v>85</v>
      </c>
      <c r="J465" s="502" t="s">
        <v>84</v>
      </c>
      <c r="K465" s="488">
        <v>40865</v>
      </c>
      <c r="L465" s="487" t="s">
        <v>68</v>
      </c>
      <c r="M465" s="257">
        <v>269</v>
      </c>
      <c r="N465" s="458">
        <v>2736</v>
      </c>
      <c r="O465" s="459">
        <v>583</v>
      </c>
      <c r="P465" s="458">
        <f>5909490.25+3097966.75+1490952+971866.5+533653.5+131687+50452.5+9558+4400+2382+513+2984+2736</f>
        <v>12208641.5</v>
      </c>
      <c r="Q465" s="296">
        <f>649738+347416+170125+112162+66621+19435+10184+1583+654+354+78+504+583</f>
        <v>1379437</v>
      </c>
      <c r="R465" s="218">
        <v>40949</v>
      </c>
    </row>
    <row r="466" spans="1:18" s="749" customFormat="1" ht="9" customHeight="1">
      <c r="A466" s="766"/>
      <c r="B466" s="766"/>
      <c r="C466" s="759"/>
      <c r="D466" s="771" t="s">
        <v>292</v>
      </c>
      <c r="E466" s="758"/>
      <c r="F466" s="763"/>
      <c r="G466" s="494" t="s">
        <v>86</v>
      </c>
      <c r="H466" s="492" t="s">
        <v>90</v>
      </c>
      <c r="I466" s="502" t="s">
        <v>85</v>
      </c>
      <c r="J466" s="502" t="s">
        <v>84</v>
      </c>
      <c r="K466" s="488">
        <v>40865</v>
      </c>
      <c r="L466" s="487" t="s">
        <v>68</v>
      </c>
      <c r="M466" s="257">
        <v>269</v>
      </c>
      <c r="N466" s="458">
        <v>1134</v>
      </c>
      <c r="O466" s="459">
        <v>159</v>
      </c>
      <c r="P466" s="458">
        <f>5909490.25+3097966.75+1490952+971866.5+533653.5+131687+50452.5+9558+4400+2382</f>
        <v>12202408.5</v>
      </c>
      <c r="Q466" s="459">
        <f>649738+347416+170125+112162+66621+19435+10184+1583+654+354</f>
        <v>1378272</v>
      </c>
      <c r="R466" s="218">
        <v>40928</v>
      </c>
    </row>
    <row r="467" spans="1:18" s="749" customFormat="1" ht="9" customHeight="1">
      <c r="A467" s="766"/>
      <c r="B467" s="766"/>
      <c r="C467" s="759"/>
      <c r="D467" s="771" t="s">
        <v>292</v>
      </c>
      <c r="E467" s="758"/>
      <c r="F467" s="763"/>
      <c r="G467" s="494" t="s">
        <v>86</v>
      </c>
      <c r="H467" s="492" t="s">
        <v>90</v>
      </c>
      <c r="I467" s="502" t="s">
        <v>85</v>
      </c>
      <c r="J467" s="502" t="s">
        <v>84</v>
      </c>
      <c r="K467" s="488">
        <v>40865</v>
      </c>
      <c r="L467" s="487" t="s">
        <v>68</v>
      </c>
      <c r="M467" s="257">
        <v>269</v>
      </c>
      <c r="N467" s="458">
        <v>513</v>
      </c>
      <c r="O467" s="459">
        <v>78</v>
      </c>
      <c r="P467" s="458">
        <f>5909490.25+3097966.75+1490952+971866.5+533653.5+131687+50452.5+9558+4400+2382+513</f>
        <v>12202921.5</v>
      </c>
      <c r="Q467" s="459">
        <f>649738+347416+170125+112162+66621+19435+10184+1583+654+354+78</f>
        <v>1378350</v>
      </c>
      <c r="R467" s="218">
        <v>40935</v>
      </c>
    </row>
    <row r="468" spans="1:18" s="749" customFormat="1" ht="9" customHeight="1">
      <c r="A468" s="766"/>
      <c r="B468" s="766"/>
      <c r="C468" s="759"/>
      <c r="D468" s="771" t="s">
        <v>292</v>
      </c>
      <c r="E468" s="758"/>
      <c r="F468" s="763"/>
      <c r="G468" s="491" t="s">
        <v>86</v>
      </c>
      <c r="H468" s="492" t="s">
        <v>90</v>
      </c>
      <c r="I468" s="502" t="s">
        <v>85</v>
      </c>
      <c r="J468" s="502" t="s">
        <v>84</v>
      </c>
      <c r="K468" s="488">
        <v>40865</v>
      </c>
      <c r="L468" s="487" t="s">
        <v>68</v>
      </c>
      <c r="M468" s="257">
        <v>269</v>
      </c>
      <c r="N468" s="458">
        <v>306</v>
      </c>
      <c r="O468" s="459">
        <v>34</v>
      </c>
      <c r="P468" s="458">
        <f>5909490.25+3097966.75+1490952+971866.5+533653.5+131687+50452.5+9558+4400+2382+513+2984+2736+306</f>
        <v>12208947.5</v>
      </c>
      <c r="Q468" s="459">
        <f>649738+347416+170125+112162+66621+19435+10184+1583+654+354+78+504+583+34</f>
        <v>1379471</v>
      </c>
      <c r="R468" s="297">
        <v>40963</v>
      </c>
    </row>
    <row r="469" spans="1:18" s="749" customFormat="1" ht="9" customHeight="1">
      <c r="A469" s="759"/>
      <c r="B469" s="759"/>
      <c r="C469" s="759"/>
      <c r="D469" s="759"/>
      <c r="E469" s="758"/>
      <c r="F469" s="757" t="s">
        <v>54</v>
      </c>
      <c r="G469" s="494" t="s">
        <v>270</v>
      </c>
      <c r="H469" s="492" t="s">
        <v>283</v>
      </c>
      <c r="I469" s="493"/>
      <c r="J469" s="491" t="s">
        <v>270</v>
      </c>
      <c r="K469" s="503">
        <v>40095</v>
      </c>
      <c r="L469" s="487" t="s">
        <v>68</v>
      </c>
      <c r="M469" s="254">
        <v>52</v>
      </c>
      <c r="N469" s="458">
        <v>952</v>
      </c>
      <c r="O469" s="459">
        <v>238</v>
      </c>
      <c r="P469" s="458">
        <f>108013.25+68864+27976+10214+2402+2209+1188+2968+1780+1780+2427.4+364.82+248.58+1780+1188+952</f>
        <v>234355.05</v>
      </c>
      <c r="Q469" s="459">
        <f>12202+8144+4339+1841+481+460+297+742+445+445+599+87+57+445+297+238</f>
        <v>31119</v>
      </c>
      <c r="R469" s="297">
        <v>40907</v>
      </c>
    </row>
    <row r="470" spans="1:18" s="749" customFormat="1" ht="9" customHeight="1">
      <c r="A470" s="755"/>
      <c r="B470" s="755"/>
      <c r="C470" s="755"/>
      <c r="D470" s="755"/>
      <c r="E470" s="756"/>
      <c r="F470" s="757" t="s">
        <v>54</v>
      </c>
      <c r="G470" s="506" t="s">
        <v>591</v>
      </c>
      <c r="H470" s="487" t="s">
        <v>592</v>
      </c>
      <c r="I470" s="487"/>
      <c r="J470" s="487" t="s">
        <v>591</v>
      </c>
      <c r="K470" s="503">
        <v>40900</v>
      </c>
      <c r="L470" s="487" t="s">
        <v>537</v>
      </c>
      <c r="M470" s="254">
        <v>1</v>
      </c>
      <c r="N470" s="214">
        <v>633</v>
      </c>
      <c r="O470" s="217">
        <v>211</v>
      </c>
      <c r="P470" s="214">
        <v>4823</v>
      </c>
      <c r="Q470" s="217">
        <v>630</v>
      </c>
      <c r="R470" s="218">
        <v>40942</v>
      </c>
    </row>
    <row r="471" spans="1:18" s="749" customFormat="1" ht="9" customHeight="1">
      <c r="A471" s="755"/>
      <c r="B471" s="755"/>
      <c r="C471" s="766"/>
      <c r="D471" s="755"/>
      <c r="E471" s="756"/>
      <c r="F471" s="758"/>
      <c r="G471" s="494" t="s">
        <v>443</v>
      </c>
      <c r="H471" s="491" t="s">
        <v>460</v>
      </c>
      <c r="I471" s="491" t="s">
        <v>89</v>
      </c>
      <c r="J471" s="491" t="s">
        <v>451</v>
      </c>
      <c r="K471" s="488">
        <v>40648</v>
      </c>
      <c r="L471" s="487" t="s">
        <v>68</v>
      </c>
      <c r="M471" s="254">
        <v>72</v>
      </c>
      <c r="N471" s="458">
        <v>3801.5</v>
      </c>
      <c r="O471" s="459">
        <v>950</v>
      </c>
      <c r="P471" s="458">
        <f>313705+218661+94172+73484.5+60319.5+15976+18868+7512+25645.5+15093+6591+2599+2683+1937.5+1629+2257+1715+1468+632+686+483+950+882+2440.5+336+3801.5</f>
        <v>874527</v>
      </c>
      <c r="Q471" s="459">
        <f>29673+21437+10530+10169+8845+2631+2981+1155+3600+2641+1030+393+512+262+251+329+256+223+101+108+77+153+142+619+90+950</f>
        <v>99158</v>
      </c>
      <c r="R471" s="218">
        <v>40928</v>
      </c>
    </row>
    <row r="472" spans="1:18" s="749" customFormat="1" ht="9" customHeight="1">
      <c r="A472" s="755"/>
      <c r="B472" s="755"/>
      <c r="C472" s="755"/>
      <c r="D472" s="755"/>
      <c r="E472" s="756"/>
      <c r="F472" s="775"/>
      <c r="G472" s="504" t="s">
        <v>135</v>
      </c>
      <c r="H472" s="492" t="s">
        <v>133</v>
      </c>
      <c r="I472" s="486" t="s">
        <v>99</v>
      </c>
      <c r="J472" s="493" t="s">
        <v>134</v>
      </c>
      <c r="K472" s="503">
        <v>40851</v>
      </c>
      <c r="L472" s="487" t="s">
        <v>52</v>
      </c>
      <c r="M472" s="449">
        <v>29</v>
      </c>
      <c r="N472" s="514">
        <v>1050</v>
      </c>
      <c r="O472" s="515">
        <v>150</v>
      </c>
      <c r="P472" s="514">
        <f>58904+19329.5+590+8101+236+218+391.5+325+1050</f>
        <v>89145</v>
      </c>
      <c r="Q472" s="217">
        <f>5890+1991+54+1603+47+38+47+65+150</f>
        <v>9885</v>
      </c>
      <c r="R472" s="218">
        <v>40921</v>
      </c>
    </row>
    <row r="473" spans="1:18" s="749" customFormat="1" ht="9" customHeight="1">
      <c r="A473" s="759"/>
      <c r="B473" s="759"/>
      <c r="C473" s="759"/>
      <c r="D473" s="759"/>
      <c r="E473" s="758"/>
      <c r="F473" s="782"/>
      <c r="G473" s="504" t="s">
        <v>135</v>
      </c>
      <c r="H473" s="492" t="s">
        <v>133</v>
      </c>
      <c r="I473" s="486" t="s">
        <v>99</v>
      </c>
      <c r="J473" s="493" t="s">
        <v>134</v>
      </c>
      <c r="K473" s="503">
        <v>40851</v>
      </c>
      <c r="L473" s="487" t="s">
        <v>52</v>
      </c>
      <c r="M473" s="449">
        <v>29</v>
      </c>
      <c r="N473" s="512">
        <v>391.5</v>
      </c>
      <c r="O473" s="513">
        <v>47</v>
      </c>
      <c r="P473" s="512">
        <f>58904+19329.5+590+8101+236+218+391.5</f>
        <v>87770</v>
      </c>
      <c r="Q473" s="217">
        <f>5890+1991+54+1603+47+38+47</f>
        <v>9670</v>
      </c>
      <c r="R473" s="297">
        <v>40907</v>
      </c>
    </row>
    <row r="474" spans="1:18" s="749" customFormat="1" ht="9" customHeight="1">
      <c r="A474" s="755"/>
      <c r="B474" s="755"/>
      <c r="C474" s="755"/>
      <c r="D474" s="755"/>
      <c r="E474" s="756"/>
      <c r="F474" s="775"/>
      <c r="G474" s="504" t="s">
        <v>135</v>
      </c>
      <c r="H474" s="492" t="s">
        <v>133</v>
      </c>
      <c r="I474" s="486" t="s">
        <v>99</v>
      </c>
      <c r="J474" s="493" t="s">
        <v>134</v>
      </c>
      <c r="K474" s="503">
        <v>40851</v>
      </c>
      <c r="L474" s="487" t="s">
        <v>52</v>
      </c>
      <c r="M474" s="449">
        <v>29</v>
      </c>
      <c r="N474" s="523">
        <v>132</v>
      </c>
      <c r="O474" s="524">
        <v>22</v>
      </c>
      <c r="P474" s="523">
        <f>58904+19329.5+590+8101+236+218+391.5+325+1050+132</f>
        <v>89277</v>
      </c>
      <c r="Q474" s="525">
        <f>5890+1991+54+1603+47+38+47+65+150+22</f>
        <v>9907</v>
      </c>
      <c r="R474" s="218">
        <v>40942</v>
      </c>
    </row>
    <row r="475" spans="1:18" s="749" customFormat="1" ht="9" customHeight="1">
      <c r="A475" s="755"/>
      <c r="B475" s="755"/>
      <c r="C475" s="755"/>
      <c r="D475" s="755"/>
      <c r="E475" s="756"/>
      <c r="F475" s="775"/>
      <c r="G475" s="492" t="s">
        <v>135</v>
      </c>
      <c r="H475" s="492" t="s">
        <v>133</v>
      </c>
      <c r="I475" s="486" t="s">
        <v>99</v>
      </c>
      <c r="J475" s="493" t="s">
        <v>134</v>
      </c>
      <c r="K475" s="503">
        <v>40851</v>
      </c>
      <c r="L475" s="487" t="s">
        <v>52</v>
      </c>
      <c r="M475" s="449">
        <v>29</v>
      </c>
      <c r="N475" s="214">
        <v>48</v>
      </c>
      <c r="O475" s="217">
        <v>8</v>
      </c>
      <c r="P475" s="214">
        <f>58904+19329.5+590+8101+236+218+391.5+325+1050+132+48</f>
        <v>89325</v>
      </c>
      <c r="Q475" s="307">
        <f>5890+1991+54+1603+47+38+47+65+150+22+8</f>
        <v>9915</v>
      </c>
      <c r="R475" s="218">
        <v>40949</v>
      </c>
    </row>
    <row r="476" spans="1:18" s="749" customFormat="1" ht="9" customHeight="1">
      <c r="A476" s="760"/>
      <c r="B476" s="784"/>
      <c r="C476" s="760"/>
      <c r="D476" s="322"/>
      <c r="E476" s="761"/>
      <c r="F476" s="761"/>
      <c r="G476" s="63" t="s">
        <v>628</v>
      </c>
      <c r="H476" s="63" t="s">
        <v>633</v>
      </c>
      <c r="I476" s="65" t="s">
        <v>89</v>
      </c>
      <c r="J476" s="63" t="s">
        <v>634</v>
      </c>
      <c r="K476" s="220">
        <v>40746</v>
      </c>
      <c r="L476" s="64" t="s">
        <v>68</v>
      </c>
      <c r="M476" s="258">
        <v>8</v>
      </c>
      <c r="N476" s="270">
        <v>3801.5</v>
      </c>
      <c r="O476" s="272">
        <v>761</v>
      </c>
      <c r="P476" s="270">
        <f>34995.5+29767+4050+6340+3008.5+4152+1152+3132.5+792+962+1663+1188+1188+3801.5</f>
        <v>96192</v>
      </c>
      <c r="Q476" s="272">
        <f>2476+2114+377+695+481+799+155+438+105+135+416+238+238+761</f>
        <v>9428</v>
      </c>
      <c r="R476" s="297">
        <v>40977</v>
      </c>
    </row>
    <row r="477" spans="1:18" s="749" customFormat="1" ht="9" customHeight="1">
      <c r="A477" s="755"/>
      <c r="B477" s="759"/>
      <c r="C477" s="755"/>
      <c r="D477" s="766"/>
      <c r="E477" s="756"/>
      <c r="F477" s="756"/>
      <c r="G477" s="491" t="s">
        <v>628</v>
      </c>
      <c r="H477" s="491" t="s">
        <v>633</v>
      </c>
      <c r="I477" s="493" t="s">
        <v>89</v>
      </c>
      <c r="J477" s="491" t="s">
        <v>634</v>
      </c>
      <c r="K477" s="488">
        <v>40746</v>
      </c>
      <c r="L477" s="487" t="s">
        <v>68</v>
      </c>
      <c r="M477" s="254">
        <v>8</v>
      </c>
      <c r="N477" s="458">
        <v>1188</v>
      </c>
      <c r="O477" s="459">
        <v>238</v>
      </c>
      <c r="P477" s="458">
        <f>34995.5+29767+4050+6340+3008.5+4152+1152+3132.5+792+962+1663+1188</f>
        <v>91202.5</v>
      </c>
      <c r="Q477" s="296">
        <f>2476+2114+377+695+481+799+155+438+105+135+416+238</f>
        <v>8429</v>
      </c>
      <c r="R477" s="218">
        <v>40949</v>
      </c>
    </row>
    <row r="478" spans="1:18" s="749" customFormat="1" ht="9" customHeight="1">
      <c r="A478" s="755"/>
      <c r="B478" s="759"/>
      <c r="C478" s="755"/>
      <c r="D478" s="766"/>
      <c r="E478" s="756"/>
      <c r="F478" s="756"/>
      <c r="G478" s="491" t="s">
        <v>628</v>
      </c>
      <c r="H478" s="491" t="s">
        <v>633</v>
      </c>
      <c r="I478" s="493" t="s">
        <v>89</v>
      </c>
      <c r="J478" s="491" t="s">
        <v>634</v>
      </c>
      <c r="K478" s="488">
        <v>40746</v>
      </c>
      <c r="L478" s="487" t="s">
        <v>68</v>
      </c>
      <c r="M478" s="254">
        <v>8</v>
      </c>
      <c r="N478" s="458">
        <v>1188</v>
      </c>
      <c r="O478" s="459">
        <v>238</v>
      </c>
      <c r="P478" s="458">
        <f>34995.5+29767+4050+6340+3008.5+4152+1152+3132.5+792+962+1663+1188+1188</f>
        <v>92390.5</v>
      </c>
      <c r="Q478" s="459">
        <f>2476+2114+377+695+481+799+155+438+105+135+416+238+238</f>
        <v>8667</v>
      </c>
      <c r="R478" s="297">
        <v>40963</v>
      </c>
    </row>
    <row r="479" spans="1:18" s="749" customFormat="1" ht="9" customHeight="1">
      <c r="A479" s="769" t="s">
        <v>223</v>
      </c>
      <c r="B479" s="759"/>
      <c r="C479" s="759"/>
      <c r="D479" s="759"/>
      <c r="E479" s="765" t="s">
        <v>55</v>
      </c>
      <c r="F479" s="763"/>
      <c r="G479" s="495" t="s">
        <v>199</v>
      </c>
      <c r="H479" s="492" t="s">
        <v>207</v>
      </c>
      <c r="I479" s="496" t="s">
        <v>94</v>
      </c>
      <c r="J479" s="496" t="s">
        <v>199</v>
      </c>
      <c r="K479" s="503">
        <v>40648</v>
      </c>
      <c r="L479" s="487" t="s">
        <v>12</v>
      </c>
      <c r="M479" s="254">
        <v>76</v>
      </c>
      <c r="N479" s="214">
        <v>608</v>
      </c>
      <c r="O479" s="217">
        <v>119</v>
      </c>
      <c r="P479" s="214">
        <v>571364</v>
      </c>
      <c r="Q479" s="307">
        <v>61448</v>
      </c>
      <c r="R479" s="297">
        <v>40907</v>
      </c>
    </row>
    <row r="480" spans="1:18" s="749" customFormat="1" ht="9" customHeight="1">
      <c r="A480" s="759"/>
      <c r="B480" s="759"/>
      <c r="C480" s="759"/>
      <c r="D480" s="759"/>
      <c r="E480" s="763"/>
      <c r="F480" s="757" t="s">
        <v>54</v>
      </c>
      <c r="G480" s="494" t="s">
        <v>115</v>
      </c>
      <c r="H480" s="492" t="s">
        <v>116</v>
      </c>
      <c r="I480" s="493"/>
      <c r="J480" s="491" t="s">
        <v>115</v>
      </c>
      <c r="K480" s="488">
        <v>40886</v>
      </c>
      <c r="L480" s="487" t="s">
        <v>12</v>
      </c>
      <c r="M480" s="254">
        <v>161</v>
      </c>
      <c r="N480" s="214">
        <v>23157</v>
      </c>
      <c r="O480" s="217">
        <v>3682</v>
      </c>
      <c r="P480" s="214">
        <v>853031</v>
      </c>
      <c r="Q480" s="307">
        <v>102752</v>
      </c>
      <c r="R480" s="297">
        <v>40907</v>
      </c>
    </row>
    <row r="481" spans="1:18" s="749" customFormat="1" ht="9" customHeight="1">
      <c r="A481" s="755"/>
      <c r="B481" s="755"/>
      <c r="C481" s="755"/>
      <c r="D481" s="755"/>
      <c r="E481" s="756"/>
      <c r="F481" s="757" t="s">
        <v>54</v>
      </c>
      <c r="G481" s="494" t="s">
        <v>115</v>
      </c>
      <c r="H481" s="492" t="s">
        <v>116</v>
      </c>
      <c r="I481" s="493"/>
      <c r="J481" s="491" t="s">
        <v>115</v>
      </c>
      <c r="K481" s="488">
        <v>40886</v>
      </c>
      <c r="L481" s="487" t="s">
        <v>12</v>
      </c>
      <c r="M481" s="254">
        <v>161</v>
      </c>
      <c r="N481" s="497">
        <v>11189</v>
      </c>
      <c r="O481" s="498">
        <v>1816</v>
      </c>
      <c r="P481" s="497">
        <v>864220</v>
      </c>
      <c r="Q481" s="298">
        <v>104568</v>
      </c>
      <c r="R481" s="218">
        <v>40914</v>
      </c>
    </row>
    <row r="482" spans="1:18" s="749" customFormat="1" ht="9" customHeight="1">
      <c r="A482" s="755"/>
      <c r="B482" s="755"/>
      <c r="C482" s="755"/>
      <c r="D482" s="755"/>
      <c r="E482" s="756"/>
      <c r="F482" s="757" t="s">
        <v>54</v>
      </c>
      <c r="G482" s="494" t="s">
        <v>115</v>
      </c>
      <c r="H482" s="492" t="s">
        <v>116</v>
      </c>
      <c r="I482" s="493"/>
      <c r="J482" s="491" t="s">
        <v>115</v>
      </c>
      <c r="K482" s="488">
        <v>40886</v>
      </c>
      <c r="L482" s="487" t="s">
        <v>12</v>
      </c>
      <c r="M482" s="254">
        <v>161</v>
      </c>
      <c r="N482" s="214">
        <v>9906</v>
      </c>
      <c r="O482" s="217">
        <v>1845</v>
      </c>
      <c r="P482" s="214">
        <v>874126</v>
      </c>
      <c r="Q482" s="307">
        <v>106413</v>
      </c>
      <c r="R482" s="218">
        <v>40921</v>
      </c>
    </row>
    <row r="483" spans="1:18" s="749" customFormat="1" ht="9" customHeight="1">
      <c r="A483" s="755"/>
      <c r="B483" s="755"/>
      <c r="C483" s="755"/>
      <c r="D483" s="755"/>
      <c r="E483" s="756"/>
      <c r="F483" s="757" t="s">
        <v>54</v>
      </c>
      <c r="G483" s="494" t="s">
        <v>115</v>
      </c>
      <c r="H483" s="492" t="s">
        <v>116</v>
      </c>
      <c r="I483" s="493"/>
      <c r="J483" s="491" t="s">
        <v>115</v>
      </c>
      <c r="K483" s="488">
        <v>40886</v>
      </c>
      <c r="L483" s="487" t="s">
        <v>12</v>
      </c>
      <c r="M483" s="254">
        <v>161</v>
      </c>
      <c r="N483" s="214">
        <v>5488</v>
      </c>
      <c r="O483" s="217">
        <v>871</v>
      </c>
      <c r="P483" s="214">
        <v>879619</v>
      </c>
      <c r="Q483" s="217">
        <v>107284</v>
      </c>
      <c r="R483" s="218">
        <v>40928</v>
      </c>
    </row>
    <row r="484" spans="1:18" s="749" customFormat="1" ht="9" customHeight="1">
      <c r="A484" s="760"/>
      <c r="B484" s="760"/>
      <c r="C484" s="760"/>
      <c r="D484" s="760"/>
      <c r="E484" s="761"/>
      <c r="F484" s="768" t="s">
        <v>54</v>
      </c>
      <c r="G484" s="528" t="s">
        <v>115</v>
      </c>
      <c r="H484" s="258" t="s">
        <v>116</v>
      </c>
      <c r="I484" s="527"/>
      <c r="J484" s="528" t="s">
        <v>115</v>
      </c>
      <c r="K484" s="488">
        <v>40886</v>
      </c>
      <c r="L484" s="526" t="s">
        <v>12</v>
      </c>
      <c r="M484" s="258">
        <v>161</v>
      </c>
      <c r="N484" s="261">
        <v>1310</v>
      </c>
      <c r="O484" s="262">
        <v>210</v>
      </c>
      <c r="P484" s="263">
        <v>882324</v>
      </c>
      <c r="Q484" s="264">
        <v>107710</v>
      </c>
      <c r="R484" s="297">
        <v>40970</v>
      </c>
    </row>
    <row r="485" spans="1:18" s="749" customFormat="1" ht="9" customHeight="1">
      <c r="A485" s="755"/>
      <c r="B485" s="755"/>
      <c r="C485" s="755"/>
      <c r="D485" s="755"/>
      <c r="E485" s="756"/>
      <c r="F485" s="757" t="s">
        <v>54</v>
      </c>
      <c r="G485" s="491" t="s">
        <v>115</v>
      </c>
      <c r="H485" s="492" t="s">
        <v>116</v>
      </c>
      <c r="I485" s="493"/>
      <c r="J485" s="491" t="s">
        <v>115</v>
      </c>
      <c r="K485" s="488">
        <v>40886</v>
      </c>
      <c r="L485" s="487" t="s">
        <v>12</v>
      </c>
      <c r="M485" s="254">
        <v>161</v>
      </c>
      <c r="N485" s="214">
        <v>1197</v>
      </c>
      <c r="O485" s="217">
        <v>189</v>
      </c>
      <c r="P485" s="214">
        <v>881014</v>
      </c>
      <c r="Q485" s="307">
        <v>107500</v>
      </c>
      <c r="R485" s="218">
        <v>40949</v>
      </c>
    </row>
    <row r="486" spans="1:18" s="749" customFormat="1" ht="9" customHeight="1">
      <c r="A486" s="755"/>
      <c r="B486" s="755"/>
      <c r="C486" s="755"/>
      <c r="D486" s="755"/>
      <c r="E486" s="756"/>
      <c r="F486" s="757" t="s">
        <v>54</v>
      </c>
      <c r="G486" s="494" t="s">
        <v>115</v>
      </c>
      <c r="H486" s="492" t="s">
        <v>116</v>
      </c>
      <c r="I486" s="493"/>
      <c r="J486" s="491" t="s">
        <v>115</v>
      </c>
      <c r="K486" s="488">
        <v>40886</v>
      </c>
      <c r="L486" s="487" t="s">
        <v>12</v>
      </c>
      <c r="M486" s="254">
        <v>161</v>
      </c>
      <c r="N486" s="214">
        <v>198</v>
      </c>
      <c r="O486" s="217">
        <v>27</v>
      </c>
      <c r="P486" s="214">
        <v>879817</v>
      </c>
      <c r="Q486" s="217">
        <v>107311</v>
      </c>
      <c r="R486" s="218">
        <v>40935</v>
      </c>
    </row>
    <row r="487" spans="1:18" s="749" customFormat="1" ht="9" customHeight="1">
      <c r="A487" s="760"/>
      <c r="B487" s="760"/>
      <c r="C487" s="760"/>
      <c r="D487" s="760"/>
      <c r="E487" s="761"/>
      <c r="F487" s="768" t="s">
        <v>54</v>
      </c>
      <c r="G487" s="63" t="s">
        <v>597</v>
      </c>
      <c r="H487" s="63" t="s">
        <v>598</v>
      </c>
      <c r="I487" s="63"/>
      <c r="J487" s="63" t="s">
        <v>597</v>
      </c>
      <c r="K487" s="220">
        <v>40662</v>
      </c>
      <c r="L487" s="64" t="s">
        <v>68</v>
      </c>
      <c r="M487" s="258">
        <v>10</v>
      </c>
      <c r="N487" s="270">
        <v>1782</v>
      </c>
      <c r="O487" s="272">
        <v>398</v>
      </c>
      <c r="P487" s="270">
        <f>12563.75+2983.5+2680+354+641+412+470+299+1405.5+1335+741+1188+1188+2138.5+2851+594+430+950.5+950.5+1782</f>
        <v>35957.25</v>
      </c>
      <c r="Q487" s="272">
        <f>1693+350+279+68+81+51+66+35+228+169+92+297+297+535+715+149+188+190+190+398</f>
        <v>6071</v>
      </c>
      <c r="R487" s="297">
        <v>40977</v>
      </c>
    </row>
    <row r="488" spans="1:18" s="749" customFormat="1" ht="9" customHeight="1">
      <c r="A488" s="755"/>
      <c r="B488" s="755"/>
      <c r="C488" s="755"/>
      <c r="D488" s="755"/>
      <c r="E488" s="756"/>
      <c r="F488" s="757" t="s">
        <v>54</v>
      </c>
      <c r="G488" s="491" t="s">
        <v>597</v>
      </c>
      <c r="H488" s="491" t="s">
        <v>598</v>
      </c>
      <c r="I488" s="491"/>
      <c r="J488" s="491" t="s">
        <v>597</v>
      </c>
      <c r="K488" s="488">
        <v>40662</v>
      </c>
      <c r="L488" s="487" t="s">
        <v>68</v>
      </c>
      <c r="M488" s="254">
        <v>10</v>
      </c>
      <c r="N488" s="458">
        <v>950.5</v>
      </c>
      <c r="O488" s="459">
        <v>190</v>
      </c>
      <c r="P488" s="458">
        <f>12563.75+2983.5+2680+354+641+412+470+299+1405.5+1335+741+1188+1188+2138.5+2851+594+430+950.5</f>
        <v>33224.75</v>
      </c>
      <c r="Q488" s="296">
        <f>1693+350+279+68+81+51+66+35+228+169+92+297+297+535+715+149+188+190</f>
        <v>5483</v>
      </c>
      <c r="R488" s="218">
        <v>40949</v>
      </c>
    </row>
    <row r="489" spans="1:18" s="749" customFormat="1" ht="9" customHeight="1">
      <c r="A489" s="755"/>
      <c r="B489" s="755"/>
      <c r="C489" s="755"/>
      <c r="D489" s="755"/>
      <c r="E489" s="756"/>
      <c r="F489" s="757" t="s">
        <v>54</v>
      </c>
      <c r="G489" s="491" t="s">
        <v>597</v>
      </c>
      <c r="H489" s="491" t="s">
        <v>598</v>
      </c>
      <c r="I489" s="491"/>
      <c r="J489" s="491" t="s">
        <v>597</v>
      </c>
      <c r="K489" s="488">
        <v>40662</v>
      </c>
      <c r="L489" s="487" t="s">
        <v>68</v>
      </c>
      <c r="M489" s="254">
        <v>10</v>
      </c>
      <c r="N489" s="458">
        <v>950.5</v>
      </c>
      <c r="O489" s="459">
        <v>190</v>
      </c>
      <c r="P489" s="458">
        <f>12563.75+2983.5+2680+354+641+412+470+299+1405.5+1335+741+1188+1188+2138.5+2851+594+430+950.5+950.5</f>
        <v>34175.25</v>
      </c>
      <c r="Q489" s="459">
        <f>1693+350+279+68+81+51+66+35+228+169+92+297+297+535+715+149+188+190+190</f>
        <v>5673</v>
      </c>
      <c r="R489" s="297">
        <v>40963</v>
      </c>
    </row>
    <row r="490" spans="1:18" s="749" customFormat="1" ht="9" customHeight="1">
      <c r="A490" s="755"/>
      <c r="B490" s="755"/>
      <c r="C490" s="755"/>
      <c r="D490" s="755"/>
      <c r="E490" s="756"/>
      <c r="F490" s="757" t="s">
        <v>54</v>
      </c>
      <c r="G490" s="494" t="s">
        <v>597</v>
      </c>
      <c r="H490" s="491" t="s">
        <v>598</v>
      </c>
      <c r="I490" s="491"/>
      <c r="J490" s="491" t="s">
        <v>597</v>
      </c>
      <c r="K490" s="488">
        <v>40662</v>
      </c>
      <c r="L490" s="487" t="s">
        <v>68</v>
      </c>
      <c r="M490" s="254">
        <v>10</v>
      </c>
      <c r="N490" s="458">
        <v>430</v>
      </c>
      <c r="O490" s="459">
        <v>188</v>
      </c>
      <c r="P490" s="458">
        <f>12563.75+2983.5+2680+354+641+412+470+299+1405.5+1335+741+1188+1188+2138.5+2851+594+430</f>
        <v>32274.25</v>
      </c>
      <c r="Q490" s="459">
        <f>1693+350+279+68+81+51+66+35+228+169+92+297+297+535+715+149+188</f>
        <v>5293</v>
      </c>
      <c r="R490" s="218">
        <v>40942</v>
      </c>
    </row>
  </sheetData>
  <sheetProtection/>
  <mergeCells count="2">
    <mergeCell ref="A1:R1"/>
    <mergeCell ref="A3:F3"/>
  </mergeCells>
  <printOptions/>
  <pageMargins left="0.7" right="0.7" top="0.75" bottom="0.75" header="0.3" footer="0.3"/>
  <pageSetup orientation="portrait" paperSize="9"/>
  <ignoredErrors>
    <ignoredError sqref="N4:Q490" unlockedFormula="1"/>
  </ignoredErrors>
</worksheet>
</file>

<file path=xl/worksheets/sheet5.xml><?xml version="1.0" encoding="utf-8"?>
<worksheet xmlns="http://schemas.openxmlformats.org/spreadsheetml/2006/main" xmlns:r="http://schemas.openxmlformats.org/officeDocument/2006/relationships">
  <dimension ref="A1:S52"/>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2.00390625" style="0" bestFit="1" customWidth="1"/>
    <col min="7" max="7" width="1.7109375" style="0" bestFit="1" customWidth="1"/>
    <col min="8" max="8" width="39.42187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2.28125" style="0" bestFit="1" customWidth="1"/>
    <col min="17" max="17" width="8.8515625" style="0" bestFit="1" customWidth="1"/>
    <col min="18" max="18" width="5.421875" style="0" bestFit="1" customWidth="1"/>
    <col min="19" max="19" width="7.8515625" style="0" bestFit="1" customWidth="1"/>
  </cols>
  <sheetData>
    <row r="1" spans="1:19" ht="12.75">
      <c r="A1" s="786" t="s">
        <v>747</v>
      </c>
      <c r="B1" s="786"/>
      <c r="C1" s="786"/>
      <c r="D1" s="786"/>
      <c r="E1" s="786"/>
      <c r="F1" s="786"/>
      <c r="G1" s="786"/>
      <c r="H1" s="786"/>
      <c r="I1" s="786"/>
      <c r="J1" s="786"/>
      <c r="K1" s="786"/>
      <c r="L1" s="786"/>
      <c r="M1" s="786"/>
      <c r="N1" s="786"/>
      <c r="O1" s="786"/>
      <c r="P1" s="786"/>
      <c r="Q1" s="786"/>
      <c r="R1" s="786"/>
      <c r="S1" s="786"/>
    </row>
    <row r="2" spans="1:19" ht="12.75">
      <c r="A2" s="287"/>
      <c r="B2" s="287"/>
      <c r="C2" s="287"/>
      <c r="D2" s="287"/>
      <c r="E2" s="287"/>
      <c r="F2" s="287"/>
      <c r="G2" s="287"/>
      <c r="H2" s="287"/>
      <c r="I2" s="287"/>
      <c r="J2" s="287"/>
      <c r="K2" s="287"/>
      <c r="L2" s="287" t="s">
        <v>409</v>
      </c>
      <c r="M2" s="287"/>
      <c r="N2" s="287" t="s">
        <v>410</v>
      </c>
      <c r="O2" s="287"/>
      <c r="P2" s="287" t="s">
        <v>314</v>
      </c>
      <c r="Q2" s="287" t="s">
        <v>314</v>
      </c>
      <c r="R2" s="287"/>
      <c r="S2" s="287" t="s">
        <v>411</v>
      </c>
    </row>
    <row r="3" spans="1:19" ht="13.5" thickBot="1">
      <c r="A3" s="666" t="s">
        <v>412</v>
      </c>
      <c r="B3" s="666"/>
      <c r="C3" s="666"/>
      <c r="D3" s="666"/>
      <c r="E3" s="666"/>
      <c r="F3" s="666"/>
      <c r="G3" s="666"/>
      <c r="H3" s="339" t="s">
        <v>413</v>
      </c>
      <c r="I3" s="339" t="s">
        <v>414</v>
      </c>
      <c r="J3" s="339" t="s">
        <v>415</v>
      </c>
      <c r="K3" s="339" t="s">
        <v>416</v>
      </c>
      <c r="L3" s="339" t="s">
        <v>417</v>
      </c>
      <c r="M3" s="339" t="s">
        <v>418</v>
      </c>
      <c r="N3" s="339" t="s">
        <v>419</v>
      </c>
      <c r="O3" s="339" t="s">
        <v>310</v>
      </c>
      <c r="P3" s="339" t="s">
        <v>315</v>
      </c>
      <c r="Q3" s="339" t="s">
        <v>316</v>
      </c>
      <c r="R3" s="339" t="s">
        <v>420</v>
      </c>
      <c r="S3" s="339" t="s">
        <v>421</v>
      </c>
    </row>
    <row r="4" spans="1:19" ht="9.75" customHeight="1">
      <c r="A4" s="328"/>
      <c r="B4" s="328"/>
      <c r="C4" s="328"/>
      <c r="D4" s="416">
        <v>2</v>
      </c>
      <c r="E4" s="328"/>
      <c r="F4" s="328"/>
      <c r="G4" s="411" t="s">
        <v>54</v>
      </c>
      <c r="H4" s="814" t="s">
        <v>643</v>
      </c>
      <c r="I4" s="292" t="s">
        <v>644</v>
      </c>
      <c r="J4" s="251"/>
      <c r="K4" s="365" t="s">
        <v>643</v>
      </c>
      <c r="L4" s="414">
        <v>40956</v>
      </c>
      <c r="M4" s="219" t="s">
        <v>68</v>
      </c>
      <c r="N4" s="419">
        <v>440</v>
      </c>
      <c r="O4" s="293">
        <v>4</v>
      </c>
      <c r="P4" s="415">
        <f>21413320.22+14038209.72+8091830.8+5223359.88</f>
        <v>48766720.62</v>
      </c>
      <c r="Q4" s="417">
        <f>2475453+1630117+937421+623396</f>
        <v>5666387</v>
      </c>
      <c r="R4" s="573">
        <f>P4/Q4</f>
        <v>8.606316621155596</v>
      </c>
      <c r="S4" s="391">
        <v>40977</v>
      </c>
    </row>
    <row r="5" spans="1:19" ht="9.75" customHeight="1">
      <c r="A5" s="312"/>
      <c r="B5" s="312"/>
      <c r="C5" s="312"/>
      <c r="D5" s="312"/>
      <c r="E5" s="312"/>
      <c r="F5" s="313"/>
      <c r="G5" s="316" t="s">
        <v>54</v>
      </c>
      <c r="H5" s="808" t="s">
        <v>564</v>
      </c>
      <c r="I5" s="61" t="s">
        <v>348</v>
      </c>
      <c r="J5" s="66"/>
      <c r="K5" s="66" t="s">
        <v>564</v>
      </c>
      <c r="L5" s="221">
        <v>40935</v>
      </c>
      <c r="M5" s="64" t="s">
        <v>12</v>
      </c>
      <c r="N5" s="266">
        <v>352</v>
      </c>
      <c r="O5" s="259">
        <v>7</v>
      </c>
      <c r="P5" s="261">
        <v>18123994</v>
      </c>
      <c r="Q5" s="262">
        <v>1962199</v>
      </c>
      <c r="R5" s="452">
        <f>P5/Q5</f>
        <v>9.236572845058019</v>
      </c>
      <c r="S5" s="218">
        <v>40977</v>
      </c>
    </row>
    <row r="6" spans="1:19" ht="9.75" customHeight="1">
      <c r="A6" s="312"/>
      <c r="B6" s="312"/>
      <c r="C6" s="312"/>
      <c r="D6" s="312"/>
      <c r="E6" s="318"/>
      <c r="F6" s="313"/>
      <c r="G6" s="316" t="s">
        <v>54</v>
      </c>
      <c r="H6" s="793" t="s">
        <v>697</v>
      </c>
      <c r="I6" s="61" t="s">
        <v>348</v>
      </c>
      <c r="J6" s="65"/>
      <c r="K6" s="63" t="s">
        <v>697</v>
      </c>
      <c r="L6" s="221">
        <v>40970</v>
      </c>
      <c r="M6" s="64" t="s">
        <v>12</v>
      </c>
      <c r="N6" s="258">
        <v>285</v>
      </c>
      <c r="O6" s="259">
        <v>2</v>
      </c>
      <c r="P6" s="261">
        <v>9768268</v>
      </c>
      <c r="Q6" s="262">
        <v>1083406</v>
      </c>
      <c r="R6" s="452">
        <f>P6/Q6</f>
        <v>9.016257986387375</v>
      </c>
      <c r="S6" s="218">
        <v>40977</v>
      </c>
    </row>
    <row r="7" spans="1:19" ht="9.75" customHeight="1">
      <c r="A7" s="312"/>
      <c r="B7" s="324" t="s">
        <v>223</v>
      </c>
      <c r="C7" s="319">
        <v>3</v>
      </c>
      <c r="D7" s="327">
        <v>2</v>
      </c>
      <c r="E7" s="312"/>
      <c r="F7" s="317" t="s">
        <v>55</v>
      </c>
      <c r="G7" s="313"/>
      <c r="H7" s="793" t="s">
        <v>383</v>
      </c>
      <c r="I7" s="61" t="s">
        <v>217</v>
      </c>
      <c r="J7" s="65" t="s">
        <v>94</v>
      </c>
      <c r="K7" s="63" t="s">
        <v>384</v>
      </c>
      <c r="L7" s="220">
        <v>40921</v>
      </c>
      <c r="M7" s="64" t="s">
        <v>12</v>
      </c>
      <c r="N7" s="258">
        <v>101</v>
      </c>
      <c r="O7" s="259">
        <v>9</v>
      </c>
      <c r="P7" s="261">
        <v>7215118</v>
      </c>
      <c r="Q7" s="262">
        <v>687766</v>
      </c>
      <c r="R7" s="452">
        <f>P7/Q7</f>
        <v>10.490658159897407</v>
      </c>
      <c r="S7" s="218">
        <v>40977</v>
      </c>
    </row>
    <row r="8" spans="1:19" ht="9.75" customHeight="1">
      <c r="A8" s="312"/>
      <c r="B8" s="312"/>
      <c r="C8" s="312"/>
      <c r="D8" s="312"/>
      <c r="E8" s="312"/>
      <c r="F8" s="313"/>
      <c r="G8" s="316" t="s">
        <v>54</v>
      </c>
      <c r="H8" s="812" t="s">
        <v>347</v>
      </c>
      <c r="I8" s="61" t="s">
        <v>348</v>
      </c>
      <c r="J8" s="68"/>
      <c r="K8" s="68" t="s">
        <v>347</v>
      </c>
      <c r="L8" s="220">
        <v>40914</v>
      </c>
      <c r="M8" s="810" t="s">
        <v>12</v>
      </c>
      <c r="N8" s="811">
        <v>204</v>
      </c>
      <c r="O8" s="259">
        <v>10</v>
      </c>
      <c r="P8" s="261">
        <v>5366813</v>
      </c>
      <c r="Q8" s="262">
        <v>579842</v>
      </c>
      <c r="R8" s="452">
        <f>P8/Q8</f>
        <v>9.255647228037983</v>
      </c>
      <c r="S8" s="218">
        <v>40977</v>
      </c>
    </row>
    <row r="9" spans="1:19" ht="9.75" customHeight="1">
      <c r="A9" s="312"/>
      <c r="B9" s="324" t="s">
        <v>223</v>
      </c>
      <c r="C9" s="319">
        <v>3</v>
      </c>
      <c r="D9" s="312"/>
      <c r="E9" s="323" t="s">
        <v>292</v>
      </c>
      <c r="F9" s="317" t="s">
        <v>55</v>
      </c>
      <c r="G9" s="314"/>
      <c r="H9" s="787" t="s">
        <v>430</v>
      </c>
      <c r="I9" s="61" t="s">
        <v>432</v>
      </c>
      <c r="J9" s="62" t="s">
        <v>95</v>
      </c>
      <c r="K9" s="64" t="s">
        <v>431</v>
      </c>
      <c r="L9" s="220">
        <v>40928</v>
      </c>
      <c r="M9" s="810" t="s">
        <v>10</v>
      </c>
      <c r="N9" s="811">
        <v>202</v>
      </c>
      <c r="O9" s="271">
        <v>8</v>
      </c>
      <c r="P9" s="270">
        <v>5191282</v>
      </c>
      <c r="Q9" s="272">
        <v>514432</v>
      </c>
      <c r="R9" s="452">
        <f>P9/Q9</f>
        <v>10.091289033341628</v>
      </c>
      <c r="S9" s="218">
        <v>40977</v>
      </c>
    </row>
    <row r="10" spans="1:19" ht="9.75" customHeight="1">
      <c r="A10" s="312"/>
      <c r="B10" s="312"/>
      <c r="C10" s="752"/>
      <c r="D10" s="327">
        <v>2</v>
      </c>
      <c r="E10" s="750"/>
      <c r="F10" s="312"/>
      <c r="G10" s="409"/>
      <c r="H10" s="808" t="s">
        <v>645</v>
      </c>
      <c r="I10" s="66" t="s">
        <v>440</v>
      </c>
      <c r="J10" s="61" t="s">
        <v>189</v>
      </c>
      <c r="K10" s="66" t="s">
        <v>646</v>
      </c>
      <c r="L10" s="221">
        <v>40956</v>
      </c>
      <c r="M10" s="64" t="s">
        <v>8</v>
      </c>
      <c r="N10" s="274">
        <v>160</v>
      </c>
      <c r="O10" s="267">
        <v>4</v>
      </c>
      <c r="P10" s="270">
        <v>3075296</v>
      </c>
      <c r="Q10" s="272">
        <v>292333</v>
      </c>
      <c r="R10" s="452">
        <f>P10/Q10</f>
        <v>10.51983867712506</v>
      </c>
      <c r="S10" s="218">
        <v>40977</v>
      </c>
    </row>
    <row r="11" spans="1:19" ht="9.75" customHeight="1">
      <c r="A11" s="312"/>
      <c r="B11" s="312"/>
      <c r="C11" s="312"/>
      <c r="D11" s="312"/>
      <c r="E11" s="312"/>
      <c r="F11" s="313"/>
      <c r="G11" s="312"/>
      <c r="H11" s="793" t="s">
        <v>583</v>
      </c>
      <c r="I11" s="61" t="s">
        <v>589</v>
      </c>
      <c r="J11" s="62" t="s">
        <v>95</v>
      </c>
      <c r="K11" s="63" t="s">
        <v>590</v>
      </c>
      <c r="L11" s="220">
        <v>40942</v>
      </c>
      <c r="M11" s="64" t="s">
        <v>10</v>
      </c>
      <c r="N11" s="67">
        <v>143</v>
      </c>
      <c r="O11" s="803">
        <v>4</v>
      </c>
      <c r="P11" s="794">
        <v>2451771</v>
      </c>
      <c r="Q11" s="795">
        <v>215130</v>
      </c>
      <c r="R11" s="791">
        <f>P11/Q11</f>
        <v>11.396695021614837</v>
      </c>
      <c r="S11" s="792">
        <v>40963</v>
      </c>
    </row>
    <row r="12" spans="1:19" ht="9.75" customHeight="1">
      <c r="A12" s="312"/>
      <c r="B12" s="312"/>
      <c r="C12" s="312"/>
      <c r="D12" s="312"/>
      <c r="E12" s="312"/>
      <c r="F12" s="333"/>
      <c r="G12" s="314"/>
      <c r="H12" s="787" t="s">
        <v>391</v>
      </c>
      <c r="I12" s="61" t="s">
        <v>93</v>
      </c>
      <c r="J12" s="62" t="s">
        <v>95</v>
      </c>
      <c r="K12" s="64" t="s">
        <v>392</v>
      </c>
      <c r="L12" s="220">
        <v>40556</v>
      </c>
      <c r="M12" s="64" t="s">
        <v>10</v>
      </c>
      <c r="N12" s="61">
        <v>85</v>
      </c>
      <c r="O12" s="803">
        <v>7</v>
      </c>
      <c r="P12" s="794">
        <v>1964118</v>
      </c>
      <c r="Q12" s="795">
        <v>177861</v>
      </c>
      <c r="R12" s="791">
        <f>P12/Q12</f>
        <v>11.042994248317507</v>
      </c>
      <c r="S12" s="792">
        <v>40963</v>
      </c>
    </row>
    <row r="13" spans="1:19" ht="9.75" customHeight="1">
      <c r="A13" s="312"/>
      <c r="B13" s="324" t="s">
        <v>223</v>
      </c>
      <c r="C13" s="312"/>
      <c r="D13" s="312"/>
      <c r="E13" s="312"/>
      <c r="F13" s="313"/>
      <c r="G13" s="313"/>
      <c r="H13" s="808" t="s">
        <v>641</v>
      </c>
      <c r="I13" s="61" t="s">
        <v>92</v>
      </c>
      <c r="J13" s="66" t="s">
        <v>94</v>
      </c>
      <c r="K13" s="66" t="s">
        <v>642</v>
      </c>
      <c r="L13" s="221">
        <v>40956</v>
      </c>
      <c r="M13" s="64" t="s">
        <v>12</v>
      </c>
      <c r="N13" s="266">
        <v>90</v>
      </c>
      <c r="O13" s="259">
        <v>4</v>
      </c>
      <c r="P13" s="261">
        <v>1727998</v>
      </c>
      <c r="Q13" s="262">
        <v>159947</v>
      </c>
      <c r="R13" s="452">
        <f>P13/Q13</f>
        <v>10.803566181297555</v>
      </c>
      <c r="S13" s="218">
        <v>40977</v>
      </c>
    </row>
    <row r="14" spans="1:19" ht="9.75" customHeight="1">
      <c r="A14" s="312"/>
      <c r="B14" s="312"/>
      <c r="C14" s="319">
        <v>3</v>
      </c>
      <c r="D14" s="312"/>
      <c r="E14" s="312"/>
      <c r="F14" s="313"/>
      <c r="G14" s="313"/>
      <c r="H14" s="808" t="s">
        <v>345</v>
      </c>
      <c r="I14" s="61" t="s">
        <v>126</v>
      </c>
      <c r="J14" s="66" t="s">
        <v>89</v>
      </c>
      <c r="K14" s="66" t="s">
        <v>352</v>
      </c>
      <c r="L14" s="221">
        <v>40914</v>
      </c>
      <c r="M14" s="64" t="s">
        <v>68</v>
      </c>
      <c r="N14" s="258">
        <v>66</v>
      </c>
      <c r="O14" s="259">
        <v>10</v>
      </c>
      <c r="P14" s="270">
        <f>683638.5+541400+108974+11712.95+7203.5+24918.21+6723.58+2560+1425.5+586</f>
        <v>1389142.24</v>
      </c>
      <c r="Q14" s="272">
        <f>65177+52837+11432+1468+1076+3492+1060+423+285+93</f>
        <v>137343</v>
      </c>
      <c r="R14" s="452">
        <f>P14/Q14</f>
        <v>10.114401462033012</v>
      </c>
      <c r="S14" s="218">
        <v>40977</v>
      </c>
    </row>
    <row r="15" spans="1:19" ht="9.75" customHeight="1">
      <c r="A15" s="312"/>
      <c r="B15" s="324" t="s">
        <v>223</v>
      </c>
      <c r="C15" s="312"/>
      <c r="D15" s="327">
        <v>2</v>
      </c>
      <c r="E15" s="312"/>
      <c r="F15" s="317" t="s">
        <v>55</v>
      </c>
      <c r="G15" s="312"/>
      <c r="H15" s="799" t="s">
        <v>728</v>
      </c>
      <c r="I15" s="65" t="s">
        <v>725</v>
      </c>
      <c r="J15" s="61" t="s">
        <v>726</v>
      </c>
      <c r="K15" s="66" t="s">
        <v>727</v>
      </c>
      <c r="L15" s="220">
        <v>40977</v>
      </c>
      <c r="M15" s="64" t="s">
        <v>68</v>
      </c>
      <c r="N15" s="274">
        <v>167</v>
      </c>
      <c r="O15" s="259">
        <v>1</v>
      </c>
      <c r="P15" s="270">
        <f>1278312.83</f>
        <v>1278312.83</v>
      </c>
      <c r="Q15" s="272">
        <v>140325</v>
      </c>
      <c r="R15" s="452">
        <f>P15/Q15</f>
        <v>9.109658507037235</v>
      </c>
      <c r="S15" s="218">
        <v>40977</v>
      </c>
    </row>
    <row r="16" spans="1:19" ht="9.75" customHeight="1">
      <c r="A16" s="312"/>
      <c r="B16" s="312"/>
      <c r="C16" s="312"/>
      <c r="D16" s="312"/>
      <c r="E16" s="312"/>
      <c r="F16" s="313"/>
      <c r="G16" s="313"/>
      <c r="H16" s="812" t="s">
        <v>433</v>
      </c>
      <c r="I16" s="61" t="s">
        <v>91</v>
      </c>
      <c r="J16" s="68" t="s">
        <v>94</v>
      </c>
      <c r="K16" s="68" t="s">
        <v>426</v>
      </c>
      <c r="L16" s="220">
        <v>40928</v>
      </c>
      <c r="M16" s="64" t="s">
        <v>12</v>
      </c>
      <c r="N16" s="258">
        <v>57</v>
      </c>
      <c r="O16" s="259">
        <v>8</v>
      </c>
      <c r="P16" s="261">
        <v>1100469</v>
      </c>
      <c r="Q16" s="262">
        <v>116557</v>
      </c>
      <c r="R16" s="452">
        <f>P16/Q16</f>
        <v>9.441466406994003</v>
      </c>
      <c r="S16" s="218">
        <v>40977</v>
      </c>
    </row>
    <row r="17" spans="1:19" ht="9.75" customHeight="1">
      <c r="A17" s="312"/>
      <c r="B17" s="312"/>
      <c r="C17" s="312"/>
      <c r="D17" s="312"/>
      <c r="E17" s="312"/>
      <c r="F17" s="313"/>
      <c r="G17" s="316" t="s">
        <v>54</v>
      </c>
      <c r="H17" s="809" t="s">
        <v>381</v>
      </c>
      <c r="I17" s="64" t="s">
        <v>382</v>
      </c>
      <c r="J17" s="64"/>
      <c r="K17" s="64" t="s">
        <v>381</v>
      </c>
      <c r="L17" s="220">
        <v>40921</v>
      </c>
      <c r="M17" s="64" t="s">
        <v>52</v>
      </c>
      <c r="N17" s="542">
        <v>49</v>
      </c>
      <c r="O17" s="788">
        <v>8</v>
      </c>
      <c r="P17" s="796">
        <f>357713+343246.5+115529.5+51137+24830.5+11883+8256+3443</f>
        <v>916038.5</v>
      </c>
      <c r="Q17" s="797">
        <f>33400+31498+10192+4818+3004+1638+1139+561</f>
        <v>86250</v>
      </c>
      <c r="R17" s="798">
        <f>P17/Q17</f>
        <v>10.620736231884058</v>
      </c>
      <c r="S17" s="792">
        <v>40970</v>
      </c>
    </row>
    <row r="18" spans="1:19" ht="9.75" customHeight="1">
      <c r="A18" s="312"/>
      <c r="B18" s="312"/>
      <c r="C18" s="312"/>
      <c r="D18" s="312"/>
      <c r="E18" s="312"/>
      <c r="F18" s="313"/>
      <c r="G18" s="313"/>
      <c r="H18" s="793" t="s">
        <v>610</v>
      </c>
      <c r="I18" s="61" t="s">
        <v>614</v>
      </c>
      <c r="J18" s="68" t="s">
        <v>94</v>
      </c>
      <c r="K18" s="63" t="s">
        <v>612</v>
      </c>
      <c r="L18" s="221">
        <v>40949</v>
      </c>
      <c r="M18" s="64" t="s">
        <v>12</v>
      </c>
      <c r="N18" s="258">
        <v>73</v>
      </c>
      <c r="O18" s="259">
        <v>5</v>
      </c>
      <c r="P18" s="261">
        <v>910431</v>
      </c>
      <c r="Q18" s="262">
        <v>82672</v>
      </c>
      <c r="R18" s="452">
        <f>P18/Q18</f>
        <v>11.012567737565318</v>
      </c>
      <c r="S18" s="218">
        <v>40977</v>
      </c>
    </row>
    <row r="19" spans="1:19" ht="9.75" customHeight="1">
      <c r="A19" s="312"/>
      <c r="B19" s="333"/>
      <c r="C19" s="333"/>
      <c r="D19" s="333"/>
      <c r="E19" s="333"/>
      <c r="F19" s="333"/>
      <c r="G19" s="314"/>
      <c r="H19" s="787" t="s">
        <v>617</v>
      </c>
      <c r="I19" s="61" t="s">
        <v>618</v>
      </c>
      <c r="J19" s="62" t="s">
        <v>95</v>
      </c>
      <c r="K19" s="64" t="s">
        <v>619</v>
      </c>
      <c r="L19" s="220">
        <v>40949</v>
      </c>
      <c r="M19" s="64" t="s">
        <v>10</v>
      </c>
      <c r="N19" s="278">
        <v>65</v>
      </c>
      <c r="O19" s="271">
        <v>5</v>
      </c>
      <c r="P19" s="270">
        <v>895707</v>
      </c>
      <c r="Q19" s="272">
        <v>83704</v>
      </c>
      <c r="R19" s="452">
        <f>P19/Q19</f>
        <v>10.70088645703909</v>
      </c>
      <c r="S19" s="218">
        <v>40977</v>
      </c>
    </row>
    <row r="20" spans="1:19" ht="9.75" customHeight="1">
      <c r="A20" s="312"/>
      <c r="B20" s="324" t="s">
        <v>223</v>
      </c>
      <c r="C20" s="319">
        <v>3</v>
      </c>
      <c r="D20" s="327">
        <v>2</v>
      </c>
      <c r="E20" s="318"/>
      <c r="F20" s="313"/>
      <c r="G20" s="313"/>
      <c r="H20" s="793" t="s">
        <v>735</v>
      </c>
      <c r="I20" s="61" t="s">
        <v>92</v>
      </c>
      <c r="J20" s="66" t="s">
        <v>94</v>
      </c>
      <c r="K20" s="63" t="s">
        <v>736</v>
      </c>
      <c r="L20" s="221">
        <v>40977</v>
      </c>
      <c r="M20" s="64" t="s">
        <v>12</v>
      </c>
      <c r="N20" s="258">
        <v>101</v>
      </c>
      <c r="O20" s="259">
        <v>1</v>
      </c>
      <c r="P20" s="261">
        <v>891100</v>
      </c>
      <c r="Q20" s="262">
        <v>77619</v>
      </c>
      <c r="R20" s="452">
        <f>P20/Q20</f>
        <v>11.480436491065332</v>
      </c>
      <c r="S20" s="218">
        <v>40977</v>
      </c>
    </row>
    <row r="21" spans="1:19" ht="9.75" customHeight="1">
      <c r="A21" s="312"/>
      <c r="B21" s="312"/>
      <c r="C21" s="312"/>
      <c r="D21" s="312"/>
      <c r="E21" s="312"/>
      <c r="F21" s="312"/>
      <c r="G21" s="312"/>
      <c r="H21" s="799" t="s">
        <v>673</v>
      </c>
      <c r="I21" s="65" t="s">
        <v>126</v>
      </c>
      <c r="J21" s="61" t="s">
        <v>89</v>
      </c>
      <c r="K21" s="66" t="s">
        <v>674</v>
      </c>
      <c r="L21" s="220">
        <v>40963</v>
      </c>
      <c r="M21" s="64" t="s">
        <v>68</v>
      </c>
      <c r="N21" s="274">
        <v>40</v>
      </c>
      <c r="O21" s="259">
        <v>3</v>
      </c>
      <c r="P21" s="270">
        <f>519450+254546+100425.5</f>
        <v>874421.5</v>
      </c>
      <c r="Q21" s="272">
        <f>41231+20309+7678</f>
        <v>69218</v>
      </c>
      <c r="R21" s="452">
        <f>P21/Q21</f>
        <v>12.632862839145886</v>
      </c>
      <c r="S21" s="218">
        <v>40977</v>
      </c>
    </row>
    <row r="22" spans="1:19" ht="9.75" customHeight="1">
      <c r="A22" s="312"/>
      <c r="B22" s="312"/>
      <c r="C22" s="312"/>
      <c r="D22" s="312"/>
      <c r="E22" s="312"/>
      <c r="F22" s="312"/>
      <c r="G22" s="312"/>
      <c r="H22" s="799" t="s">
        <v>694</v>
      </c>
      <c r="I22" s="65" t="s">
        <v>696</v>
      </c>
      <c r="J22" s="61" t="s">
        <v>89</v>
      </c>
      <c r="K22" s="66" t="s">
        <v>695</v>
      </c>
      <c r="L22" s="220">
        <v>40970</v>
      </c>
      <c r="M22" s="64" t="s">
        <v>68</v>
      </c>
      <c r="N22" s="274">
        <v>100</v>
      </c>
      <c r="O22" s="259">
        <v>2</v>
      </c>
      <c r="P22" s="270">
        <f>460248.15+390671.63</f>
        <v>850919.78</v>
      </c>
      <c r="Q22" s="272">
        <f>43513+38385</f>
        <v>81898</v>
      </c>
      <c r="R22" s="452">
        <f>P22/Q22</f>
        <v>10.38999462746343</v>
      </c>
      <c r="S22" s="218">
        <v>40977</v>
      </c>
    </row>
    <row r="23" spans="1:19" ht="9.75" customHeight="1">
      <c r="A23" s="312"/>
      <c r="B23" s="324" t="s">
        <v>223</v>
      </c>
      <c r="C23" s="312"/>
      <c r="D23" s="312"/>
      <c r="E23" s="323" t="s">
        <v>292</v>
      </c>
      <c r="F23" s="333"/>
      <c r="G23" s="409"/>
      <c r="H23" s="812" t="s">
        <v>714</v>
      </c>
      <c r="I23" s="61" t="s">
        <v>651</v>
      </c>
      <c r="J23" s="64" t="s">
        <v>95</v>
      </c>
      <c r="K23" s="64" t="s">
        <v>715</v>
      </c>
      <c r="L23" s="221">
        <v>40984</v>
      </c>
      <c r="M23" s="64" t="s">
        <v>10</v>
      </c>
      <c r="N23" s="258">
        <v>105</v>
      </c>
      <c r="O23" s="271">
        <v>1</v>
      </c>
      <c r="P23" s="270">
        <v>806736</v>
      </c>
      <c r="Q23" s="272">
        <v>70831</v>
      </c>
      <c r="R23" s="452">
        <f>P23/Q23</f>
        <v>11.389589304118253</v>
      </c>
      <c r="S23" s="218">
        <v>40977</v>
      </c>
    </row>
    <row r="24" spans="1:19" ht="9.75" customHeight="1">
      <c r="A24" s="312"/>
      <c r="B24" s="324" t="s">
        <v>223</v>
      </c>
      <c r="C24" s="312"/>
      <c r="D24" s="312"/>
      <c r="E24" s="312"/>
      <c r="F24" s="313"/>
      <c r="G24" s="313"/>
      <c r="H24" s="808" t="s">
        <v>344</v>
      </c>
      <c r="I24" s="61" t="s">
        <v>126</v>
      </c>
      <c r="J24" s="66" t="s">
        <v>89</v>
      </c>
      <c r="K24" s="66" t="s">
        <v>351</v>
      </c>
      <c r="L24" s="221">
        <v>40914</v>
      </c>
      <c r="M24" s="64" t="s">
        <v>68</v>
      </c>
      <c r="N24" s="258">
        <v>56</v>
      </c>
      <c r="O24" s="259">
        <v>10</v>
      </c>
      <c r="P24" s="270">
        <f>212792+161708.5+190927+56533.48+39859.88+22564.8+12520.5+1707.5+187+1782</f>
        <v>700582.66</v>
      </c>
      <c r="Q24" s="272">
        <f>19942+16687+19909+5952+4552+2963+2467+206+32+356</f>
        <v>73066</v>
      </c>
      <c r="R24" s="452">
        <f>P24/Q24</f>
        <v>9.588353817096872</v>
      </c>
      <c r="S24" s="218">
        <v>40977</v>
      </c>
    </row>
    <row r="25" spans="1:19" ht="9.75" customHeight="1">
      <c r="A25" s="312"/>
      <c r="B25" s="312"/>
      <c r="C25" s="312"/>
      <c r="D25" s="312"/>
      <c r="E25" s="312"/>
      <c r="F25" s="313"/>
      <c r="G25" s="313"/>
      <c r="H25" s="800" t="s">
        <v>214</v>
      </c>
      <c r="I25" s="66" t="s">
        <v>216</v>
      </c>
      <c r="J25" s="64" t="s">
        <v>95</v>
      </c>
      <c r="K25" s="66" t="s">
        <v>215</v>
      </c>
      <c r="L25" s="220">
        <v>40907</v>
      </c>
      <c r="M25" s="64" t="s">
        <v>10</v>
      </c>
      <c r="N25" s="67">
        <v>64</v>
      </c>
      <c r="O25" s="801">
        <v>7</v>
      </c>
      <c r="P25" s="794">
        <v>681274</v>
      </c>
      <c r="Q25" s="795">
        <v>60533</v>
      </c>
      <c r="R25" s="798">
        <f>P25/Q25</f>
        <v>11.254588406323823</v>
      </c>
      <c r="S25" s="792">
        <v>40949</v>
      </c>
    </row>
    <row r="26" spans="1:19" ht="9.75" customHeight="1">
      <c r="A26" s="312"/>
      <c r="B26" s="312"/>
      <c r="C26" s="312"/>
      <c r="D26" s="312"/>
      <c r="E26" s="312"/>
      <c r="F26" s="313"/>
      <c r="G26" s="313"/>
      <c r="H26" s="812" t="s">
        <v>196</v>
      </c>
      <c r="I26" s="61" t="s">
        <v>212</v>
      </c>
      <c r="J26" s="68" t="s">
        <v>124</v>
      </c>
      <c r="K26" s="68" t="s">
        <v>203</v>
      </c>
      <c r="L26" s="220">
        <v>40907</v>
      </c>
      <c r="M26" s="64" t="s">
        <v>12</v>
      </c>
      <c r="N26" s="61">
        <v>60</v>
      </c>
      <c r="O26" s="802">
        <v>7</v>
      </c>
      <c r="P26" s="796">
        <v>670831</v>
      </c>
      <c r="Q26" s="797">
        <v>67329</v>
      </c>
      <c r="R26" s="798">
        <f>P26/Q26</f>
        <v>9.963477847584251</v>
      </c>
      <c r="S26" s="792">
        <v>40949</v>
      </c>
    </row>
    <row r="27" spans="1:19" ht="9.75" customHeight="1">
      <c r="A27" s="312"/>
      <c r="B27" s="312"/>
      <c r="C27" s="312"/>
      <c r="D27" s="312"/>
      <c r="E27" s="312"/>
      <c r="F27" s="313"/>
      <c r="G27" s="313"/>
      <c r="H27" s="793" t="s">
        <v>561</v>
      </c>
      <c r="I27" s="63" t="s">
        <v>563</v>
      </c>
      <c r="J27" s="63" t="s">
        <v>248</v>
      </c>
      <c r="K27" s="63" t="s">
        <v>562</v>
      </c>
      <c r="L27" s="220">
        <v>40935</v>
      </c>
      <c r="M27" s="64" t="s">
        <v>68</v>
      </c>
      <c r="N27" s="258">
        <v>24</v>
      </c>
      <c r="O27" s="259">
        <v>7</v>
      </c>
      <c r="P27" s="270">
        <f>219512+172510+97324.5+20509.5+35119+75025.4+23655.5</f>
        <v>643655.9</v>
      </c>
      <c r="Q27" s="272">
        <f>16452+13782+8143+1750+3275+6017+2126</f>
        <v>51545</v>
      </c>
      <c r="R27" s="452">
        <f>P27/Q27</f>
        <v>12.487261616063634</v>
      </c>
      <c r="S27" s="218">
        <v>40977</v>
      </c>
    </row>
    <row r="28" spans="1:19" ht="9.75" customHeight="1">
      <c r="A28" s="312"/>
      <c r="B28" s="324" t="s">
        <v>223</v>
      </c>
      <c r="C28" s="319">
        <v>3</v>
      </c>
      <c r="D28" s="327">
        <v>2</v>
      </c>
      <c r="E28" s="323" t="s">
        <v>292</v>
      </c>
      <c r="F28" s="313"/>
      <c r="G28" s="816"/>
      <c r="H28" s="799" t="s">
        <v>621</v>
      </c>
      <c r="I28" s="65" t="s">
        <v>126</v>
      </c>
      <c r="J28" s="61" t="s">
        <v>89</v>
      </c>
      <c r="K28" s="66" t="s">
        <v>620</v>
      </c>
      <c r="L28" s="220">
        <v>41253</v>
      </c>
      <c r="M28" s="64" t="s">
        <v>68</v>
      </c>
      <c r="N28" s="61">
        <v>60</v>
      </c>
      <c r="O28" s="788">
        <v>3</v>
      </c>
      <c r="P28" s="794">
        <f>453045.5+152052.5+18216</f>
        <v>623314</v>
      </c>
      <c r="Q28" s="795">
        <f>36464+11789+1308</f>
        <v>49561</v>
      </c>
      <c r="R28" s="791">
        <f>P28/Q28</f>
        <v>12.576703456346724</v>
      </c>
      <c r="S28" s="792">
        <v>40963</v>
      </c>
    </row>
    <row r="29" spans="1:19" ht="9.75" customHeight="1">
      <c r="A29" s="312"/>
      <c r="B29" s="752"/>
      <c r="C29" s="752"/>
      <c r="D29" s="312"/>
      <c r="E29" s="752"/>
      <c r="F29" s="313"/>
      <c r="G29" s="316" t="s">
        <v>54</v>
      </c>
      <c r="H29" s="808" t="s">
        <v>337</v>
      </c>
      <c r="I29" s="66" t="s">
        <v>339</v>
      </c>
      <c r="J29" s="61"/>
      <c r="K29" s="66" t="s">
        <v>337</v>
      </c>
      <c r="L29" s="220">
        <v>40914</v>
      </c>
      <c r="M29" s="64" t="s">
        <v>53</v>
      </c>
      <c r="N29" s="274">
        <v>97</v>
      </c>
      <c r="O29" s="275">
        <v>9</v>
      </c>
      <c r="P29" s="261">
        <f>216520+198358.5+149589.5+18051.79+5443+2220+114+4171+1835</f>
        <v>596302.79</v>
      </c>
      <c r="Q29" s="262">
        <f>26831+25025+19383+2440+733+337+19+682+538</f>
        <v>75988</v>
      </c>
      <c r="R29" s="452">
        <f>P29/Q29</f>
        <v>7.847328393956941</v>
      </c>
      <c r="S29" s="218">
        <v>40977</v>
      </c>
    </row>
    <row r="30" spans="1:19" ht="9.75" customHeight="1">
      <c r="A30" s="312"/>
      <c r="B30" s="312"/>
      <c r="C30" s="312"/>
      <c r="D30" s="312"/>
      <c r="E30" s="312"/>
      <c r="F30" s="313"/>
      <c r="G30" s="313"/>
      <c r="H30" s="808" t="s">
        <v>427</v>
      </c>
      <c r="I30" s="61" t="s">
        <v>126</v>
      </c>
      <c r="J30" s="66" t="s">
        <v>89</v>
      </c>
      <c r="K30" s="66" t="s">
        <v>428</v>
      </c>
      <c r="L30" s="221">
        <v>40928</v>
      </c>
      <c r="M30" s="64" t="s">
        <v>68</v>
      </c>
      <c r="N30" s="66">
        <v>55</v>
      </c>
      <c r="O30" s="788">
        <v>6</v>
      </c>
      <c r="P30" s="794">
        <f>323645+173227.82+35597.95+32858.57+5134.32+4763</f>
        <v>575226.6599999999</v>
      </c>
      <c r="Q30" s="795">
        <f>28467+15589+4018+4355+973+712</f>
        <v>54114</v>
      </c>
      <c r="R30" s="791">
        <f>P30/Q30</f>
        <v>10.629904645747864</v>
      </c>
      <c r="S30" s="792">
        <v>40963</v>
      </c>
    </row>
    <row r="31" spans="1:19" ht="9.75" customHeight="1">
      <c r="A31" s="312"/>
      <c r="B31" s="312"/>
      <c r="C31" s="312"/>
      <c r="D31" s="312"/>
      <c r="E31" s="312"/>
      <c r="F31" s="313"/>
      <c r="G31" s="313"/>
      <c r="H31" s="808" t="s">
        <v>341</v>
      </c>
      <c r="I31" s="61" t="s">
        <v>342</v>
      </c>
      <c r="J31" s="66" t="s">
        <v>189</v>
      </c>
      <c r="K31" s="66" t="s">
        <v>343</v>
      </c>
      <c r="L31" s="221">
        <v>40914</v>
      </c>
      <c r="M31" s="64" t="s">
        <v>8</v>
      </c>
      <c r="N31" s="266">
        <v>36</v>
      </c>
      <c r="O31" s="558">
        <v>8</v>
      </c>
      <c r="P31" s="270">
        <v>536187</v>
      </c>
      <c r="Q31" s="272">
        <v>46784</v>
      </c>
      <c r="R31" s="452">
        <f>P31/Q31</f>
        <v>11.460905437756498</v>
      </c>
      <c r="S31" s="218">
        <v>40977</v>
      </c>
    </row>
    <row r="32" spans="1:19" ht="9.75" customHeight="1">
      <c r="A32" s="751"/>
      <c r="B32" s="751"/>
      <c r="C32" s="751"/>
      <c r="D32" s="312"/>
      <c r="E32" s="751"/>
      <c r="F32" s="313"/>
      <c r="G32" s="314"/>
      <c r="H32" s="787" t="s">
        <v>393</v>
      </c>
      <c r="I32" s="61" t="s">
        <v>396</v>
      </c>
      <c r="J32" s="64" t="s">
        <v>394</v>
      </c>
      <c r="K32" s="64" t="s">
        <v>395</v>
      </c>
      <c r="L32" s="220">
        <v>40921</v>
      </c>
      <c r="M32" s="64" t="s">
        <v>370</v>
      </c>
      <c r="N32" s="258">
        <v>30</v>
      </c>
      <c r="O32" s="259">
        <v>9</v>
      </c>
      <c r="P32" s="483">
        <v>531197</v>
      </c>
      <c r="Q32" s="484">
        <v>40295</v>
      </c>
      <c r="R32" s="452">
        <f>P32/Q32</f>
        <v>13.182702568556893</v>
      </c>
      <c r="S32" s="218">
        <v>40977</v>
      </c>
    </row>
    <row r="33" spans="1:19" ht="9.75" customHeight="1">
      <c r="A33" s="312"/>
      <c r="B33" s="312"/>
      <c r="C33" s="312"/>
      <c r="D33" s="312"/>
      <c r="E33" s="312"/>
      <c r="F33" s="313"/>
      <c r="G33" s="313"/>
      <c r="H33" s="812" t="s">
        <v>580</v>
      </c>
      <c r="I33" s="61" t="s">
        <v>581</v>
      </c>
      <c r="J33" s="68" t="s">
        <v>94</v>
      </c>
      <c r="K33" s="68" t="s">
        <v>582</v>
      </c>
      <c r="L33" s="220">
        <v>40942</v>
      </c>
      <c r="M33" s="64" t="s">
        <v>12</v>
      </c>
      <c r="N33" s="258">
        <v>38</v>
      </c>
      <c r="O33" s="259">
        <v>6</v>
      </c>
      <c r="P33" s="261">
        <v>524906</v>
      </c>
      <c r="Q33" s="262">
        <v>45430</v>
      </c>
      <c r="R33" s="452">
        <f>P33/Q33</f>
        <v>11.554171252476337</v>
      </c>
      <c r="S33" s="218">
        <v>40977</v>
      </c>
    </row>
    <row r="34" spans="1:19" ht="9.75" customHeight="1">
      <c r="A34" s="312"/>
      <c r="B34" s="751"/>
      <c r="C34" s="751"/>
      <c r="D34" s="751"/>
      <c r="E34" s="751"/>
      <c r="F34" s="313"/>
      <c r="G34" s="816"/>
      <c r="H34" s="799" t="s">
        <v>609</v>
      </c>
      <c r="I34" s="65" t="s">
        <v>615</v>
      </c>
      <c r="J34" s="65" t="s">
        <v>128</v>
      </c>
      <c r="K34" s="66" t="s">
        <v>616</v>
      </c>
      <c r="L34" s="220">
        <v>40949</v>
      </c>
      <c r="M34" s="64" t="s">
        <v>68</v>
      </c>
      <c r="N34" s="542">
        <v>30</v>
      </c>
      <c r="O34" s="788">
        <v>4</v>
      </c>
      <c r="P34" s="794">
        <f>252789.19+123971.25+59444.68+20391</f>
        <v>456596.12</v>
      </c>
      <c r="Q34" s="795">
        <f>19304+9364+4801+1458</f>
        <v>34927</v>
      </c>
      <c r="R34" s="798">
        <f>P34/Q34</f>
        <v>13.07286969965929</v>
      </c>
      <c r="S34" s="792">
        <v>40970</v>
      </c>
    </row>
    <row r="35" spans="1:19" ht="9.75" customHeight="1">
      <c r="A35" s="312"/>
      <c r="B35" s="752"/>
      <c r="C35" s="752"/>
      <c r="D35" s="312"/>
      <c r="E35" s="750"/>
      <c r="F35" s="752"/>
      <c r="G35" s="409"/>
      <c r="H35" s="808" t="s">
        <v>722</v>
      </c>
      <c r="I35" s="66" t="s">
        <v>132</v>
      </c>
      <c r="J35" s="61" t="s">
        <v>189</v>
      </c>
      <c r="K35" s="66" t="s">
        <v>723</v>
      </c>
      <c r="L35" s="221">
        <v>40977</v>
      </c>
      <c r="M35" s="64" t="s">
        <v>8</v>
      </c>
      <c r="N35" s="274">
        <v>43</v>
      </c>
      <c r="O35" s="267">
        <v>1</v>
      </c>
      <c r="P35" s="270">
        <v>384292</v>
      </c>
      <c r="Q35" s="272">
        <v>34812</v>
      </c>
      <c r="R35" s="452">
        <f>P35/Q35</f>
        <v>11.039066988394806</v>
      </c>
      <c r="S35" s="218">
        <v>40977</v>
      </c>
    </row>
    <row r="36" spans="1:19" ht="9.75" customHeight="1">
      <c r="A36" s="312"/>
      <c r="B36" s="312"/>
      <c r="C36" s="312"/>
      <c r="D36" s="312"/>
      <c r="E36" s="312"/>
      <c r="F36" s="313"/>
      <c r="G36" s="316" t="s">
        <v>54</v>
      </c>
      <c r="H36" s="800" t="s">
        <v>601</v>
      </c>
      <c r="I36" s="61" t="s">
        <v>588</v>
      </c>
      <c r="J36" s="67" t="s">
        <v>138</v>
      </c>
      <c r="K36" s="65" t="s">
        <v>601</v>
      </c>
      <c r="L36" s="220">
        <v>40942</v>
      </c>
      <c r="M36" s="64" t="s">
        <v>53</v>
      </c>
      <c r="N36" s="274">
        <v>95</v>
      </c>
      <c r="O36" s="275">
        <v>6</v>
      </c>
      <c r="P36" s="261">
        <f>166893.1+124753.91+25288.04+4237+1396+180</f>
        <v>322748.05</v>
      </c>
      <c r="Q36" s="262">
        <f>18839+14893+3105+518+139+22</f>
        <v>37516</v>
      </c>
      <c r="R36" s="452">
        <f>P36/Q36</f>
        <v>8.60294407719373</v>
      </c>
      <c r="S36" s="218">
        <v>40977</v>
      </c>
    </row>
    <row r="37" spans="1:19" ht="9.75" customHeight="1">
      <c r="A37" s="312"/>
      <c r="B37" s="312"/>
      <c r="C37" s="312"/>
      <c r="D37" s="312"/>
      <c r="E37" s="312"/>
      <c r="F37" s="312"/>
      <c r="G37" s="314"/>
      <c r="H37" s="787" t="s">
        <v>698</v>
      </c>
      <c r="I37" s="61" t="s">
        <v>699</v>
      </c>
      <c r="J37" s="62" t="s">
        <v>95</v>
      </c>
      <c r="K37" s="64" t="s">
        <v>698</v>
      </c>
      <c r="L37" s="220">
        <v>40970</v>
      </c>
      <c r="M37" s="64" t="s">
        <v>10</v>
      </c>
      <c r="N37" s="258">
        <v>31</v>
      </c>
      <c r="O37" s="271">
        <v>2</v>
      </c>
      <c r="P37" s="270">
        <v>322375</v>
      </c>
      <c r="Q37" s="272">
        <v>25219</v>
      </c>
      <c r="R37" s="452">
        <f>P37/Q37</f>
        <v>12.78302073833221</v>
      </c>
      <c r="S37" s="218">
        <v>40977</v>
      </c>
    </row>
    <row r="38" spans="1:19" ht="9.75" customHeight="1">
      <c r="A38" s="312"/>
      <c r="B38" s="312"/>
      <c r="C38" s="312"/>
      <c r="D38" s="312"/>
      <c r="E38" s="312"/>
      <c r="F38" s="313"/>
      <c r="G38" s="313"/>
      <c r="H38" s="793" t="s">
        <v>224</v>
      </c>
      <c r="I38" s="61" t="s">
        <v>193</v>
      </c>
      <c r="J38" s="65" t="s">
        <v>128</v>
      </c>
      <c r="K38" s="63" t="s">
        <v>191</v>
      </c>
      <c r="L38" s="221">
        <v>40907</v>
      </c>
      <c r="M38" s="64" t="s">
        <v>68</v>
      </c>
      <c r="N38" s="61">
        <v>19</v>
      </c>
      <c r="O38" s="788">
        <v>9</v>
      </c>
      <c r="P38" s="794">
        <f>108631+115157+28332.5+21104.5+2954+17358.36+18153+140+9001.5</f>
        <v>320831.86</v>
      </c>
      <c r="Q38" s="795">
        <f>8552+8628+2468+2132+301+2376+2114+19+1177</f>
        <v>27767</v>
      </c>
      <c r="R38" s="791">
        <f>P38/Q38</f>
        <v>11.5544300788706</v>
      </c>
      <c r="S38" s="792">
        <v>40963</v>
      </c>
    </row>
    <row r="39" spans="1:19" ht="9.75" customHeight="1">
      <c r="A39" s="312"/>
      <c r="B39" s="751"/>
      <c r="C39" s="751"/>
      <c r="D39" s="312"/>
      <c r="E39" s="751"/>
      <c r="F39" s="313"/>
      <c r="G39" s="314"/>
      <c r="H39" s="787" t="s">
        <v>604</v>
      </c>
      <c r="I39" s="64" t="s">
        <v>605</v>
      </c>
      <c r="J39" s="64" t="s">
        <v>394</v>
      </c>
      <c r="K39" s="64" t="s">
        <v>603</v>
      </c>
      <c r="L39" s="221">
        <v>40949</v>
      </c>
      <c r="M39" s="64" t="s">
        <v>370</v>
      </c>
      <c r="N39" s="542">
        <v>27</v>
      </c>
      <c r="O39" s="788">
        <v>4</v>
      </c>
      <c r="P39" s="806">
        <v>307965</v>
      </c>
      <c r="Q39" s="807">
        <v>25431</v>
      </c>
      <c r="R39" s="798">
        <f>P39/Q39</f>
        <v>12.109826589595375</v>
      </c>
      <c r="S39" s="792">
        <v>40970</v>
      </c>
    </row>
    <row r="40" spans="1:19" ht="9.75" customHeight="1">
      <c r="A40" s="312"/>
      <c r="B40" s="751"/>
      <c r="C40" s="751"/>
      <c r="D40" s="312"/>
      <c r="E40" s="751"/>
      <c r="F40" s="313"/>
      <c r="G40" s="314"/>
      <c r="H40" s="787" t="s">
        <v>555</v>
      </c>
      <c r="I40" s="61" t="s">
        <v>556</v>
      </c>
      <c r="J40" s="64" t="s">
        <v>99</v>
      </c>
      <c r="K40" s="64" t="s">
        <v>554</v>
      </c>
      <c r="L40" s="220">
        <v>40935</v>
      </c>
      <c r="M40" s="64" t="s">
        <v>52</v>
      </c>
      <c r="N40" s="278">
        <v>57</v>
      </c>
      <c r="O40" s="259">
        <v>7</v>
      </c>
      <c r="P40" s="261">
        <f>141020.93+89437.99+36948.92+9243.92+2376+563+3853</f>
        <v>283443.75999999995</v>
      </c>
      <c r="Q40" s="262">
        <f>17593+11265+5202+1248+344+74+577</f>
        <v>36303</v>
      </c>
      <c r="R40" s="452">
        <f>P40/Q40</f>
        <v>7.8077227777318665</v>
      </c>
      <c r="S40" s="218">
        <v>40977</v>
      </c>
    </row>
    <row r="41" spans="1:19" ht="9.75" customHeight="1">
      <c r="A41" s="751"/>
      <c r="B41" s="751"/>
      <c r="C41" s="751"/>
      <c r="D41" s="312"/>
      <c r="E41" s="751"/>
      <c r="F41" s="313"/>
      <c r="G41" s="316" t="s">
        <v>54</v>
      </c>
      <c r="H41" s="787" t="s">
        <v>579</v>
      </c>
      <c r="I41" s="61" t="s">
        <v>587</v>
      </c>
      <c r="J41" s="64"/>
      <c r="K41" s="64" t="s">
        <v>579</v>
      </c>
      <c r="L41" s="220">
        <v>40942</v>
      </c>
      <c r="M41" s="64" t="s">
        <v>52</v>
      </c>
      <c r="N41" s="258">
        <v>42</v>
      </c>
      <c r="O41" s="259">
        <v>6</v>
      </c>
      <c r="P41" s="261">
        <f>162020.35+70285.95+11139.41+12368+4963+5840</f>
        <v>266616.70999999996</v>
      </c>
      <c r="Q41" s="262">
        <f>16152+7535+1434+1836+857+977</f>
        <v>28791</v>
      </c>
      <c r="R41" s="452">
        <f>P41/Q41</f>
        <v>9.260418533569517</v>
      </c>
      <c r="S41" s="218">
        <v>40977</v>
      </c>
    </row>
    <row r="42" spans="1:19" ht="9.75" customHeight="1">
      <c r="A42" s="312"/>
      <c r="B42" s="751"/>
      <c r="C42" s="751"/>
      <c r="D42" s="312"/>
      <c r="E42" s="751"/>
      <c r="F42" s="313"/>
      <c r="G42" s="314"/>
      <c r="H42" s="787" t="s">
        <v>577</v>
      </c>
      <c r="I42" s="61" t="s">
        <v>396</v>
      </c>
      <c r="J42" s="64" t="s">
        <v>248</v>
      </c>
      <c r="K42" s="64" t="s">
        <v>584</v>
      </c>
      <c r="L42" s="220">
        <v>40942</v>
      </c>
      <c r="M42" s="64" t="s">
        <v>332</v>
      </c>
      <c r="N42" s="258">
        <v>17</v>
      </c>
      <c r="O42" s="259">
        <v>6</v>
      </c>
      <c r="P42" s="261">
        <v>210020.5</v>
      </c>
      <c r="Q42" s="262">
        <v>16606</v>
      </c>
      <c r="R42" s="452">
        <f>P42/Q42</f>
        <v>12.647266048416235</v>
      </c>
      <c r="S42" s="218">
        <v>40977</v>
      </c>
    </row>
    <row r="43" spans="1:19" ht="9.75" customHeight="1">
      <c r="A43" s="312"/>
      <c r="B43" s="751"/>
      <c r="C43" s="751"/>
      <c r="D43" s="312"/>
      <c r="E43" s="751"/>
      <c r="F43" s="313"/>
      <c r="G43" s="314"/>
      <c r="H43" s="787" t="s">
        <v>606</v>
      </c>
      <c r="I43" s="61" t="s">
        <v>607</v>
      </c>
      <c r="J43" s="64" t="s">
        <v>99</v>
      </c>
      <c r="K43" s="64" t="s">
        <v>608</v>
      </c>
      <c r="L43" s="220">
        <v>40949</v>
      </c>
      <c r="M43" s="64" t="s">
        <v>52</v>
      </c>
      <c r="N43" s="258">
        <v>26</v>
      </c>
      <c r="O43" s="259">
        <v>5</v>
      </c>
      <c r="P43" s="261">
        <f>122578.91+41944.68+10936.83+1933+846</f>
        <v>178239.41999999998</v>
      </c>
      <c r="Q43" s="262">
        <f>12461+4347+1252+278+142</f>
        <v>18480</v>
      </c>
      <c r="R43" s="452">
        <f>P43/Q43</f>
        <v>9.64499025974026</v>
      </c>
      <c r="S43" s="218">
        <v>40977</v>
      </c>
    </row>
    <row r="44" spans="1:19" ht="9.75" customHeight="1">
      <c r="A44" s="312"/>
      <c r="B44" s="751"/>
      <c r="C44" s="751"/>
      <c r="D44" s="312"/>
      <c r="E44" s="751"/>
      <c r="F44" s="313"/>
      <c r="G44" s="314"/>
      <c r="H44" s="787" t="s">
        <v>374</v>
      </c>
      <c r="I44" s="61" t="s">
        <v>376</v>
      </c>
      <c r="J44" s="64" t="s">
        <v>260</v>
      </c>
      <c r="K44" s="64" t="s">
        <v>375</v>
      </c>
      <c r="L44" s="220">
        <v>40921</v>
      </c>
      <c r="M44" s="64" t="s">
        <v>332</v>
      </c>
      <c r="N44" s="542">
        <v>16</v>
      </c>
      <c r="O44" s="788">
        <v>7</v>
      </c>
      <c r="P44" s="796">
        <v>148907</v>
      </c>
      <c r="Q44" s="797">
        <v>13521</v>
      </c>
      <c r="R44" s="798">
        <f>P44/Q44</f>
        <v>11.01301678869906</v>
      </c>
      <c r="S44" s="792">
        <v>40970</v>
      </c>
    </row>
    <row r="45" spans="1:19" ht="9.75" customHeight="1">
      <c r="A45" s="312"/>
      <c r="B45" s="324" t="s">
        <v>223</v>
      </c>
      <c r="C45" s="319">
        <v>3</v>
      </c>
      <c r="D45" s="312"/>
      <c r="E45" s="312"/>
      <c r="F45" s="317" t="s">
        <v>55</v>
      </c>
      <c r="G45" s="816"/>
      <c r="H45" s="799" t="s">
        <v>219</v>
      </c>
      <c r="I45" s="65" t="s">
        <v>183</v>
      </c>
      <c r="J45" s="61" t="s">
        <v>189</v>
      </c>
      <c r="K45" s="66" t="s">
        <v>181</v>
      </c>
      <c r="L45" s="220">
        <v>40907</v>
      </c>
      <c r="M45" s="64" t="s">
        <v>8</v>
      </c>
      <c r="N45" s="543">
        <v>73</v>
      </c>
      <c r="O45" s="813">
        <v>9</v>
      </c>
      <c r="P45" s="804">
        <v>141554</v>
      </c>
      <c r="Q45" s="805">
        <v>12703</v>
      </c>
      <c r="R45" s="791">
        <f>P45/Q45</f>
        <v>11.143351964102967</v>
      </c>
      <c r="S45" s="792">
        <v>40928</v>
      </c>
    </row>
    <row r="46" spans="1:19" ht="9.75" customHeight="1">
      <c r="A46" s="312"/>
      <c r="B46" s="312"/>
      <c r="C46" s="312"/>
      <c r="D46" s="312"/>
      <c r="E46" s="312"/>
      <c r="F46" s="313"/>
      <c r="G46" s="313"/>
      <c r="H46" s="793" t="s">
        <v>611</v>
      </c>
      <c r="I46" s="61" t="s">
        <v>217</v>
      </c>
      <c r="J46" s="68" t="s">
        <v>94</v>
      </c>
      <c r="K46" s="63" t="s">
        <v>613</v>
      </c>
      <c r="L46" s="220">
        <v>40949</v>
      </c>
      <c r="M46" s="64" t="s">
        <v>12</v>
      </c>
      <c r="N46" s="258">
        <v>15</v>
      </c>
      <c r="O46" s="259">
        <v>5</v>
      </c>
      <c r="P46" s="261">
        <v>87720</v>
      </c>
      <c r="Q46" s="262">
        <v>7372</v>
      </c>
      <c r="R46" s="452">
        <f>P46/Q46</f>
        <v>11.899077590884428</v>
      </c>
      <c r="S46" s="218">
        <v>40977</v>
      </c>
    </row>
    <row r="47" spans="1:19" ht="9.75" customHeight="1">
      <c r="A47" s="312"/>
      <c r="B47" s="312"/>
      <c r="C47" s="312"/>
      <c r="D47" s="312"/>
      <c r="E47" s="312"/>
      <c r="F47" s="313"/>
      <c r="G47" s="316" t="s">
        <v>54</v>
      </c>
      <c r="H47" s="787" t="s">
        <v>721</v>
      </c>
      <c r="I47" s="64" t="s">
        <v>724</v>
      </c>
      <c r="J47" s="64"/>
      <c r="K47" s="64" t="s">
        <v>721</v>
      </c>
      <c r="L47" s="221">
        <v>40977</v>
      </c>
      <c r="M47" s="64" t="s">
        <v>53</v>
      </c>
      <c r="N47" s="258">
        <v>85</v>
      </c>
      <c r="O47" s="275">
        <v>1</v>
      </c>
      <c r="P47" s="261">
        <f>70303.72</f>
        <v>70303.72</v>
      </c>
      <c r="Q47" s="262">
        <f>9206</f>
        <v>9206</v>
      </c>
      <c r="R47" s="452">
        <f>P47/Q47</f>
        <v>7.6367282207256135</v>
      </c>
      <c r="S47" s="218">
        <v>40977</v>
      </c>
    </row>
    <row r="48" spans="1:19" ht="9.75" customHeight="1">
      <c r="A48" s="312"/>
      <c r="B48" s="312"/>
      <c r="C48" s="312"/>
      <c r="D48" s="312"/>
      <c r="E48" s="312"/>
      <c r="F48" s="312"/>
      <c r="G48" s="312"/>
      <c r="H48" s="799" t="s">
        <v>748</v>
      </c>
      <c r="I48" s="65" t="s">
        <v>731</v>
      </c>
      <c r="J48" s="61" t="s">
        <v>79</v>
      </c>
      <c r="K48" s="66" t="s">
        <v>730</v>
      </c>
      <c r="L48" s="220">
        <v>40977</v>
      </c>
      <c r="M48" s="64" t="s">
        <v>68</v>
      </c>
      <c r="N48" s="274">
        <v>25</v>
      </c>
      <c r="O48" s="259">
        <v>1</v>
      </c>
      <c r="P48" s="270">
        <f>44155.29</f>
        <v>44155.29</v>
      </c>
      <c r="Q48" s="272">
        <f>4205</f>
        <v>4205</v>
      </c>
      <c r="R48" s="452">
        <f>P48/Q48</f>
        <v>10.500663495838287</v>
      </c>
      <c r="S48" s="218">
        <v>40977</v>
      </c>
    </row>
    <row r="49" spans="1:19" ht="9.75" customHeight="1">
      <c r="A49" s="312"/>
      <c r="B49" s="751"/>
      <c r="C49" s="751"/>
      <c r="D49" s="312"/>
      <c r="E49" s="751"/>
      <c r="F49" s="313"/>
      <c r="G49" s="314"/>
      <c r="H49" s="787" t="s">
        <v>578</v>
      </c>
      <c r="I49" s="61" t="s">
        <v>585</v>
      </c>
      <c r="J49" s="64" t="s">
        <v>273</v>
      </c>
      <c r="K49" s="64" t="s">
        <v>586</v>
      </c>
      <c r="L49" s="220">
        <v>40942</v>
      </c>
      <c r="M49" s="64" t="s">
        <v>332</v>
      </c>
      <c r="N49" s="258">
        <v>5</v>
      </c>
      <c r="O49" s="259">
        <v>5</v>
      </c>
      <c r="P49" s="261">
        <v>42820.5</v>
      </c>
      <c r="Q49" s="262">
        <v>3421</v>
      </c>
      <c r="R49" s="452">
        <f>P49/Q49</f>
        <v>12.516954106986262</v>
      </c>
      <c r="S49" s="218">
        <v>40977</v>
      </c>
    </row>
    <row r="50" spans="1:19" ht="9.75" customHeight="1">
      <c r="A50" s="312"/>
      <c r="B50" s="751"/>
      <c r="C50" s="751"/>
      <c r="D50" s="312"/>
      <c r="E50" s="751"/>
      <c r="F50" s="313"/>
      <c r="G50" s="313"/>
      <c r="H50" s="787" t="s">
        <v>744</v>
      </c>
      <c r="I50" s="61" t="s">
        <v>377</v>
      </c>
      <c r="J50" s="64" t="s">
        <v>708</v>
      </c>
      <c r="K50" s="64" t="s">
        <v>720</v>
      </c>
      <c r="L50" s="220">
        <v>40977</v>
      </c>
      <c r="M50" s="64" t="s">
        <v>332</v>
      </c>
      <c r="N50" s="258">
        <v>3</v>
      </c>
      <c r="O50" s="259">
        <v>1</v>
      </c>
      <c r="P50" s="261">
        <v>8523</v>
      </c>
      <c r="Q50" s="262">
        <v>758</v>
      </c>
      <c r="R50" s="452">
        <f>P50/Q50</f>
        <v>11.244063324538258</v>
      </c>
      <c r="S50" s="218">
        <v>40977</v>
      </c>
    </row>
    <row r="51" spans="1:19" ht="9.75" customHeight="1">
      <c r="A51" s="312"/>
      <c r="B51" s="312"/>
      <c r="C51" s="312"/>
      <c r="D51" s="312"/>
      <c r="E51" s="312"/>
      <c r="F51" s="313"/>
      <c r="G51" s="313"/>
      <c r="H51" s="787" t="s">
        <v>158</v>
      </c>
      <c r="I51" s="64" t="s">
        <v>162</v>
      </c>
      <c r="J51" s="64" t="s">
        <v>79</v>
      </c>
      <c r="K51" s="64" t="s">
        <v>161</v>
      </c>
      <c r="L51" s="221">
        <v>40907</v>
      </c>
      <c r="M51" s="64" t="s">
        <v>13</v>
      </c>
      <c r="N51" s="61">
        <v>1</v>
      </c>
      <c r="O51" s="802">
        <v>4</v>
      </c>
      <c r="P51" s="796">
        <v>6925</v>
      </c>
      <c r="Q51" s="797">
        <v>705</v>
      </c>
      <c r="R51" s="798">
        <f>P51/Q51</f>
        <v>9.822695035460994</v>
      </c>
      <c r="S51" s="792">
        <v>40956</v>
      </c>
    </row>
    <row r="52" spans="1:19" ht="9.75" customHeight="1">
      <c r="A52" s="202"/>
      <c r="B52" s="202"/>
      <c r="C52" s="202"/>
      <c r="D52" s="202"/>
      <c r="E52" s="202"/>
      <c r="F52" s="208" t="s">
        <v>55</v>
      </c>
      <c r="G52" s="204"/>
      <c r="H52" s="787" t="s">
        <v>157</v>
      </c>
      <c r="I52" s="64" t="s">
        <v>163</v>
      </c>
      <c r="J52" s="64" t="s">
        <v>128</v>
      </c>
      <c r="K52" s="64" t="s">
        <v>160</v>
      </c>
      <c r="L52" s="220">
        <v>40907</v>
      </c>
      <c r="M52" s="64" t="s">
        <v>13</v>
      </c>
      <c r="N52" s="542">
        <v>2</v>
      </c>
      <c r="O52" s="788">
        <v>2</v>
      </c>
      <c r="P52" s="789">
        <v>2965</v>
      </c>
      <c r="Q52" s="790">
        <v>448</v>
      </c>
      <c r="R52" s="791">
        <f>P52/Q52</f>
        <v>6.618303571428571</v>
      </c>
      <c r="S52" s="792">
        <v>40914</v>
      </c>
    </row>
  </sheetData>
  <sheetProtection/>
  <mergeCells count="2">
    <mergeCell ref="A1:S1"/>
    <mergeCell ref="A3:G3"/>
  </mergeCells>
  <printOptions/>
  <pageMargins left="0.7" right="0.7" top="0.75" bottom="0.75" header="0.3" footer="0.3"/>
  <pageSetup orientation="portrait" paperSize="9"/>
  <ignoredErrors>
    <ignoredError sqref="P4:Q39 P48:Q48" unlockedFormula="1"/>
  </ignoredErrors>
</worksheet>
</file>

<file path=xl/worksheets/sheet6.xml><?xml version="1.0" encoding="utf-8"?>
<worksheet xmlns="http://schemas.openxmlformats.org/spreadsheetml/2006/main" xmlns:r="http://schemas.openxmlformats.org/officeDocument/2006/relationships">
  <dimension ref="A1:M62"/>
  <sheetViews>
    <sheetView zoomScalePageLayoutView="0" workbookViewId="0" topLeftCell="A42">
      <selection activeCell="A64" sqref="A64"/>
    </sheetView>
  </sheetViews>
  <sheetFormatPr defaultColWidth="9.140625" defaultRowHeight="12.75"/>
  <cols>
    <col min="1" max="1" width="7.00390625" style="104" bestFit="1" customWidth="1"/>
    <col min="2" max="2" width="11.28125" style="105" bestFit="1" customWidth="1"/>
    <col min="3" max="3" width="15.421875" style="106" bestFit="1" customWidth="1"/>
    <col min="4" max="4" width="19.421875" style="107" bestFit="1" customWidth="1"/>
    <col min="5" max="6" width="14.28125" style="108" bestFit="1" customWidth="1"/>
    <col min="7" max="7" width="18.421875" style="107" customWidth="1"/>
    <col min="8" max="8" width="18.421875" style="108" bestFit="1" customWidth="1"/>
    <col min="9" max="9" width="15.7109375" style="104" bestFit="1" customWidth="1"/>
    <col min="10" max="10" width="34.421875" style="103" bestFit="1" customWidth="1"/>
    <col min="11" max="11" width="12.7109375" style="108" bestFit="1" customWidth="1"/>
    <col min="12" max="16384" width="9.140625" style="104" customWidth="1"/>
  </cols>
  <sheetData>
    <row r="1" spans="1:13" ht="18.75">
      <c r="A1" s="669" t="s">
        <v>326</v>
      </c>
      <c r="B1" s="670"/>
      <c r="C1" s="670"/>
      <c r="D1" s="670"/>
      <c r="E1" s="670"/>
      <c r="F1" s="670"/>
      <c r="G1" s="670"/>
      <c r="H1" s="670"/>
      <c r="I1" s="670"/>
      <c r="J1" s="670"/>
      <c r="K1" s="670"/>
      <c r="L1" s="677" t="s">
        <v>572</v>
      </c>
      <c r="M1" s="676"/>
    </row>
    <row r="2" spans="1:13" s="103" customFormat="1" ht="18.75">
      <c r="A2" s="109"/>
      <c r="B2" s="110"/>
      <c r="C2" s="111" t="s">
        <v>311</v>
      </c>
      <c r="D2" s="112"/>
      <c r="E2" s="113" t="s">
        <v>314</v>
      </c>
      <c r="F2" s="109" t="s">
        <v>314</v>
      </c>
      <c r="G2" s="112" t="s">
        <v>318</v>
      </c>
      <c r="H2" s="112" t="s">
        <v>318</v>
      </c>
      <c r="I2" s="109" t="s">
        <v>319</v>
      </c>
      <c r="J2" s="109" t="s">
        <v>322</v>
      </c>
      <c r="K2" s="113" t="s">
        <v>316</v>
      </c>
      <c r="L2" s="676"/>
      <c r="M2" s="676"/>
    </row>
    <row r="3" spans="1:13" s="103" customFormat="1" ht="18.75">
      <c r="A3" s="109"/>
      <c r="B3" s="110"/>
      <c r="C3" s="111" t="s">
        <v>312</v>
      </c>
      <c r="D3" s="112" t="s">
        <v>314</v>
      </c>
      <c r="E3" s="113" t="s">
        <v>316</v>
      </c>
      <c r="F3" s="109" t="s">
        <v>328</v>
      </c>
      <c r="G3" s="112" t="s">
        <v>314</v>
      </c>
      <c r="H3" s="112" t="s">
        <v>314</v>
      </c>
      <c r="I3" s="109" t="s">
        <v>320</v>
      </c>
      <c r="J3" s="109" t="s">
        <v>323</v>
      </c>
      <c r="K3" s="113" t="s">
        <v>325</v>
      </c>
      <c r="L3" s="676"/>
      <c r="M3" s="676"/>
    </row>
    <row r="4" spans="1:13" s="103" customFormat="1" ht="19.5" customHeight="1" thickBot="1">
      <c r="A4" s="120" t="s">
        <v>309</v>
      </c>
      <c r="B4" s="121" t="s">
        <v>310</v>
      </c>
      <c r="C4" s="122" t="s">
        <v>313</v>
      </c>
      <c r="D4" s="123" t="s">
        <v>315</v>
      </c>
      <c r="E4" s="124" t="s">
        <v>317</v>
      </c>
      <c r="F4" s="120" t="s">
        <v>327</v>
      </c>
      <c r="G4" s="123" t="s">
        <v>315</v>
      </c>
      <c r="H4" s="123" t="s">
        <v>316</v>
      </c>
      <c r="I4" s="120" t="s">
        <v>321</v>
      </c>
      <c r="J4" s="120" t="s">
        <v>324</v>
      </c>
      <c r="K4" s="124" t="s">
        <v>313</v>
      </c>
      <c r="L4" s="676"/>
      <c r="M4" s="676"/>
    </row>
    <row r="5" spans="1:13" ht="18.75">
      <c r="A5" s="114">
        <v>2012</v>
      </c>
      <c r="B5" s="115">
        <v>40907</v>
      </c>
      <c r="C5" s="116">
        <v>74</v>
      </c>
      <c r="D5" s="117">
        <v>8200954.5</v>
      </c>
      <c r="E5" s="131">
        <v>908539</v>
      </c>
      <c r="F5" s="667">
        <f>IF(E6&lt;&gt;0,-(E6-E5)/E6,"")</f>
        <v>0.432929627801269</v>
      </c>
      <c r="G5" s="133">
        <v>4378379</v>
      </c>
      <c r="H5" s="118">
        <v>513723</v>
      </c>
      <c r="I5" s="119">
        <v>0.57</v>
      </c>
      <c r="J5" s="353" t="s">
        <v>141</v>
      </c>
      <c r="K5" s="118">
        <v>273690</v>
      </c>
      <c r="L5" s="676"/>
      <c r="M5" s="676"/>
    </row>
    <row r="6" spans="1:13" ht="19.5" thickBot="1">
      <c r="A6" s="125">
        <v>2011</v>
      </c>
      <c r="B6" s="126">
        <v>40543</v>
      </c>
      <c r="C6" s="127" t="s">
        <v>307</v>
      </c>
      <c r="D6" s="128">
        <v>6313693</v>
      </c>
      <c r="E6" s="132">
        <v>634043</v>
      </c>
      <c r="F6" s="668"/>
      <c r="G6" s="134">
        <v>2910042.5</v>
      </c>
      <c r="H6" s="129">
        <v>321979</v>
      </c>
      <c r="I6" s="130">
        <v>0.51</v>
      </c>
      <c r="J6" s="354" t="s">
        <v>308</v>
      </c>
      <c r="K6" s="129">
        <v>182375</v>
      </c>
      <c r="L6" s="676"/>
      <c r="M6" s="676"/>
    </row>
    <row r="7" spans="12:13" ht="19.5" thickBot="1">
      <c r="L7" s="676"/>
      <c r="M7" s="676"/>
    </row>
    <row r="8" spans="1:13" ht="18.75">
      <c r="A8" s="244">
        <v>2012</v>
      </c>
      <c r="B8" s="245">
        <v>40914</v>
      </c>
      <c r="C8" s="246" t="s">
        <v>371</v>
      </c>
      <c r="D8" s="247">
        <v>8481996</v>
      </c>
      <c r="E8" s="248">
        <v>884882</v>
      </c>
      <c r="F8" s="671">
        <f>IF(E9&lt;&gt;0,-(E9-E8)/E9,"")</f>
        <v>-0.5217898361655077</v>
      </c>
      <c r="G8" s="247">
        <v>4475888.5</v>
      </c>
      <c r="H8" s="248">
        <v>500419</v>
      </c>
      <c r="I8" s="249">
        <v>0.57</v>
      </c>
      <c r="J8" s="355" t="s">
        <v>141</v>
      </c>
      <c r="K8" s="248">
        <v>198737</v>
      </c>
      <c r="L8" s="676"/>
      <c r="M8" s="676"/>
    </row>
    <row r="9" spans="1:13" ht="19.5" thickBot="1">
      <c r="A9" s="125">
        <v>2011</v>
      </c>
      <c r="B9" s="126">
        <v>40550</v>
      </c>
      <c r="C9" s="127" t="s">
        <v>372</v>
      </c>
      <c r="D9" s="128">
        <v>17210409</v>
      </c>
      <c r="E9" s="129">
        <v>1850404</v>
      </c>
      <c r="F9" s="672"/>
      <c r="G9" s="128">
        <v>15725804</v>
      </c>
      <c r="H9" s="129">
        <v>1715171</v>
      </c>
      <c r="I9" s="130">
        <v>0.93</v>
      </c>
      <c r="J9" s="354" t="s">
        <v>373</v>
      </c>
      <c r="K9" s="129">
        <v>1226038</v>
      </c>
      <c r="L9" s="676"/>
      <c r="M9" s="676"/>
    </row>
    <row r="10" spans="12:13" ht="19.5" thickBot="1">
      <c r="L10" s="676"/>
      <c r="M10" s="676"/>
    </row>
    <row r="11" spans="1:13" ht="18.75">
      <c r="A11" s="244">
        <v>2012</v>
      </c>
      <c r="B11" s="245">
        <v>40921</v>
      </c>
      <c r="C11" s="246" t="s">
        <v>407</v>
      </c>
      <c r="D11" s="247">
        <v>9952732.5</v>
      </c>
      <c r="E11" s="248">
        <v>1038272</v>
      </c>
      <c r="F11" s="671">
        <f>IF(E12&lt;&gt;0,-(E12-E11)/E12,"")</f>
        <v>-0.29546535622267506</v>
      </c>
      <c r="G11" s="247">
        <v>4132151</v>
      </c>
      <c r="H11" s="248">
        <v>469150</v>
      </c>
      <c r="I11" s="249">
        <v>0.45</v>
      </c>
      <c r="J11" s="250" t="s">
        <v>384</v>
      </c>
      <c r="K11" s="248">
        <v>209171</v>
      </c>
      <c r="L11" s="676"/>
      <c r="M11" s="676"/>
    </row>
    <row r="12" spans="1:13" ht="19.5" thickBot="1">
      <c r="A12" s="125">
        <v>2011</v>
      </c>
      <c r="B12" s="126">
        <v>40557</v>
      </c>
      <c r="C12" s="127" t="s">
        <v>408</v>
      </c>
      <c r="D12" s="128">
        <v>13786400.25</v>
      </c>
      <c r="E12" s="129">
        <v>1473699</v>
      </c>
      <c r="F12" s="672"/>
      <c r="G12" s="128">
        <v>11172188</v>
      </c>
      <c r="H12" s="129">
        <v>1237966</v>
      </c>
      <c r="I12" s="130">
        <v>0.84</v>
      </c>
      <c r="J12" s="354" t="s">
        <v>373</v>
      </c>
      <c r="K12" s="129">
        <v>894074</v>
      </c>
      <c r="L12" s="676"/>
      <c r="M12" s="676"/>
    </row>
    <row r="13" spans="11:13" ht="19.5" thickBot="1">
      <c r="K13" s="104"/>
      <c r="L13" s="676"/>
      <c r="M13" s="676"/>
    </row>
    <row r="14" spans="1:13" ht="18.75">
      <c r="A14" s="244">
        <v>2012</v>
      </c>
      <c r="B14" s="245">
        <v>40928</v>
      </c>
      <c r="C14" s="246" t="s">
        <v>371</v>
      </c>
      <c r="D14" s="247">
        <v>12103565.9</v>
      </c>
      <c r="E14" s="248">
        <v>1241592</v>
      </c>
      <c r="F14" s="671">
        <f>IF(E15&lt;&gt;0,-(E15-E14)/E15,"")</f>
        <v>-0.004775760490561501</v>
      </c>
      <c r="G14" s="247">
        <v>3616319.9</v>
      </c>
      <c r="H14" s="248">
        <v>404883</v>
      </c>
      <c r="I14" s="249">
        <v>0.33</v>
      </c>
      <c r="J14" s="250" t="s">
        <v>384</v>
      </c>
      <c r="K14" s="248">
        <v>237346</v>
      </c>
      <c r="L14" s="676"/>
      <c r="M14" s="676"/>
    </row>
    <row r="15" spans="1:13" ht="19.5" thickBot="1">
      <c r="A15" s="125">
        <v>2011</v>
      </c>
      <c r="B15" s="126">
        <v>40564</v>
      </c>
      <c r="C15" s="127" t="s">
        <v>407</v>
      </c>
      <c r="D15" s="128">
        <v>11370167.75</v>
      </c>
      <c r="E15" s="129">
        <v>1247550</v>
      </c>
      <c r="F15" s="672"/>
      <c r="G15" s="128">
        <v>8403050.5</v>
      </c>
      <c r="H15" s="129">
        <v>969380</v>
      </c>
      <c r="I15" s="130">
        <v>0.78</v>
      </c>
      <c r="J15" s="354" t="s">
        <v>373</v>
      </c>
      <c r="K15" s="129">
        <v>605415</v>
      </c>
      <c r="L15" s="676"/>
      <c r="M15" s="676"/>
    </row>
    <row r="16" spans="11:13" ht="19.5" thickBot="1">
      <c r="K16" s="104"/>
      <c r="L16" s="676"/>
      <c r="M16" s="676"/>
    </row>
    <row r="17" spans="1:13" ht="18.75">
      <c r="A17" s="244">
        <v>2012</v>
      </c>
      <c r="B17" s="245">
        <v>40935</v>
      </c>
      <c r="C17" s="246" t="s">
        <v>518</v>
      </c>
      <c r="D17" s="247">
        <v>14925131.45</v>
      </c>
      <c r="E17" s="248">
        <v>1547490</v>
      </c>
      <c r="F17" s="671">
        <f>IF(E18&lt;&gt;0,-(E18-E17)/E18,"")</f>
        <v>-0.22639463576824384</v>
      </c>
      <c r="G17" s="247">
        <v>10003235.8</v>
      </c>
      <c r="H17" s="248">
        <v>1068642</v>
      </c>
      <c r="I17" s="249">
        <v>0.69</v>
      </c>
      <c r="J17" s="355" t="s">
        <v>564</v>
      </c>
      <c r="K17" s="248">
        <v>889193</v>
      </c>
      <c r="L17" s="676"/>
      <c r="M17" s="676"/>
    </row>
    <row r="18" spans="1:13" ht="19.5" thickBot="1">
      <c r="A18" s="125">
        <v>2011</v>
      </c>
      <c r="B18" s="126">
        <v>40571</v>
      </c>
      <c r="C18" s="127" t="s">
        <v>516</v>
      </c>
      <c r="D18" s="128">
        <v>18269978.5</v>
      </c>
      <c r="E18" s="129">
        <v>2000361</v>
      </c>
      <c r="F18" s="672"/>
      <c r="G18" s="128">
        <v>14251249.5</v>
      </c>
      <c r="H18" s="129">
        <v>1637665</v>
      </c>
      <c r="I18" s="130">
        <v>0.82</v>
      </c>
      <c r="J18" s="354" t="s">
        <v>576</v>
      </c>
      <c r="K18" s="129">
        <v>1060415</v>
      </c>
      <c r="L18" s="676"/>
      <c r="M18" s="676"/>
    </row>
    <row r="19" spans="1:13" ht="19.5" thickBot="1">
      <c r="A19" s="370"/>
      <c r="B19" s="371"/>
      <c r="C19" s="372"/>
      <c r="D19" s="373"/>
      <c r="E19" s="374"/>
      <c r="F19" s="374"/>
      <c r="G19" s="373"/>
      <c r="H19" s="374"/>
      <c r="I19" s="370"/>
      <c r="J19" s="375"/>
      <c r="K19" s="374"/>
      <c r="L19" s="676"/>
      <c r="M19" s="676"/>
    </row>
    <row r="20" spans="1:13" ht="18.75">
      <c r="A20" s="377">
        <v>2012</v>
      </c>
      <c r="B20" s="378" t="s">
        <v>572</v>
      </c>
      <c r="C20" s="379">
        <f aca="true" t="shared" si="0" ref="C20:E21">C5+C8+C11+C14+C17</f>
        <v>324</v>
      </c>
      <c r="D20" s="380">
        <f t="shared" si="0"/>
        <v>53664380.349999994</v>
      </c>
      <c r="E20" s="381">
        <f t="shared" si="0"/>
        <v>5620775</v>
      </c>
      <c r="F20" s="671">
        <f>IF(E21&lt;&gt;0,-(E21-E20)/E21,"")</f>
        <v>-0.2199929864556997</v>
      </c>
      <c r="G20" s="380">
        <f>G5+G8+G11+G14+G17</f>
        <v>26605974.200000003</v>
      </c>
      <c r="H20" s="381">
        <f>H5+H8+H11+H14</f>
        <v>1888175</v>
      </c>
      <c r="I20" s="377"/>
      <c r="J20" s="382"/>
      <c r="K20" s="381"/>
      <c r="L20" s="676"/>
      <c r="M20" s="676"/>
    </row>
    <row r="21" spans="1:13" ht="19.5" thickBot="1">
      <c r="A21" s="347">
        <v>2011</v>
      </c>
      <c r="B21" s="348" t="s">
        <v>572</v>
      </c>
      <c r="C21" s="349">
        <f t="shared" si="0"/>
        <v>270</v>
      </c>
      <c r="D21" s="350">
        <f t="shared" si="0"/>
        <v>66950648.5</v>
      </c>
      <c r="E21" s="351">
        <f t="shared" si="0"/>
        <v>7206057</v>
      </c>
      <c r="F21" s="672"/>
      <c r="G21" s="350">
        <f>G6+G9+G12+G15</f>
        <v>38211085</v>
      </c>
      <c r="H21" s="351">
        <f>H6+H9+H12+H15</f>
        <v>4244496</v>
      </c>
      <c r="I21" s="347"/>
      <c r="J21" s="352"/>
      <c r="K21" s="351"/>
      <c r="L21" s="676"/>
      <c r="M21" s="676"/>
    </row>
    <row r="22" spans="1:13" ht="18.75">
      <c r="A22" s="370"/>
      <c r="B22" s="371"/>
      <c r="C22" s="376"/>
      <c r="D22" s="373"/>
      <c r="E22" s="374"/>
      <c r="F22" s="374"/>
      <c r="G22" s="373"/>
      <c r="H22" s="374"/>
      <c r="I22" s="370"/>
      <c r="J22" s="375"/>
      <c r="K22" s="374"/>
      <c r="L22" s="676"/>
      <c r="M22" s="676"/>
    </row>
    <row r="23" spans="1:13" ht="18.75" customHeight="1">
      <c r="A23" s="669" t="s">
        <v>326</v>
      </c>
      <c r="B23" s="670"/>
      <c r="C23" s="670"/>
      <c r="D23" s="670"/>
      <c r="E23" s="670"/>
      <c r="F23" s="670"/>
      <c r="G23" s="670"/>
      <c r="H23" s="670"/>
      <c r="I23" s="670"/>
      <c r="J23" s="670"/>
      <c r="K23" s="670"/>
      <c r="L23" s="675" t="s">
        <v>622</v>
      </c>
      <c r="M23" s="676"/>
    </row>
    <row r="24" spans="1:13" s="103" customFormat="1" ht="18.75">
      <c r="A24" s="396"/>
      <c r="B24" s="397"/>
      <c r="C24" s="398" t="s">
        <v>311</v>
      </c>
      <c r="D24" s="399"/>
      <c r="E24" s="400" t="s">
        <v>314</v>
      </c>
      <c r="F24" s="396" t="s">
        <v>314</v>
      </c>
      <c r="G24" s="399" t="s">
        <v>318</v>
      </c>
      <c r="H24" s="399" t="s">
        <v>318</v>
      </c>
      <c r="I24" s="396" t="s">
        <v>319</v>
      </c>
      <c r="J24" s="396" t="s">
        <v>322</v>
      </c>
      <c r="K24" s="400" t="s">
        <v>316</v>
      </c>
      <c r="L24" s="676"/>
      <c r="M24" s="676"/>
    </row>
    <row r="25" spans="1:13" s="103" customFormat="1" ht="18.75">
      <c r="A25" s="396"/>
      <c r="B25" s="397"/>
      <c r="C25" s="398" t="s">
        <v>312</v>
      </c>
      <c r="D25" s="399" t="s">
        <v>314</v>
      </c>
      <c r="E25" s="400" t="s">
        <v>316</v>
      </c>
      <c r="F25" s="396" t="s">
        <v>328</v>
      </c>
      <c r="G25" s="399" t="s">
        <v>314</v>
      </c>
      <c r="H25" s="399" t="s">
        <v>314</v>
      </c>
      <c r="I25" s="396" t="s">
        <v>320</v>
      </c>
      <c r="J25" s="396" t="s">
        <v>323</v>
      </c>
      <c r="K25" s="400" t="s">
        <v>325</v>
      </c>
      <c r="L25" s="676"/>
      <c r="M25" s="676"/>
    </row>
    <row r="26" spans="1:13" s="103" customFormat="1" ht="19.5" customHeight="1" thickBot="1">
      <c r="A26" s="401" t="s">
        <v>309</v>
      </c>
      <c r="B26" s="402" t="s">
        <v>310</v>
      </c>
      <c r="C26" s="403" t="s">
        <v>313</v>
      </c>
      <c r="D26" s="404" t="s">
        <v>315</v>
      </c>
      <c r="E26" s="405" t="s">
        <v>317</v>
      </c>
      <c r="F26" s="401" t="s">
        <v>327</v>
      </c>
      <c r="G26" s="404" t="s">
        <v>315</v>
      </c>
      <c r="H26" s="404" t="s">
        <v>316</v>
      </c>
      <c r="I26" s="401" t="s">
        <v>321</v>
      </c>
      <c r="J26" s="401" t="s">
        <v>324</v>
      </c>
      <c r="K26" s="405" t="s">
        <v>313</v>
      </c>
      <c r="L26" s="676"/>
      <c r="M26" s="676"/>
    </row>
    <row r="27" spans="1:13" ht="18.75">
      <c r="A27" s="114">
        <v>2012</v>
      </c>
      <c r="B27" s="115">
        <v>40942</v>
      </c>
      <c r="C27" s="116" t="s">
        <v>408</v>
      </c>
      <c r="D27" s="117">
        <v>10223755.13</v>
      </c>
      <c r="E27" s="131">
        <v>1050884</v>
      </c>
      <c r="F27" s="678">
        <f>IF(E28&lt;&gt;0,-(E28-E27)/E28,"")</f>
        <v>-0.4292492359731071</v>
      </c>
      <c r="G27" s="133">
        <v>6067403.45</v>
      </c>
      <c r="H27" s="118">
        <v>661957</v>
      </c>
      <c r="I27" s="119">
        <v>0.63</v>
      </c>
      <c r="J27" s="355" t="s">
        <v>564</v>
      </c>
      <c r="K27" s="118">
        <v>519684</v>
      </c>
      <c r="L27" s="676"/>
      <c r="M27" s="676"/>
    </row>
    <row r="28" spans="1:13" ht="19.5" thickBot="1">
      <c r="A28" s="125">
        <v>2011</v>
      </c>
      <c r="B28" s="126">
        <v>40578</v>
      </c>
      <c r="C28" s="127" t="s">
        <v>507</v>
      </c>
      <c r="D28" s="128">
        <v>17381185.25</v>
      </c>
      <c r="E28" s="132">
        <v>1841231</v>
      </c>
      <c r="F28" s="679"/>
      <c r="G28" s="134">
        <v>13409573.25</v>
      </c>
      <c r="H28" s="129">
        <v>1486911</v>
      </c>
      <c r="I28" s="130">
        <v>0.81</v>
      </c>
      <c r="J28" s="354" t="s">
        <v>602</v>
      </c>
      <c r="K28" s="129">
        <v>621467</v>
      </c>
      <c r="L28" s="676"/>
      <c r="M28" s="676"/>
    </row>
    <row r="29" spans="12:13" ht="19.5" thickBot="1">
      <c r="L29" s="676"/>
      <c r="M29" s="676"/>
    </row>
    <row r="30" spans="1:13" ht="18.75">
      <c r="A30" s="244">
        <v>2012</v>
      </c>
      <c r="B30" s="245">
        <v>40949</v>
      </c>
      <c r="C30" s="246" t="s">
        <v>571</v>
      </c>
      <c r="D30" s="247">
        <v>7622079.26</v>
      </c>
      <c r="E30" s="248">
        <v>781077</v>
      </c>
      <c r="F30" s="671">
        <f>IF(E31&lt;&gt;0,-(E31-E30)/E31,"")</f>
        <v>-0.4228894502621863</v>
      </c>
      <c r="G30" s="247">
        <v>3333135.86</v>
      </c>
      <c r="H30" s="248">
        <v>377941</v>
      </c>
      <c r="I30" s="249">
        <v>0.48</v>
      </c>
      <c r="J30" s="355" t="s">
        <v>564</v>
      </c>
      <c r="K30" s="248">
        <v>281880</v>
      </c>
      <c r="L30" s="676"/>
      <c r="M30" s="676"/>
    </row>
    <row r="31" spans="1:13" ht="19.5" thickBot="1">
      <c r="A31" s="125">
        <v>2011</v>
      </c>
      <c r="B31" s="126">
        <v>40585</v>
      </c>
      <c r="C31" s="127" t="s">
        <v>522</v>
      </c>
      <c r="D31" s="128">
        <v>12737426</v>
      </c>
      <c r="E31" s="129">
        <v>1353427</v>
      </c>
      <c r="F31" s="672"/>
      <c r="G31" s="128">
        <v>9713903</v>
      </c>
      <c r="H31" s="129">
        <v>1076520</v>
      </c>
      <c r="I31" s="130">
        <v>0.8</v>
      </c>
      <c r="J31" s="354" t="s">
        <v>602</v>
      </c>
      <c r="K31" s="129">
        <v>620439</v>
      </c>
      <c r="L31" s="676"/>
      <c r="M31" s="676"/>
    </row>
    <row r="32" spans="12:13" ht="19.5" thickBot="1">
      <c r="L32" s="676"/>
      <c r="M32" s="676"/>
    </row>
    <row r="33" spans="1:13" ht="18.75">
      <c r="A33" s="244">
        <v>2012</v>
      </c>
      <c r="B33" s="245">
        <v>40956</v>
      </c>
      <c r="C33" s="246" t="s">
        <v>525</v>
      </c>
      <c r="D33" s="247">
        <v>24443123.92</v>
      </c>
      <c r="E33" s="248">
        <v>2732568</v>
      </c>
      <c r="F33" s="667">
        <f>IF(E34&lt;&gt;0,-(E34-E33)/E34,"")</f>
        <v>1.77254814423994</v>
      </c>
      <c r="G33" s="247">
        <v>20786816.67</v>
      </c>
      <c r="H33" s="248">
        <v>2386844</v>
      </c>
      <c r="I33" s="249">
        <v>0.87</v>
      </c>
      <c r="J33" s="355" t="s">
        <v>643</v>
      </c>
      <c r="K33" s="248">
        <v>2233041</v>
      </c>
      <c r="L33" s="676"/>
      <c r="M33" s="676"/>
    </row>
    <row r="34" spans="1:13" ht="19.5" thickBot="1">
      <c r="A34" s="125">
        <v>2011</v>
      </c>
      <c r="B34" s="126">
        <v>40585</v>
      </c>
      <c r="C34" s="127" t="s">
        <v>529</v>
      </c>
      <c r="D34" s="128">
        <v>9243878.25</v>
      </c>
      <c r="E34" s="129">
        <v>985580</v>
      </c>
      <c r="F34" s="668"/>
      <c r="G34" s="128">
        <v>6508163.25</v>
      </c>
      <c r="H34" s="129">
        <v>735944</v>
      </c>
      <c r="I34" s="130">
        <v>0.75</v>
      </c>
      <c r="J34" s="354" t="s">
        <v>602</v>
      </c>
      <c r="K34" s="129">
        <v>415293</v>
      </c>
      <c r="L34" s="676"/>
      <c r="M34" s="676"/>
    </row>
    <row r="35" spans="12:13" ht="19.5" thickBot="1">
      <c r="L35" s="676"/>
      <c r="M35" s="676"/>
    </row>
    <row r="36" spans="1:13" ht="18.75">
      <c r="A36" s="244">
        <v>2012</v>
      </c>
      <c r="B36" s="245">
        <v>40963</v>
      </c>
      <c r="C36" s="246" t="s">
        <v>533</v>
      </c>
      <c r="D36" s="247">
        <v>17106726.08</v>
      </c>
      <c r="E36" s="248">
        <v>2005416</v>
      </c>
      <c r="F36" s="667">
        <f>IF(E37&lt;&gt;0,-(E37-E36)/E37,"")</f>
        <v>0.9484889469265927</v>
      </c>
      <c r="G36" s="247">
        <v>14898565.52</v>
      </c>
      <c r="H36" s="248">
        <v>1732781</v>
      </c>
      <c r="I36" s="249">
        <v>0.67</v>
      </c>
      <c r="J36" s="355" t="s">
        <v>643</v>
      </c>
      <c r="K36" s="248">
        <v>1630125</v>
      </c>
      <c r="L36" s="676"/>
      <c r="M36" s="676"/>
    </row>
    <row r="37" spans="1:13" ht="19.5" thickBot="1">
      <c r="A37" s="125">
        <v>2011</v>
      </c>
      <c r="B37" s="126">
        <v>40599</v>
      </c>
      <c r="C37" s="127" t="s">
        <v>522</v>
      </c>
      <c r="D37" s="128">
        <v>9760322.25</v>
      </c>
      <c r="E37" s="129">
        <v>1029216</v>
      </c>
      <c r="F37" s="668"/>
      <c r="G37" s="128">
        <v>7071063.2</v>
      </c>
      <c r="H37" s="129">
        <v>791256</v>
      </c>
      <c r="I37" s="130">
        <v>0.77</v>
      </c>
      <c r="J37" s="354" t="s">
        <v>687</v>
      </c>
      <c r="K37" s="129">
        <v>334860</v>
      </c>
      <c r="L37" s="676"/>
      <c r="M37" s="676"/>
    </row>
    <row r="38" spans="1:13" ht="19.5" thickBot="1">
      <c r="A38" s="370"/>
      <c r="B38" s="371"/>
      <c r="C38" s="372"/>
      <c r="D38" s="373"/>
      <c r="E38" s="374"/>
      <c r="F38" s="374"/>
      <c r="G38" s="373"/>
      <c r="H38" s="374"/>
      <c r="I38" s="370"/>
      <c r="J38" s="375"/>
      <c r="K38" s="374"/>
      <c r="L38" s="676"/>
      <c r="M38" s="676"/>
    </row>
    <row r="39" spans="1:13" ht="18.75">
      <c r="A39" s="377">
        <v>2012</v>
      </c>
      <c r="B39" s="378" t="s">
        <v>622</v>
      </c>
      <c r="C39" s="379" t="s">
        <v>688</v>
      </c>
      <c r="D39" s="380">
        <f>D27+D30+D33+D36</f>
        <v>59395684.39</v>
      </c>
      <c r="E39" s="381">
        <f>E27+E30+E33+E36</f>
        <v>6569945</v>
      </c>
      <c r="F39" s="673">
        <f>IF(E40&lt;&gt;0,-(E40-E39)/E40,"")</f>
        <v>0.2611580791384279</v>
      </c>
      <c r="G39" s="380">
        <f>G27+G30+G33+G36</f>
        <v>45085921.5</v>
      </c>
      <c r="H39" s="381">
        <f>H27+H30+H33+H36</f>
        <v>5159523</v>
      </c>
      <c r="I39" s="377"/>
      <c r="J39" s="382"/>
      <c r="K39" s="381"/>
      <c r="L39" s="676"/>
      <c r="M39" s="676"/>
    </row>
    <row r="40" spans="1:13" ht="19.5" thickBot="1">
      <c r="A40" s="347">
        <v>2011</v>
      </c>
      <c r="B40" s="348" t="s">
        <v>622</v>
      </c>
      <c r="C40" s="349" t="s">
        <v>689</v>
      </c>
      <c r="D40" s="350">
        <f>D28+D31+D34+D37</f>
        <v>49122811.75</v>
      </c>
      <c r="E40" s="351">
        <f>E28+E31+E34+E37</f>
        <v>5209454</v>
      </c>
      <c r="F40" s="674"/>
      <c r="G40" s="350">
        <f>G28+G31+G34+G37</f>
        <v>36702702.7</v>
      </c>
      <c r="H40" s="351">
        <f>H28+H31+H34+H37</f>
        <v>4090631</v>
      </c>
      <c r="I40" s="347"/>
      <c r="J40" s="352"/>
      <c r="K40" s="351"/>
      <c r="L40" s="676"/>
      <c r="M40" s="676"/>
    </row>
    <row r="41" spans="1:13" ht="18.75">
      <c r="A41" s="370"/>
      <c r="B41" s="371"/>
      <c r="C41" s="376"/>
      <c r="D41" s="373"/>
      <c r="E41" s="374"/>
      <c r="F41" s="374"/>
      <c r="G41" s="373"/>
      <c r="H41" s="374"/>
      <c r="I41" s="370"/>
      <c r="J41" s="375"/>
      <c r="K41" s="374"/>
      <c r="L41" s="676"/>
      <c r="M41" s="676"/>
    </row>
    <row r="42" spans="1:13" ht="18.75" customHeight="1">
      <c r="A42" s="669" t="s">
        <v>326</v>
      </c>
      <c r="B42" s="670"/>
      <c r="C42" s="670"/>
      <c r="D42" s="670"/>
      <c r="E42" s="670"/>
      <c r="F42" s="670"/>
      <c r="G42" s="670"/>
      <c r="H42" s="670"/>
      <c r="I42" s="670"/>
      <c r="J42" s="670"/>
      <c r="K42" s="670"/>
      <c r="L42" s="680" t="s">
        <v>700</v>
      </c>
      <c r="M42" s="681"/>
    </row>
    <row r="43" spans="1:13" s="103" customFormat="1" ht="18.75">
      <c r="A43" s="396"/>
      <c r="B43" s="397"/>
      <c r="C43" s="398" t="s">
        <v>311</v>
      </c>
      <c r="D43" s="399"/>
      <c r="E43" s="400" t="s">
        <v>314</v>
      </c>
      <c r="F43" s="396" t="s">
        <v>314</v>
      </c>
      <c r="G43" s="399" t="s">
        <v>318</v>
      </c>
      <c r="H43" s="399" t="s">
        <v>318</v>
      </c>
      <c r="I43" s="396" t="s">
        <v>319</v>
      </c>
      <c r="J43" s="396" t="s">
        <v>322</v>
      </c>
      <c r="K43" s="400" t="s">
        <v>316</v>
      </c>
      <c r="L43" s="681"/>
      <c r="M43" s="681"/>
    </row>
    <row r="44" spans="1:13" s="103" customFormat="1" ht="18.75">
      <c r="A44" s="396"/>
      <c r="B44" s="397"/>
      <c r="C44" s="398" t="s">
        <v>312</v>
      </c>
      <c r="D44" s="399" t="s">
        <v>314</v>
      </c>
      <c r="E44" s="400" t="s">
        <v>316</v>
      </c>
      <c r="F44" s="396" t="s">
        <v>328</v>
      </c>
      <c r="G44" s="399" t="s">
        <v>314</v>
      </c>
      <c r="H44" s="399" t="s">
        <v>314</v>
      </c>
      <c r="I44" s="396" t="s">
        <v>320</v>
      </c>
      <c r="J44" s="396" t="s">
        <v>323</v>
      </c>
      <c r="K44" s="400" t="s">
        <v>325</v>
      </c>
      <c r="L44" s="681"/>
      <c r="M44" s="681"/>
    </row>
    <row r="45" spans="1:13" s="103" customFormat="1" ht="19.5" customHeight="1" thickBot="1">
      <c r="A45" s="401" t="s">
        <v>309</v>
      </c>
      <c r="B45" s="402" t="s">
        <v>310</v>
      </c>
      <c r="C45" s="403" t="s">
        <v>313</v>
      </c>
      <c r="D45" s="404" t="s">
        <v>315</v>
      </c>
      <c r="E45" s="405" t="s">
        <v>317</v>
      </c>
      <c r="F45" s="401" t="s">
        <v>327</v>
      </c>
      <c r="G45" s="404" t="s">
        <v>315</v>
      </c>
      <c r="H45" s="404" t="s">
        <v>316</v>
      </c>
      <c r="I45" s="401" t="s">
        <v>321</v>
      </c>
      <c r="J45" s="401" t="s">
        <v>324</v>
      </c>
      <c r="K45" s="405" t="s">
        <v>313</v>
      </c>
      <c r="L45" s="681"/>
      <c r="M45" s="681"/>
    </row>
    <row r="46" spans="1:13" ht="18.75">
      <c r="A46" s="114">
        <v>2012</v>
      </c>
      <c r="B46" s="115">
        <v>40970</v>
      </c>
      <c r="C46" s="116" t="s">
        <v>408</v>
      </c>
      <c r="D46" s="117">
        <v>16131169.8</v>
      </c>
      <c r="E46" s="131">
        <v>1799318</v>
      </c>
      <c r="F46" s="673">
        <f>IF(E47&lt;&gt;0,-(E47-E46)/E47,"")</f>
        <v>0.2971722461408917</v>
      </c>
      <c r="G46" s="133">
        <v>14172264.3</v>
      </c>
      <c r="H46" s="118">
        <v>1618102</v>
      </c>
      <c r="I46" s="119">
        <v>0.9</v>
      </c>
      <c r="J46" s="355" t="s">
        <v>643</v>
      </c>
      <c r="K46" s="118">
        <v>937424</v>
      </c>
      <c r="L46" s="681"/>
      <c r="M46" s="681"/>
    </row>
    <row r="47" spans="1:13" ht="19.5" thickBot="1">
      <c r="A47" s="125">
        <v>2011</v>
      </c>
      <c r="B47" s="126">
        <v>40606</v>
      </c>
      <c r="C47" s="127" t="s">
        <v>531</v>
      </c>
      <c r="D47" s="128">
        <v>8705189.75</v>
      </c>
      <c r="E47" s="132">
        <v>1387108</v>
      </c>
      <c r="F47" s="674"/>
      <c r="G47" s="134">
        <v>5569745.25</v>
      </c>
      <c r="H47" s="129">
        <v>642480</v>
      </c>
      <c r="I47" s="130">
        <v>0.46</v>
      </c>
      <c r="J47" s="354" t="s">
        <v>687</v>
      </c>
      <c r="K47" s="129">
        <v>219284</v>
      </c>
      <c r="L47" s="681"/>
      <c r="M47" s="681"/>
    </row>
    <row r="48" spans="12:13" ht="19.5" thickBot="1">
      <c r="L48" s="681"/>
      <c r="M48" s="681"/>
    </row>
    <row r="49" spans="1:13" ht="18.75">
      <c r="A49" s="244">
        <v>2012</v>
      </c>
      <c r="B49" s="245">
        <v>40977</v>
      </c>
      <c r="C49" s="246" t="s">
        <v>524</v>
      </c>
      <c r="D49" s="247">
        <v>13754343.86</v>
      </c>
      <c r="E49" s="248">
        <v>1514421</v>
      </c>
      <c r="F49" s="673">
        <f>IF(E50&lt;&gt;0,-(E50-E49)/E50,"")</f>
        <v>0.7522849159102348</v>
      </c>
      <c r="G49" s="247">
        <v>9453789.61</v>
      </c>
      <c r="H49" s="248">
        <v>1099077</v>
      </c>
      <c r="I49" s="249">
        <v>0.73</v>
      </c>
      <c r="J49" s="355" t="s">
        <v>643</v>
      </c>
      <c r="K49" s="248">
        <v>623396</v>
      </c>
      <c r="L49" s="681"/>
      <c r="M49" s="681"/>
    </row>
    <row r="50" spans="1:13" ht="19.5" thickBot="1">
      <c r="A50" s="125">
        <v>2011</v>
      </c>
      <c r="B50" s="126">
        <v>40979</v>
      </c>
      <c r="C50" s="127" t="s">
        <v>522</v>
      </c>
      <c r="D50" s="128">
        <v>8165624.95</v>
      </c>
      <c r="E50" s="129">
        <v>864255</v>
      </c>
      <c r="F50" s="674"/>
      <c r="G50" s="128">
        <v>5835354.25</v>
      </c>
      <c r="H50" s="129">
        <v>651479</v>
      </c>
      <c r="I50" s="130">
        <v>0.75</v>
      </c>
      <c r="J50" s="354" t="s">
        <v>749</v>
      </c>
      <c r="K50" s="129">
        <v>264008</v>
      </c>
      <c r="L50" s="681"/>
      <c r="M50" s="681"/>
    </row>
    <row r="51" spans="12:13" ht="19.5" thickBot="1">
      <c r="L51" s="681"/>
      <c r="M51" s="681"/>
    </row>
    <row r="52" spans="1:13" ht="18.75">
      <c r="A52" s="244"/>
      <c r="B52" s="245"/>
      <c r="C52" s="246"/>
      <c r="D52" s="247"/>
      <c r="E52" s="248"/>
      <c r="F52" s="667"/>
      <c r="G52" s="247"/>
      <c r="H52" s="248"/>
      <c r="I52" s="249"/>
      <c r="J52" s="355"/>
      <c r="K52" s="248"/>
      <c r="L52" s="681"/>
      <c r="M52" s="681"/>
    </row>
    <row r="53" spans="1:13" ht="19.5" thickBot="1">
      <c r="A53" s="125"/>
      <c r="B53" s="126"/>
      <c r="C53" s="127"/>
      <c r="D53" s="128"/>
      <c r="E53" s="129"/>
      <c r="F53" s="668"/>
      <c r="G53" s="128"/>
      <c r="H53" s="129"/>
      <c r="I53" s="130"/>
      <c r="J53" s="354"/>
      <c r="K53" s="129"/>
      <c r="L53" s="681"/>
      <c r="M53" s="681"/>
    </row>
    <row r="54" spans="12:13" ht="19.5" thickBot="1">
      <c r="L54" s="681"/>
      <c r="M54" s="681"/>
    </row>
    <row r="55" spans="1:13" ht="18.75">
      <c r="A55" s="244"/>
      <c r="B55" s="245"/>
      <c r="C55" s="246"/>
      <c r="D55" s="247"/>
      <c r="E55" s="248"/>
      <c r="F55" s="667"/>
      <c r="G55" s="247"/>
      <c r="H55" s="248"/>
      <c r="I55" s="249"/>
      <c r="J55" s="355"/>
      <c r="K55" s="248"/>
      <c r="L55" s="681"/>
      <c r="M55" s="681"/>
    </row>
    <row r="56" spans="1:13" ht="19.5" thickBot="1">
      <c r="A56" s="125"/>
      <c r="B56" s="126"/>
      <c r="C56" s="127"/>
      <c r="D56" s="128"/>
      <c r="E56" s="129"/>
      <c r="F56" s="668"/>
      <c r="G56" s="128"/>
      <c r="H56" s="129"/>
      <c r="I56" s="130"/>
      <c r="J56" s="354"/>
      <c r="K56" s="129"/>
      <c r="L56" s="681"/>
      <c r="M56" s="681"/>
    </row>
    <row r="57" spans="1:13" ht="19.5" thickBot="1">
      <c r="A57" s="370"/>
      <c r="B57" s="371"/>
      <c r="C57" s="372"/>
      <c r="D57" s="373"/>
      <c r="E57" s="374"/>
      <c r="F57" s="374"/>
      <c r="G57" s="373"/>
      <c r="H57" s="374"/>
      <c r="I57" s="370"/>
      <c r="J57" s="375"/>
      <c r="K57" s="374"/>
      <c r="L57" s="681"/>
      <c r="M57" s="681"/>
    </row>
    <row r="58" spans="1:13" ht="18.75">
      <c r="A58" s="377">
        <v>2012</v>
      </c>
      <c r="B58" s="378" t="s">
        <v>700</v>
      </c>
      <c r="C58" s="379" t="s">
        <v>750</v>
      </c>
      <c r="D58" s="380">
        <f>D46+D49+D52+D55</f>
        <v>29885513.66</v>
      </c>
      <c r="E58" s="381">
        <f>E46+E49+E52+E55</f>
        <v>3313739</v>
      </c>
      <c r="F58" s="673"/>
      <c r="G58" s="380">
        <f>G46+G49+G52+G55</f>
        <v>23626053.91</v>
      </c>
      <c r="H58" s="381">
        <f>H46+H49+H52+H55</f>
        <v>2717179</v>
      </c>
      <c r="I58" s="377"/>
      <c r="J58" s="382"/>
      <c r="K58" s="381"/>
      <c r="L58" s="681"/>
      <c r="M58" s="681"/>
    </row>
    <row r="59" spans="1:13" ht="19.5" thickBot="1">
      <c r="A59" s="347">
        <v>2011</v>
      </c>
      <c r="B59" s="348" t="s">
        <v>700</v>
      </c>
      <c r="C59" s="349" t="s">
        <v>751</v>
      </c>
      <c r="D59" s="350">
        <f>D47+D50+D53+D56</f>
        <v>16870814.7</v>
      </c>
      <c r="E59" s="351">
        <f>E47+E50+E53+E56</f>
        <v>2251363</v>
      </c>
      <c r="F59" s="674"/>
      <c r="G59" s="350">
        <f>G47+G50+G53+G56</f>
        <v>11405099.5</v>
      </c>
      <c r="H59" s="351">
        <f>H47+H50+H53+H56</f>
        <v>1293959</v>
      </c>
      <c r="I59" s="347"/>
      <c r="J59" s="352"/>
      <c r="K59" s="351"/>
      <c r="L59" s="681"/>
      <c r="M59" s="681"/>
    </row>
    <row r="60" spans="1:13" ht="18.75">
      <c r="A60" s="370"/>
      <c r="B60" s="371"/>
      <c r="C60" s="376"/>
      <c r="D60" s="373"/>
      <c r="E60" s="374"/>
      <c r="F60" s="374"/>
      <c r="G60" s="373"/>
      <c r="H60" s="374"/>
      <c r="I60" s="370"/>
      <c r="J60" s="375"/>
      <c r="K60" s="374"/>
      <c r="L60" s="681"/>
      <c r="M60" s="681"/>
    </row>
    <row r="61" spans="1:13" ht="18.75">
      <c r="A61" s="857">
        <v>2012</v>
      </c>
      <c r="B61" s="858" t="s">
        <v>752</v>
      </c>
      <c r="C61" s="859"/>
      <c r="D61" s="860">
        <f>D20+D39+D58</f>
        <v>142945578.4</v>
      </c>
      <c r="E61" s="861">
        <f>E20+E39+E58</f>
        <v>15504459</v>
      </c>
      <c r="F61" s="861"/>
      <c r="G61" s="860">
        <f>G20+G39+G58</f>
        <v>95317949.61</v>
      </c>
      <c r="H61" s="861">
        <f>H20+H39+H58</f>
        <v>9764877</v>
      </c>
      <c r="I61" s="857"/>
      <c r="J61" s="862"/>
      <c r="K61" s="861"/>
      <c r="L61" s="857"/>
      <c r="M61" s="857"/>
    </row>
    <row r="62" spans="1:13" ht="18.75">
      <c r="A62" s="851">
        <v>2011</v>
      </c>
      <c r="B62" s="852" t="s">
        <v>752</v>
      </c>
      <c r="C62" s="853"/>
      <c r="D62" s="854">
        <f>D21+D40+D59</f>
        <v>132944274.95</v>
      </c>
      <c r="E62" s="855">
        <f>E21+E40+E59</f>
        <v>14666874</v>
      </c>
      <c r="F62" s="855"/>
      <c r="G62" s="854">
        <f>G21+G40+G59</f>
        <v>86318887.2</v>
      </c>
      <c r="H62" s="855">
        <f>H21+H40+H59</f>
        <v>9629086</v>
      </c>
      <c r="I62" s="851"/>
      <c r="J62" s="856"/>
      <c r="K62" s="855"/>
      <c r="L62" s="851"/>
      <c r="M62" s="851"/>
    </row>
  </sheetData>
  <sheetProtection/>
  <mergeCells count="22">
    <mergeCell ref="F55:F56"/>
    <mergeCell ref="F58:F59"/>
    <mergeCell ref="F30:F31"/>
    <mergeCell ref="L1:M22"/>
    <mergeCell ref="F27:F28"/>
    <mergeCell ref="A23:K23"/>
    <mergeCell ref="F20:F21"/>
    <mergeCell ref="A42:K42"/>
    <mergeCell ref="L42:M60"/>
    <mergeCell ref="F46:F47"/>
    <mergeCell ref="F49:F50"/>
    <mergeCell ref="F52:F53"/>
    <mergeCell ref="F33:F34"/>
    <mergeCell ref="A1:K1"/>
    <mergeCell ref="F5:F6"/>
    <mergeCell ref="F8:F9"/>
    <mergeCell ref="F39:F40"/>
    <mergeCell ref="L23:M41"/>
    <mergeCell ref="F11:F12"/>
    <mergeCell ref="F14:F15"/>
    <mergeCell ref="F17:F18"/>
    <mergeCell ref="F36:F37"/>
  </mergeCells>
  <printOptions/>
  <pageMargins left="0.7" right="0.7" top="0.75" bottom="0.75" header="0.3" footer="0.3"/>
  <pageSetup horizontalDpi="600" verticalDpi="600" orientation="portrait" paperSize="9" r:id="rId1"/>
  <ignoredErrors>
    <ignoredError sqref="C6 C8:C12 C14:C15 C27:C28 C17:C18 C30:C31 C33:C34 C36:C37 C39:C40 C46:C47 C49:C50 C58:C59" numberStoredAsText="1"/>
  </ignoredErrors>
</worksheet>
</file>

<file path=xl/worksheets/sheet7.xml><?xml version="1.0" encoding="utf-8"?>
<worksheet xmlns="http://schemas.openxmlformats.org/spreadsheetml/2006/main" xmlns:r="http://schemas.openxmlformats.org/officeDocument/2006/relationships">
  <dimension ref="A1:X173"/>
  <sheetViews>
    <sheetView zoomScale="80" zoomScaleNormal="80" zoomScalePageLayoutView="0" workbookViewId="0" topLeftCell="A145">
      <selection activeCell="A185" sqref="A185"/>
    </sheetView>
  </sheetViews>
  <sheetFormatPr defaultColWidth="9.140625" defaultRowHeight="12.75"/>
  <cols>
    <col min="1" max="1" width="3.00390625" style="146" bestFit="1" customWidth="1"/>
    <col min="2" max="2" width="4.7109375" style="146" bestFit="1" customWidth="1"/>
    <col min="3" max="3" width="31.00390625" style="159" bestFit="1" customWidth="1"/>
    <col min="4" max="4" width="8.8515625" style="148" bestFit="1" customWidth="1"/>
    <col min="5" max="9" width="4.5742187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182" customWidth="1"/>
  </cols>
  <sheetData>
    <row r="1" spans="1:24" ht="15.75">
      <c r="A1" s="161"/>
      <c r="B1" s="161"/>
      <c r="C1" s="162"/>
      <c r="D1" s="682" t="s">
        <v>334</v>
      </c>
      <c r="E1" s="683"/>
      <c r="F1" s="683"/>
      <c r="G1" s="683"/>
      <c r="H1" s="683"/>
      <c r="I1" s="683"/>
      <c r="J1" s="683"/>
      <c r="K1" s="683"/>
      <c r="L1" s="683"/>
      <c r="M1" s="683"/>
      <c r="N1" s="683"/>
      <c r="O1" s="683"/>
      <c r="P1" s="683"/>
      <c r="Q1" s="683"/>
      <c r="R1" s="683"/>
      <c r="S1" s="683"/>
      <c r="T1" s="683"/>
      <c r="U1" s="683"/>
      <c r="V1" s="683"/>
      <c r="W1" s="683"/>
      <c r="X1" s="683"/>
    </row>
    <row r="2" spans="1:24" ht="15.75">
      <c r="A2" s="161"/>
      <c r="B2" s="161"/>
      <c r="C2" s="162"/>
      <c r="D2" s="683"/>
      <c r="E2" s="683"/>
      <c r="F2" s="683"/>
      <c r="G2" s="683"/>
      <c r="H2" s="683"/>
      <c r="I2" s="683"/>
      <c r="J2" s="683"/>
      <c r="K2" s="683"/>
      <c r="L2" s="683"/>
      <c r="M2" s="683"/>
      <c r="N2" s="683"/>
      <c r="O2" s="683"/>
      <c r="P2" s="683"/>
      <c r="Q2" s="683"/>
      <c r="R2" s="683"/>
      <c r="S2" s="683"/>
      <c r="T2" s="683"/>
      <c r="U2" s="683"/>
      <c r="V2" s="683"/>
      <c r="W2" s="683"/>
      <c r="X2" s="683"/>
    </row>
    <row r="3" spans="1:24" ht="15.75">
      <c r="A3" s="161"/>
      <c r="B3" s="161"/>
      <c r="C3" s="163"/>
      <c r="D3" s="147" t="s">
        <v>329</v>
      </c>
      <c r="E3" s="136">
        <v>1</v>
      </c>
      <c r="F3" s="136">
        <v>2</v>
      </c>
      <c r="G3" s="136">
        <v>3</v>
      </c>
      <c r="H3" s="136">
        <v>4</v>
      </c>
      <c r="I3" s="136">
        <v>5</v>
      </c>
      <c r="J3" s="136">
        <v>6</v>
      </c>
      <c r="K3" s="136">
        <v>7</v>
      </c>
      <c r="L3" s="136">
        <v>8</v>
      </c>
      <c r="M3" s="136">
        <v>9</v>
      </c>
      <c r="N3" s="136">
        <v>10</v>
      </c>
      <c r="O3" s="136">
        <v>11</v>
      </c>
      <c r="P3" s="136">
        <v>12</v>
      </c>
      <c r="Q3" s="136">
        <v>13</v>
      </c>
      <c r="R3" s="136">
        <v>14</v>
      </c>
      <c r="S3" s="136">
        <v>15</v>
      </c>
      <c r="T3" s="136">
        <v>16</v>
      </c>
      <c r="U3" s="136">
        <v>17</v>
      </c>
      <c r="V3" s="136">
        <v>18</v>
      </c>
      <c r="W3" s="137" t="s">
        <v>310</v>
      </c>
      <c r="X3" s="138"/>
    </row>
    <row r="4" spans="1:24" ht="16.5" thickBot="1">
      <c r="A4" s="164"/>
      <c r="B4" s="164"/>
      <c r="C4" s="165"/>
      <c r="D4" s="151" t="s">
        <v>331</v>
      </c>
      <c r="E4" s="166">
        <v>0.75</v>
      </c>
      <c r="F4" s="166">
        <v>0.25</v>
      </c>
      <c r="G4" s="166">
        <v>3</v>
      </c>
      <c r="H4" s="166">
        <v>2</v>
      </c>
      <c r="I4" s="166">
        <v>0.75</v>
      </c>
      <c r="J4" s="166">
        <v>-3</v>
      </c>
      <c r="K4" s="166">
        <v>-4</v>
      </c>
      <c r="L4" s="166">
        <v>20</v>
      </c>
      <c r="M4" s="166">
        <v>10</v>
      </c>
      <c r="N4" s="166">
        <v>5</v>
      </c>
      <c r="O4" s="166">
        <v>3</v>
      </c>
      <c r="P4" s="166">
        <v>5</v>
      </c>
      <c r="Q4" s="166">
        <v>7</v>
      </c>
      <c r="R4" s="166">
        <v>3</v>
      </c>
      <c r="S4" s="166">
        <v>3</v>
      </c>
      <c r="T4" s="166">
        <v>3</v>
      </c>
      <c r="U4" s="166">
        <v>8.25</v>
      </c>
      <c r="V4" s="166">
        <v>16</v>
      </c>
      <c r="W4" s="152" t="s">
        <v>330</v>
      </c>
      <c r="X4" s="153" t="s">
        <v>310</v>
      </c>
    </row>
    <row r="5" spans="1:24" ht="16.5">
      <c r="A5" s="160">
        <v>1</v>
      </c>
      <c r="B5" s="160"/>
      <c r="C5" s="167" t="s">
        <v>8</v>
      </c>
      <c r="D5" s="149">
        <v>27.25</v>
      </c>
      <c r="E5" s="140">
        <v>1.5</v>
      </c>
      <c r="F5" s="140">
        <v>0.75</v>
      </c>
      <c r="G5" s="140">
        <v>0</v>
      </c>
      <c r="H5" s="140">
        <v>2</v>
      </c>
      <c r="I5" s="140">
        <v>0</v>
      </c>
      <c r="J5" s="140">
        <v>0</v>
      </c>
      <c r="K5" s="140">
        <v>0</v>
      </c>
      <c r="L5" s="139">
        <v>0</v>
      </c>
      <c r="M5" s="139">
        <v>0</v>
      </c>
      <c r="N5" s="140">
        <v>5</v>
      </c>
      <c r="O5" s="140">
        <v>3</v>
      </c>
      <c r="P5" s="140">
        <v>5</v>
      </c>
      <c r="Q5" s="140">
        <v>7</v>
      </c>
      <c r="R5" s="140">
        <v>3</v>
      </c>
      <c r="S5" s="140">
        <v>0</v>
      </c>
      <c r="T5" s="140">
        <v>0</v>
      </c>
      <c r="U5" s="140">
        <v>0</v>
      </c>
      <c r="V5" s="140">
        <v>0</v>
      </c>
      <c r="W5" s="140">
        <v>27.25</v>
      </c>
      <c r="X5" s="141">
        <v>1</v>
      </c>
    </row>
    <row r="6" spans="1:24" ht="16.5">
      <c r="A6" s="146">
        <v>2</v>
      </c>
      <c r="C6" s="168" t="s">
        <v>333</v>
      </c>
      <c r="D6" s="149">
        <v>13.5</v>
      </c>
      <c r="E6" s="140">
        <v>5.25</v>
      </c>
      <c r="F6" s="140">
        <v>3.5</v>
      </c>
      <c r="G6" s="140">
        <v>0</v>
      </c>
      <c r="H6" s="140">
        <v>4</v>
      </c>
      <c r="I6" s="142">
        <v>0.75</v>
      </c>
      <c r="J6" s="140">
        <v>0</v>
      </c>
      <c r="K6" s="140">
        <v>0</v>
      </c>
      <c r="L6" s="139">
        <v>0</v>
      </c>
      <c r="M6" s="139">
        <v>0</v>
      </c>
      <c r="N6" s="142">
        <v>0</v>
      </c>
      <c r="O6" s="142">
        <v>0</v>
      </c>
      <c r="P6" s="142">
        <v>0</v>
      </c>
      <c r="Q6" s="142">
        <v>0</v>
      </c>
      <c r="R6" s="142">
        <v>0</v>
      </c>
      <c r="S6" s="142">
        <v>0</v>
      </c>
      <c r="T6" s="142">
        <v>0</v>
      </c>
      <c r="U6" s="142">
        <v>0</v>
      </c>
      <c r="V6" s="142">
        <v>0</v>
      </c>
      <c r="W6" s="140">
        <v>13.5</v>
      </c>
      <c r="X6" s="141">
        <v>1</v>
      </c>
    </row>
    <row r="7" spans="1:24" ht="16.5">
      <c r="A7" s="160">
        <v>3</v>
      </c>
      <c r="B7" s="160"/>
      <c r="C7" s="169" t="s">
        <v>10</v>
      </c>
      <c r="D7" s="149">
        <v>6.75</v>
      </c>
      <c r="E7" s="139">
        <v>0.75</v>
      </c>
      <c r="F7" s="139">
        <v>1</v>
      </c>
      <c r="G7" s="139">
        <v>0</v>
      </c>
      <c r="H7" s="139">
        <v>2</v>
      </c>
      <c r="I7" s="139">
        <v>0</v>
      </c>
      <c r="J7" s="139">
        <v>0</v>
      </c>
      <c r="K7" s="139">
        <v>0</v>
      </c>
      <c r="L7" s="139">
        <v>0</v>
      </c>
      <c r="M7" s="139">
        <v>0</v>
      </c>
      <c r="N7" s="139">
        <v>0</v>
      </c>
      <c r="O7" s="139">
        <v>0</v>
      </c>
      <c r="P7" s="139">
        <v>0</v>
      </c>
      <c r="Q7" s="139">
        <v>0</v>
      </c>
      <c r="R7" s="139">
        <v>0</v>
      </c>
      <c r="S7" s="139">
        <v>0</v>
      </c>
      <c r="T7" s="139">
        <v>3</v>
      </c>
      <c r="U7" s="139">
        <v>0</v>
      </c>
      <c r="V7" s="139">
        <v>0</v>
      </c>
      <c r="W7" s="140">
        <v>6.75</v>
      </c>
      <c r="X7" s="141">
        <v>1</v>
      </c>
    </row>
    <row r="8" spans="1:24" ht="16.5">
      <c r="A8" s="146">
        <v>4</v>
      </c>
      <c r="C8" s="168" t="s">
        <v>12</v>
      </c>
      <c r="D8" s="149">
        <v>6.25</v>
      </c>
      <c r="E8" s="140">
        <v>0.75</v>
      </c>
      <c r="F8" s="140">
        <v>2.5</v>
      </c>
      <c r="G8" s="140">
        <v>0</v>
      </c>
      <c r="H8" s="140">
        <v>0</v>
      </c>
      <c r="I8" s="140">
        <v>0</v>
      </c>
      <c r="J8" s="140">
        <v>0</v>
      </c>
      <c r="K8" s="140">
        <v>0</v>
      </c>
      <c r="L8" s="139">
        <v>0</v>
      </c>
      <c r="M8" s="139">
        <v>0</v>
      </c>
      <c r="N8" s="140">
        <v>0</v>
      </c>
      <c r="O8" s="140">
        <v>0</v>
      </c>
      <c r="P8" s="140">
        <v>0</v>
      </c>
      <c r="Q8" s="140">
        <v>0</v>
      </c>
      <c r="R8" s="140">
        <v>0</v>
      </c>
      <c r="S8" s="140">
        <v>3</v>
      </c>
      <c r="T8" s="140">
        <v>0</v>
      </c>
      <c r="U8" s="140">
        <v>0</v>
      </c>
      <c r="V8" s="140">
        <v>0</v>
      </c>
      <c r="W8" s="140">
        <v>6.25</v>
      </c>
      <c r="X8" s="141">
        <v>1</v>
      </c>
    </row>
    <row r="9" spans="1:24" ht="16.5">
      <c r="A9" s="160">
        <v>5</v>
      </c>
      <c r="B9" s="160"/>
      <c r="C9" s="167" t="s">
        <v>53</v>
      </c>
      <c r="D9" s="149">
        <v>3.5</v>
      </c>
      <c r="E9" s="140">
        <v>3</v>
      </c>
      <c r="F9" s="140">
        <v>0.5</v>
      </c>
      <c r="G9" s="140">
        <v>0</v>
      </c>
      <c r="H9" s="140">
        <v>0</v>
      </c>
      <c r="I9" s="140">
        <v>0</v>
      </c>
      <c r="J9" s="140">
        <v>0</v>
      </c>
      <c r="K9" s="140">
        <v>0</v>
      </c>
      <c r="L9" s="139">
        <v>0</v>
      </c>
      <c r="M9" s="139">
        <v>0</v>
      </c>
      <c r="N9" s="140">
        <v>0</v>
      </c>
      <c r="O9" s="140">
        <v>0</v>
      </c>
      <c r="P9" s="140">
        <v>0</v>
      </c>
      <c r="Q9" s="140">
        <v>0</v>
      </c>
      <c r="R9" s="140">
        <v>0</v>
      </c>
      <c r="S9" s="140">
        <v>0</v>
      </c>
      <c r="T9" s="140">
        <v>0</v>
      </c>
      <c r="U9" s="140">
        <v>0</v>
      </c>
      <c r="V9" s="140">
        <v>0</v>
      </c>
      <c r="W9" s="140">
        <v>3.5</v>
      </c>
      <c r="X9" s="141">
        <v>1</v>
      </c>
    </row>
    <row r="10" spans="1:24" ht="16.5">
      <c r="A10" s="161">
        <v>6</v>
      </c>
      <c r="B10" s="161"/>
      <c r="C10" s="168" t="s">
        <v>52</v>
      </c>
      <c r="D10" s="149">
        <v>2.25</v>
      </c>
      <c r="E10" s="140">
        <v>1.5</v>
      </c>
      <c r="F10" s="140">
        <v>0.75</v>
      </c>
      <c r="G10" s="140">
        <v>0</v>
      </c>
      <c r="H10" s="140">
        <v>0</v>
      </c>
      <c r="I10" s="140">
        <v>0</v>
      </c>
      <c r="J10" s="140">
        <v>0</v>
      </c>
      <c r="K10" s="140">
        <v>0</v>
      </c>
      <c r="L10" s="139">
        <v>0</v>
      </c>
      <c r="M10" s="139">
        <v>0</v>
      </c>
      <c r="N10" s="140">
        <v>0</v>
      </c>
      <c r="O10" s="140">
        <v>0</v>
      </c>
      <c r="P10" s="140">
        <v>0</v>
      </c>
      <c r="Q10" s="140">
        <v>0</v>
      </c>
      <c r="R10" s="140">
        <v>0</v>
      </c>
      <c r="S10" s="140">
        <v>0</v>
      </c>
      <c r="T10" s="140">
        <v>0</v>
      </c>
      <c r="U10" s="140">
        <v>0</v>
      </c>
      <c r="V10" s="140">
        <v>0</v>
      </c>
      <c r="W10" s="140">
        <v>2.25</v>
      </c>
      <c r="X10" s="141">
        <v>1</v>
      </c>
    </row>
    <row r="11" spans="1:24" ht="16.5">
      <c r="A11" s="160">
        <v>7</v>
      </c>
      <c r="B11" s="160"/>
      <c r="C11" s="167" t="s">
        <v>121</v>
      </c>
      <c r="D11" s="149">
        <v>0.75</v>
      </c>
      <c r="E11" s="140">
        <v>0.75</v>
      </c>
      <c r="F11" s="140">
        <v>0</v>
      </c>
      <c r="G11" s="140">
        <v>0</v>
      </c>
      <c r="H11" s="140">
        <v>0</v>
      </c>
      <c r="I11" s="140">
        <v>0</v>
      </c>
      <c r="J11" s="140">
        <v>0</v>
      </c>
      <c r="K11" s="140">
        <v>0</v>
      </c>
      <c r="L11" s="139">
        <v>0</v>
      </c>
      <c r="M11" s="139">
        <v>0</v>
      </c>
      <c r="N11" s="140">
        <v>0</v>
      </c>
      <c r="O11" s="140">
        <v>0</v>
      </c>
      <c r="P11" s="140">
        <v>0</v>
      </c>
      <c r="Q11" s="140">
        <v>0</v>
      </c>
      <c r="R11" s="140">
        <v>0</v>
      </c>
      <c r="S11" s="140">
        <v>0</v>
      </c>
      <c r="T11" s="140">
        <v>0</v>
      </c>
      <c r="U11" s="140">
        <v>0</v>
      </c>
      <c r="V11" s="140">
        <v>0</v>
      </c>
      <c r="W11" s="140">
        <v>0.75</v>
      </c>
      <c r="X11" s="141">
        <v>1</v>
      </c>
    </row>
    <row r="12" spans="1:24" ht="17.25" thickBot="1">
      <c r="A12" s="164">
        <v>8</v>
      </c>
      <c r="B12" s="164"/>
      <c r="C12" s="170" t="s">
        <v>332</v>
      </c>
      <c r="D12" s="155">
        <v>-1</v>
      </c>
      <c r="E12" s="156">
        <v>0</v>
      </c>
      <c r="F12" s="156">
        <v>1</v>
      </c>
      <c r="G12" s="156">
        <v>0</v>
      </c>
      <c r="H12" s="156">
        <v>4</v>
      </c>
      <c r="I12" s="156">
        <v>0</v>
      </c>
      <c r="J12" s="156">
        <v>-6</v>
      </c>
      <c r="K12" s="156">
        <v>0</v>
      </c>
      <c r="L12" s="158">
        <v>0</v>
      </c>
      <c r="M12" s="158">
        <v>0</v>
      </c>
      <c r="N12" s="156">
        <v>0</v>
      </c>
      <c r="O12" s="156">
        <v>0</v>
      </c>
      <c r="P12" s="156">
        <v>0</v>
      </c>
      <c r="Q12" s="156">
        <v>0</v>
      </c>
      <c r="R12" s="156">
        <v>0</v>
      </c>
      <c r="S12" s="156">
        <v>0</v>
      </c>
      <c r="T12" s="156">
        <v>0</v>
      </c>
      <c r="U12" s="156">
        <v>0</v>
      </c>
      <c r="V12" s="156">
        <v>0</v>
      </c>
      <c r="W12" s="156">
        <v>-1</v>
      </c>
      <c r="X12" s="157">
        <v>1</v>
      </c>
    </row>
    <row r="13" spans="1:24" ht="15.75">
      <c r="A13" s="161"/>
      <c r="B13" s="161"/>
      <c r="C13" s="163"/>
      <c r="D13" s="150"/>
      <c r="E13" s="143"/>
      <c r="F13" s="143"/>
      <c r="G13" s="143"/>
      <c r="H13" s="144"/>
      <c r="I13" s="144"/>
      <c r="J13" s="143"/>
      <c r="K13" s="143"/>
      <c r="L13" s="143"/>
      <c r="M13" s="143"/>
      <c r="N13" s="143"/>
      <c r="O13" s="143"/>
      <c r="P13" s="143"/>
      <c r="Q13" s="143"/>
      <c r="R13" s="143"/>
      <c r="S13" s="143"/>
      <c r="T13" s="143"/>
      <c r="U13" s="143"/>
      <c r="V13" s="143"/>
      <c r="W13" s="145"/>
      <c r="X13" s="135"/>
    </row>
    <row r="14" spans="1:24" ht="15.75">
      <c r="A14" s="161"/>
      <c r="B14" s="161"/>
      <c r="C14" s="163"/>
      <c r="D14" s="682" t="s">
        <v>369</v>
      </c>
      <c r="E14" s="683"/>
      <c r="F14" s="683"/>
      <c r="G14" s="683"/>
      <c r="H14" s="683"/>
      <c r="I14" s="683"/>
      <c r="J14" s="683"/>
      <c r="K14" s="683"/>
      <c r="L14" s="683"/>
      <c r="M14" s="683"/>
      <c r="N14" s="683"/>
      <c r="O14" s="683"/>
      <c r="P14" s="683"/>
      <c r="Q14" s="683"/>
      <c r="R14" s="683"/>
      <c r="S14" s="683"/>
      <c r="T14" s="683"/>
      <c r="U14" s="683"/>
      <c r="V14" s="683"/>
      <c r="W14" s="683"/>
      <c r="X14" s="683"/>
    </row>
    <row r="15" spans="1:24" ht="15.75">
      <c r="A15" s="161"/>
      <c r="B15" s="161"/>
      <c r="C15" s="163"/>
      <c r="D15" s="683"/>
      <c r="E15" s="683"/>
      <c r="F15" s="683"/>
      <c r="G15" s="683"/>
      <c r="H15" s="683"/>
      <c r="I15" s="683"/>
      <c r="J15" s="683"/>
      <c r="K15" s="683"/>
      <c r="L15" s="683"/>
      <c r="M15" s="683"/>
      <c r="N15" s="683"/>
      <c r="O15" s="683"/>
      <c r="P15" s="683"/>
      <c r="Q15" s="683"/>
      <c r="R15" s="683"/>
      <c r="S15" s="683"/>
      <c r="T15" s="683"/>
      <c r="U15" s="683"/>
      <c r="V15" s="683"/>
      <c r="W15" s="683"/>
      <c r="X15" s="683"/>
    </row>
    <row r="16" spans="1:24" ht="15.75">
      <c r="A16" s="161"/>
      <c r="B16" s="161"/>
      <c r="C16" s="163"/>
      <c r="D16" s="147" t="s">
        <v>329</v>
      </c>
      <c r="E16" s="136">
        <v>1</v>
      </c>
      <c r="F16" s="136">
        <v>2</v>
      </c>
      <c r="G16" s="136">
        <v>3</v>
      </c>
      <c r="H16" s="136">
        <v>4</v>
      </c>
      <c r="I16" s="136">
        <v>5</v>
      </c>
      <c r="J16" s="136">
        <v>6</v>
      </c>
      <c r="K16" s="136">
        <v>7</v>
      </c>
      <c r="L16" s="136">
        <v>8</v>
      </c>
      <c r="M16" s="136">
        <v>9</v>
      </c>
      <c r="N16" s="136">
        <v>10</v>
      </c>
      <c r="O16" s="136">
        <v>11</v>
      </c>
      <c r="P16" s="136">
        <v>12</v>
      </c>
      <c r="Q16" s="136">
        <v>13</v>
      </c>
      <c r="R16" s="136">
        <v>14</v>
      </c>
      <c r="S16" s="136">
        <v>15</v>
      </c>
      <c r="T16" s="136">
        <v>16</v>
      </c>
      <c r="U16" s="136">
        <v>17</v>
      </c>
      <c r="V16" s="136">
        <v>18</v>
      </c>
      <c r="W16" s="137" t="s">
        <v>310</v>
      </c>
      <c r="X16" s="138"/>
    </row>
    <row r="17" spans="1:24" ht="16.5" thickBot="1">
      <c r="A17" s="164"/>
      <c r="B17" s="164"/>
      <c r="C17" s="165"/>
      <c r="D17" s="151" t="s">
        <v>331</v>
      </c>
      <c r="E17" s="166">
        <v>0.75</v>
      </c>
      <c r="F17" s="166">
        <v>0.25</v>
      </c>
      <c r="G17" s="166">
        <v>3</v>
      </c>
      <c r="H17" s="166">
        <v>2</v>
      </c>
      <c r="I17" s="166">
        <v>0.75</v>
      </c>
      <c r="J17" s="166">
        <v>-3</v>
      </c>
      <c r="K17" s="166">
        <v>-4</v>
      </c>
      <c r="L17" s="166">
        <v>20</v>
      </c>
      <c r="M17" s="166">
        <v>10</v>
      </c>
      <c r="N17" s="166">
        <v>5</v>
      </c>
      <c r="O17" s="166">
        <v>3</v>
      </c>
      <c r="P17" s="166">
        <v>5</v>
      </c>
      <c r="Q17" s="166">
        <v>7</v>
      </c>
      <c r="R17" s="166">
        <v>3</v>
      </c>
      <c r="S17" s="166">
        <v>3</v>
      </c>
      <c r="T17" s="166">
        <v>3</v>
      </c>
      <c r="U17" s="166">
        <v>8.25</v>
      </c>
      <c r="V17" s="166">
        <v>16</v>
      </c>
      <c r="W17" s="152" t="s">
        <v>330</v>
      </c>
      <c r="X17" s="153" t="s">
        <v>310</v>
      </c>
    </row>
    <row r="18" spans="1:24" ht="19.5">
      <c r="A18" s="160">
        <v>1</v>
      </c>
      <c r="B18" s="175">
        <v>4</v>
      </c>
      <c r="C18" s="171" t="s">
        <v>8</v>
      </c>
      <c r="D18" s="149">
        <f>W5+W18</f>
        <v>39.5</v>
      </c>
      <c r="E18" s="140">
        <v>1.5</v>
      </c>
      <c r="F18" s="140">
        <v>0.75</v>
      </c>
      <c r="G18" s="140">
        <v>0</v>
      </c>
      <c r="H18" s="140">
        <v>2</v>
      </c>
      <c r="I18" s="140">
        <v>0</v>
      </c>
      <c r="J18" s="140">
        <v>0</v>
      </c>
      <c r="K18" s="140">
        <v>0</v>
      </c>
      <c r="L18" s="140">
        <v>0</v>
      </c>
      <c r="M18" s="140">
        <v>0</v>
      </c>
      <c r="N18" s="140">
        <v>0</v>
      </c>
      <c r="O18" s="140">
        <v>0</v>
      </c>
      <c r="P18" s="140">
        <v>5</v>
      </c>
      <c r="Q18" s="140">
        <v>0</v>
      </c>
      <c r="R18" s="140">
        <v>3</v>
      </c>
      <c r="S18" s="140">
        <v>0</v>
      </c>
      <c r="T18" s="140">
        <v>0</v>
      </c>
      <c r="U18" s="140">
        <v>0</v>
      </c>
      <c r="V18" s="140">
        <v>0</v>
      </c>
      <c r="W18" s="140">
        <f>SUM(E18:V18)</f>
        <v>12.25</v>
      </c>
      <c r="X18" s="141">
        <v>2</v>
      </c>
    </row>
    <row r="19" spans="1:24" ht="19.5">
      <c r="A19" s="146">
        <v>2</v>
      </c>
      <c r="B19" s="176">
        <v>4</v>
      </c>
      <c r="C19" s="172" t="s">
        <v>333</v>
      </c>
      <c r="D19" s="149">
        <f aca="true" t="shared" si="0" ref="D19:D25">W6+W19</f>
        <v>36.5</v>
      </c>
      <c r="E19" s="140">
        <v>6.75</v>
      </c>
      <c r="F19" s="140">
        <v>4.5</v>
      </c>
      <c r="G19" s="140">
        <v>0</v>
      </c>
      <c r="H19" s="140">
        <v>4</v>
      </c>
      <c r="I19" s="140">
        <v>0.75</v>
      </c>
      <c r="J19" s="140">
        <v>0</v>
      </c>
      <c r="K19" s="140">
        <v>0</v>
      </c>
      <c r="L19" s="140">
        <v>0</v>
      </c>
      <c r="M19" s="140">
        <v>0</v>
      </c>
      <c r="N19" s="140">
        <v>0</v>
      </c>
      <c r="O19" s="140">
        <v>0</v>
      </c>
      <c r="P19" s="140">
        <v>0</v>
      </c>
      <c r="Q19" s="140">
        <v>7</v>
      </c>
      <c r="R19" s="140">
        <v>0</v>
      </c>
      <c r="S19" s="140">
        <v>0</v>
      </c>
      <c r="T19" s="140">
        <v>0</v>
      </c>
      <c r="U19" s="140">
        <v>0</v>
      </c>
      <c r="V19" s="140">
        <v>0</v>
      </c>
      <c r="W19" s="140">
        <f aca="true" t="shared" si="1" ref="W19:W25">SUM(E19:V19)</f>
        <v>23</v>
      </c>
      <c r="X19" s="141">
        <v>2</v>
      </c>
    </row>
    <row r="20" spans="1:24" ht="19.5">
      <c r="A20" s="160">
        <v>3</v>
      </c>
      <c r="B20" s="177">
        <v>5</v>
      </c>
      <c r="C20" s="171" t="s">
        <v>12</v>
      </c>
      <c r="D20" s="149">
        <f t="shared" si="0"/>
        <v>22.75</v>
      </c>
      <c r="E20" s="140">
        <v>1.5</v>
      </c>
      <c r="F20" s="140">
        <v>2.5</v>
      </c>
      <c r="G20" s="140">
        <v>3</v>
      </c>
      <c r="H20" s="140">
        <v>0</v>
      </c>
      <c r="I20" s="140">
        <v>0</v>
      </c>
      <c r="J20" s="140">
        <v>0</v>
      </c>
      <c r="K20" s="140">
        <v>0</v>
      </c>
      <c r="L20" s="140">
        <v>0</v>
      </c>
      <c r="M20" s="140">
        <v>0</v>
      </c>
      <c r="N20" s="140">
        <v>0</v>
      </c>
      <c r="O20" s="140">
        <v>3</v>
      </c>
      <c r="P20" s="140">
        <v>0</v>
      </c>
      <c r="Q20" s="140">
        <v>0</v>
      </c>
      <c r="R20" s="140">
        <v>0</v>
      </c>
      <c r="S20" s="140">
        <v>3</v>
      </c>
      <c r="T20" s="140">
        <v>3</v>
      </c>
      <c r="U20" s="140">
        <v>0</v>
      </c>
      <c r="V20" s="140">
        <v>0</v>
      </c>
      <c r="W20" s="140">
        <f t="shared" si="1"/>
        <v>16</v>
      </c>
      <c r="X20" s="141">
        <v>2</v>
      </c>
    </row>
    <row r="21" spans="1:24" ht="19.5">
      <c r="A21" s="146">
        <v>4</v>
      </c>
      <c r="B21" s="178">
        <v>5</v>
      </c>
      <c r="C21" s="172" t="s">
        <v>53</v>
      </c>
      <c r="D21" s="149">
        <f t="shared" si="0"/>
        <v>13.25</v>
      </c>
      <c r="E21" s="140">
        <v>3.75</v>
      </c>
      <c r="F21" s="140">
        <v>0.25</v>
      </c>
      <c r="G21" s="140">
        <v>3</v>
      </c>
      <c r="H21" s="140">
        <v>0</v>
      </c>
      <c r="I21" s="140">
        <v>0</v>
      </c>
      <c r="J21" s="140">
        <v>0</v>
      </c>
      <c r="K21" s="140">
        <v>0</v>
      </c>
      <c r="L21" s="140">
        <v>0</v>
      </c>
      <c r="M21" s="140">
        <v>0</v>
      </c>
      <c r="N21" s="140">
        <v>0</v>
      </c>
      <c r="O21" s="140">
        <v>0</v>
      </c>
      <c r="P21" s="140">
        <v>0</v>
      </c>
      <c r="Q21" s="140">
        <v>0</v>
      </c>
      <c r="R21" s="140">
        <v>0</v>
      </c>
      <c r="S21" s="140">
        <v>0</v>
      </c>
      <c r="T21" s="140">
        <v>0</v>
      </c>
      <c r="U21" s="140">
        <v>0</v>
      </c>
      <c r="V21" s="140">
        <v>0</v>
      </c>
      <c r="W21" s="140">
        <f t="shared" si="1"/>
        <v>7</v>
      </c>
      <c r="X21" s="141">
        <v>2</v>
      </c>
    </row>
    <row r="22" spans="1:24" ht="19.5">
      <c r="A22" s="160">
        <v>5</v>
      </c>
      <c r="B22" s="179">
        <v>6</v>
      </c>
      <c r="C22" s="173" t="s">
        <v>10</v>
      </c>
      <c r="D22" s="149">
        <f t="shared" si="0"/>
        <v>4.5</v>
      </c>
      <c r="E22" s="229">
        <v>0</v>
      </c>
      <c r="F22" s="229">
        <v>1</v>
      </c>
      <c r="G22" s="229">
        <v>0</v>
      </c>
      <c r="H22" s="229">
        <v>0</v>
      </c>
      <c r="I22" s="229">
        <v>0</v>
      </c>
      <c r="J22" s="229">
        <v>0</v>
      </c>
      <c r="K22" s="229">
        <v>0</v>
      </c>
      <c r="L22" s="229">
        <v>0</v>
      </c>
      <c r="M22" s="229">
        <v>0</v>
      </c>
      <c r="N22" s="229">
        <v>0</v>
      </c>
      <c r="O22" s="229">
        <v>0</v>
      </c>
      <c r="P22" s="229">
        <v>0</v>
      </c>
      <c r="Q22" s="229">
        <v>0</v>
      </c>
      <c r="R22" s="229">
        <v>0</v>
      </c>
      <c r="S22" s="229">
        <v>0</v>
      </c>
      <c r="T22" s="229">
        <v>0</v>
      </c>
      <c r="U22" s="229">
        <v>0</v>
      </c>
      <c r="V22" s="229">
        <v>0</v>
      </c>
      <c r="W22" s="140">
        <f t="shared" si="1"/>
        <v>1</v>
      </c>
      <c r="X22" s="141">
        <v>2</v>
      </c>
    </row>
    <row r="23" spans="1:24" ht="19.5">
      <c r="A23" s="161">
        <v>6</v>
      </c>
      <c r="B23" s="180">
        <v>4</v>
      </c>
      <c r="C23" s="172" t="s">
        <v>52</v>
      </c>
      <c r="D23" s="149">
        <f t="shared" si="0"/>
        <v>3.25</v>
      </c>
      <c r="E23" s="140">
        <v>0.75</v>
      </c>
      <c r="F23" s="140">
        <v>0.25</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f t="shared" si="1"/>
        <v>1</v>
      </c>
      <c r="X23" s="141">
        <v>2</v>
      </c>
    </row>
    <row r="24" spans="1:24" ht="19.5">
      <c r="A24" s="160">
        <v>7</v>
      </c>
      <c r="B24" s="175">
        <v>4</v>
      </c>
      <c r="C24" s="171" t="s">
        <v>121</v>
      </c>
      <c r="D24" s="149">
        <f t="shared" si="0"/>
        <v>1.5</v>
      </c>
      <c r="E24" s="140">
        <v>0.75</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f t="shared" si="1"/>
        <v>0.75</v>
      </c>
      <c r="X24" s="141">
        <v>2</v>
      </c>
    </row>
    <row r="25" spans="1:24" ht="20.25" thickBot="1">
      <c r="A25" s="154">
        <v>8</v>
      </c>
      <c r="B25" s="181">
        <v>6</v>
      </c>
      <c r="C25" s="174" t="s">
        <v>332</v>
      </c>
      <c r="D25" s="155">
        <f t="shared" si="0"/>
        <v>0.5</v>
      </c>
      <c r="E25" s="156">
        <v>0</v>
      </c>
      <c r="F25" s="156">
        <v>1.5</v>
      </c>
      <c r="G25" s="156">
        <v>0</v>
      </c>
      <c r="H25" s="156">
        <v>0</v>
      </c>
      <c r="I25" s="156">
        <v>0</v>
      </c>
      <c r="J25" s="156">
        <v>0</v>
      </c>
      <c r="K25" s="156">
        <v>0</v>
      </c>
      <c r="L25" s="156">
        <v>0</v>
      </c>
      <c r="M25" s="156">
        <v>0</v>
      </c>
      <c r="N25" s="156">
        <v>0</v>
      </c>
      <c r="O25" s="156">
        <v>0</v>
      </c>
      <c r="P25" s="156">
        <v>0</v>
      </c>
      <c r="Q25" s="156">
        <v>0</v>
      </c>
      <c r="R25" s="156">
        <v>0</v>
      </c>
      <c r="S25" s="156">
        <v>0</v>
      </c>
      <c r="T25" s="156">
        <v>0</v>
      </c>
      <c r="U25" s="156">
        <v>0</v>
      </c>
      <c r="V25" s="156">
        <v>0</v>
      </c>
      <c r="W25" s="156">
        <f t="shared" si="1"/>
        <v>1.5</v>
      </c>
      <c r="X25" s="157">
        <v>2</v>
      </c>
    </row>
    <row r="26" ht="15.75"/>
    <row r="27" spans="1:24" ht="15.75">
      <c r="A27" s="161"/>
      <c r="B27" s="161"/>
      <c r="C27" s="163"/>
      <c r="D27" s="682" t="s">
        <v>406</v>
      </c>
      <c r="E27" s="683"/>
      <c r="F27" s="683"/>
      <c r="G27" s="683"/>
      <c r="H27" s="683"/>
      <c r="I27" s="683"/>
      <c r="J27" s="683"/>
      <c r="K27" s="683"/>
      <c r="L27" s="683"/>
      <c r="M27" s="683"/>
      <c r="N27" s="683"/>
      <c r="O27" s="683"/>
      <c r="P27" s="683"/>
      <c r="Q27" s="683"/>
      <c r="R27" s="683"/>
      <c r="S27" s="683"/>
      <c r="T27" s="683"/>
      <c r="U27" s="683"/>
      <c r="V27" s="683"/>
      <c r="W27" s="683"/>
      <c r="X27" s="683"/>
    </row>
    <row r="28" spans="1:24" ht="15.75">
      <c r="A28" s="161"/>
      <c r="B28" s="161"/>
      <c r="C28" s="163"/>
      <c r="D28" s="683"/>
      <c r="E28" s="683"/>
      <c r="F28" s="683"/>
      <c r="G28" s="683"/>
      <c r="H28" s="683"/>
      <c r="I28" s="683"/>
      <c r="J28" s="683"/>
      <c r="K28" s="683"/>
      <c r="L28" s="683"/>
      <c r="M28" s="683"/>
      <c r="N28" s="683"/>
      <c r="O28" s="683"/>
      <c r="P28" s="683"/>
      <c r="Q28" s="683"/>
      <c r="R28" s="683"/>
      <c r="S28" s="683"/>
      <c r="T28" s="683"/>
      <c r="U28" s="683"/>
      <c r="V28" s="683"/>
      <c r="W28" s="683"/>
      <c r="X28" s="683"/>
    </row>
    <row r="29" spans="1:24" ht="15.75">
      <c r="A29" s="161"/>
      <c r="B29" s="161"/>
      <c r="C29" s="163"/>
      <c r="D29" s="147" t="s">
        <v>329</v>
      </c>
      <c r="E29" s="136">
        <v>1</v>
      </c>
      <c r="F29" s="136">
        <v>2</v>
      </c>
      <c r="G29" s="136">
        <v>3</v>
      </c>
      <c r="H29" s="136">
        <v>4</v>
      </c>
      <c r="I29" s="136">
        <v>5</v>
      </c>
      <c r="J29" s="136">
        <v>6</v>
      </c>
      <c r="K29" s="136">
        <v>7</v>
      </c>
      <c r="L29" s="136">
        <v>8</v>
      </c>
      <c r="M29" s="136">
        <v>9</v>
      </c>
      <c r="N29" s="136">
        <v>10</v>
      </c>
      <c r="O29" s="136">
        <v>11</v>
      </c>
      <c r="P29" s="136">
        <v>12</v>
      </c>
      <c r="Q29" s="136">
        <v>13</v>
      </c>
      <c r="R29" s="136">
        <v>14</v>
      </c>
      <c r="S29" s="136">
        <v>15</v>
      </c>
      <c r="T29" s="136">
        <v>16</v>
      </c>
      <c r="U29" s="136">
        <v>17</v>
      </c>
      <c r="V29" s="136">
        <v>18</v>
      </c>
      <c r="W29" s="137" t="s">
        <v>310</v>
      </c>
      <c r="X29" s="138"/>
    </row>
    <row r="30" spans="1:24" ht="16.5" thickBot="1">
      <c r="A30" s="164"/>
      <c r="B30" s="164"/>
      <c r="C30" s="165"/>
      <c r="D30" s="151" t="s">
        <v>331</v>
      </c>
      <c r="E30" s="166">
        <v>0.75</v>
      </c>
      <c r="F30" s="166">
        <v>0.25</v>
      </c>
      <c r="G30" s="166">
        <v>3</v>
      </c>
      <c r="H30" s="166">
        <v>2</v>
      </c>
      <c r="I30" s="166">
        <v>0.75</v>
      </c>
      <c r="J30" s="166">
        <v>-3</v>
      </c>
      <c r="K30" s="166">
        <v>-4</v>
      </c>
      <c r="L30" s="166">
        <v>20</v>
      </c>
      <c r="M30" s="166">
        <v>10</v>
      </c>
      <c r="N30" s="166">
        <v>5</v>
      </c>
      <c r="O30" s="166">
        <v>3</v>
      </c>
      <c r="P30" s="166">
        <v>5</v>
      </c>
      <c r="Q30" s="166">
        <v>7</v>
      </c>
      <c r="R30" s="166">
        <v>3</v>
      </c>
      <c r="S30" s="166">
        <v>3</v>
      </c>
      <c r="T30" s="166">
        <v>3</v>
      </c>
      <c r="U30" s="166">
        <v>8.25</v>
      </c>
      <c r="V30" s="166">
        <v>16</v>
      </c>
      <c r="W30" s="152" t="s">
        <v>330</v>
      </c>
      <c r="X30" s="153" t="s">
        <v>310</v>
      </c>
    </row>
    <row r="31" spans="1:24" ht="19.5">
      <c r="A31" s="160">
        <v>1</v>
      </c>
      <c r="B31" s="177">
        <v>5</v>
      </c>
      <c r="C31" s="167" t="s">
        <v>333</v>
      </c>
      <c r="D31" s="239">
        <v>55.25</v>
      </c>
      <c r="E31" s="140">
        <v>6.75</v>
      </c>
      <c r="F31" s="140">
        <v>4.25</v>
      </c>
      <c r="G31" s="140">
        <v>0</v>
      </c>
      <c r="H31" s="140">
        <v>0</v>
      </c>
      <c r="I31" s="140">
        <v>0.75</v>
      </c>
      <c r="J31" s="140">
        <v>0</v>
      </c>
      <c r="K31" s="140">
        <v>0</v>
      </c>
      <c r="L31" s="140">
        <v>0</v>
      </c>
      <c r="M31" s="140">
        <v>0</v>
      </c>
      <c r="N31" s="140">
        <v>0</v>
      </c>
      <c r="O31" s="140">
        <v>0</v>
      </c>
      <c r="P31" s="140">
        <v>0</v>
      </c>
      <c r="Q31" s="140">
        <v>7</v>
      </c>
      <c r="R31" s="140">
        <v>0</v>
      </c>
      <c r="S31" s="140">
        <v>0</v>
      </c>
      <c r="T31" s="140">
        <v>0</v>
      </c>
      <c r="U31" s="140">
        <v>0</v>
      </c>
      <c r="V31" s="140">
        <v>0</v>
      </c>
      <c r="W31" s="140">
        <f>SUM(E31:V31)</f>
        <v>18.75</v>
      </c>
      <c r="X31" s="141">
        <v>3</v>
      </c>
    </row>
    <row r="32" spans="1:24" ht="19.5">
      <c r="A32" s="146">
        <v>2</v>
      </c>
      <c r="B32" s="232">
        <v>6</v>
      </c>
      <c r="C32" s="172" t="s">
        <v>8</v>
      </c>
      <c r="D32" s="239">
        <v>50</v>
      </c>
      <c r="E32" s="140">
        <v>1.5</v>
      </c>
      <c r="F32" s="140">
        <v>1</v>
      </c>
      <c r="G32" s="140">
        <v>0</v>
      </c>
      <c r="H32" s="140">
        <v>0</v>
      </c>
      <c r="I32" s="140">
        <v>0</v>
      </c>
      <c r="J32" s="140">
        <v>0</v>
      </c>
      <c r="K32" s="140">
        <v>0</v>
      </c>
      <c r="L32" s="140">
        <v>0</v>
      </c>
      <c r="M32" s="140">
        <v>0</v>
      </c>
      <c r="N32" s="140">
        <v>0</v>
      </c>
      <c r="O32" s="140">
        <v>0</v>
      </c>
      <c r="P32" s="140">
        <v>5</v>
      </c>
      <c r="Q32" s="140">
        <v>0</v>
      </c>
      <c r="R32" s="140">
        <v>0</v>
      </c>
      <c r="S32" s="140">
        <v>0</v>
      </c>
      <c r="T32" s="140">
        <v>3</v>
      </c>
      <c r="U32" s="140">
        <v>0</v>
      </c>
      <c r="V32" s="140">
        <v>0</v>
      </c>
      <c r="W32" s="140">
        <f aca="true" t="shared" si="2" ref="W32:W39">SUM(E32:V32)</f>
        <v>10.5</v>
      </c>
      <c r="X32" s="141">
        <v>3</v>
      </c>
    </row>
    <row r="33" spans="1:24" ht="19.5">
      <c r="A33" s="160">
        <v>3</v>
      </c>
      <c r="B33" s="175">
        <v>4</v>
      </c>
      <c r="C33" s="171" t="s">
        <v>12</v>
      </c>
      <c r="D33" s="239">
        <v>36.75</v>
      </c>
      <c r="E33" s="140">
        <v>1.5</v>
      </c>
      <c r="F33" s="140">
        <v>2</v>
      </c>
      <c r="G33" s="140">
        <v>0</v>
      </c>
      <c r="H33" s="140">
        <v>2</v>
      </c>
      <c r="I33" s="140">
        <v>0</v>
      </c>
      <c r="J33" s="140">
        <v>0</v>
      </c>
      <c r="K33" s="140">
        <v>0</v>
      </c>
      <c r="L33" s="140">
        <v>0</v>
      </c>
      <c r="M33" s="140">
        <v>0</v>
      </c>
      <c r="N33" s="140">
        <v>0</v>
      </c>
      <c r="O33" s="140">
        <v>3</v>
      </c>
      <c r="P33" s="140">
        <v>0</v>
      </c>
      <c r="Q33" s="140">
        <v>0</v>
      </c>
      <c r="R33" s="140">
        <v>3</v>
      </c>
      <c r="S33" s="140">
        <v>3</v>
      </c>
      <c r="T33" s="140">
        <v>0</v>
      </c>
      <c r="U33" s="140">
        <v>0</v>
      </c>
      <c r="V33" s="140">
        <v>0</v>
      </c>
      <c r="W33" s="140">
        <f t="shared" si="2"/>
        <v>14.5</v>
      </c>
      <c r="X33" s="141">
        <v>3</v>
      </c>
    </row>
    <row r="34" spans="1:24" ht="19.5">
      <c r="A34" s="146">
        <v>4</v>
      </c>
      <c r="B34" s="180">
        <v>4</v>
      </c>
      <c r="C34" s="172" t="s">
        <v>53</v>
      </c>
      <c r="D34" s="239">
        <v>13.75</v>
      </c>
      <c r="E34" s="140">
        <v>3</v>
      </c>
      <c r="F34" s="140">
        <v>0.25</v>
      </c>
      <c r="G34" s="140">
        <v>0</v>
      </c>
      <c r="H34" s="140">
        <v>0</v>
      </c>
      <c r="I34" s="140">
        <v>0</v>
      </c>
      <c r="J34" s="140">
        <v>0</v>
      </c>
      <c r="K34" s="140">
        <v>0</v>
      </c>
      <c r="L34" s="140">
        <v>0</v>
      </c>
      <c r="M34" s="140">
        <v>0</v>
      </c>
      <c r="N34" s="140">
        <v>0</v>
      </c>
      <c r="O34" s="140">
        <v>0</v>
      </c>
      <c r="P34" s="140">
        <v>0</v>
      </c>
      <c r="Q34" s="140">
        <v>0</v>
      </c>
      <c r="R34" s="140">
        <v>0</v>
      </c>
      <c r="S34" s="140">
        <v>0</v>
      </c>
      <c r="T34" s="140">
        <v>0</v>
      </c>
      <c r="U34" s="140">
        <v>0</v>
      </c>
      <c r="V34" s="140">
        <v>0</v>
      </c>
      <c r="W34" s="140">
        <f t="shared" si="2"/>
        <v>3.25</v>
      </c>
      <c r="X34" s="141">
        <v>3</v>
      </c>
    </row>
    <row r="35" spans="1:24" ht="19.5">
      <c r="A35" s="160">
        <v>5</v>
      </c>
      <c r="B35" s="175">
        <v>4</v>
      </c>
      <c r="C35" s="173" t="s">
        <v>10</v>
      </c>
      <c r="D35" s="239">
        <v>11.5</v>
      </c>
      <c r="E35" s="229">
        <v>0.75</v>
      </c>
      <c r="F35" s="229">
        <v>1</v>
      </c>
      <c r="G35" s="229">
        <v>0</v>
      </c>
      <c r="H35" s="229">
        <v>2</v>
      </c>
      <c r="I35" s="229">
        <v>0</v>
      </c>
      <c r="J35" s="229">
        <v>0</v>
      </c>
      <c r="K35" s="229">
        <v>0</v>
      </c>
      <c r="L35" s="229">
        <v>0</v>
      </c>
      <c r="M35" s="229">
        <v>0</v>
      </c>
      <c r="N35" s="229">
        <v>0</v>
      </c>
      <c r="O35" s="229">
        <v>0</v>
      </c>
      <c r="P35" s="229">
        <v>0</v>
      </c>
      <c r="Q35" s="229">
        <v>0</v>
      </c>
      <c r="R35" s="229">
        <v>0</v>
      </c>
      <c r="S35" s="229">
        <v>0</v>
      </c>
      <c r="T35" s="229">
        <v>0</v>
      </c>
      <c r="U35" s="229">
        <v>0</v>
      </c>
      <c r="V35" s="229">
        <v>0</v>
      </c>
      <c r="W35" s="140">
        <f t="shared" si="2"/>
        <v>3.75</v>
      </c>
      <c r="X35" s="141">
        <v>3</v>
      </c>
    </row>
    <row r="36" spans="1:24" ht="19.5">
      <c r="A36" s="161">
        <v>6</v>
      </c>
      <c r="B36" s="180">
        <v>4</v>
      </c>
      <c r="C36" s="172" t="s">
        <v>52</v>
      </c>
      <c r="D36" s="239">
        <v>8</v>
      </c>
      <c r="E36" s="140">
        <v>1.5</v>
      </c>
      <c r="F36" s="140">
        <v>0.25</v>
      </c>
      <c r="G36" s="140">
        <v>3</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f t="shared" si="2"/>
        <v>4.75</v>
      </c>
      <c r="X36" s="141">
        <v>3</v>
      </c>
    </row>
    <row r="37" spans="1:24" ht="19.5">
      <c r="A37" s="160">
        <v>7</v>
      </c>
      <c r="B37" s="177">
        <v>5</v>
      </c>
      <c r="C37" s="171" t="s">
        <v>332</v>
      </c>
      <c r="D37" s="239">
        <v>3.25</v>
      </c>
      <c r="E37" s="140">
        <v>0</v>
      </c>
      <c r="F37" s="140">
        <v>0.75</v>
      </c>
      <c r="G37" s="140">
        <v>0</v>
      </c>
      <c r="H37" s="140">
        <v>2</v>
      </c>
      <c r="I37" s="140">
        <v>0</v>
      </c>
      <c r="J37" s="140">
        <v>0</v>
      </c>
      <c r="K37" s="140">
        <v>0</v>
      </c>
      <c r="L37" s="140">
        <v>0</v>
      </c>
      <c r="M37" s="140">
        <v>0</v>
      </c>
      <c r="N37" s="140">
        <v>0</v>
      </c>
      <c r="O37" s="140">
        <v>0</v>
      </c>
      <c r="P37" s="140">
        <v>0</v>
      </c>
      <c r="Q37" s="140">
        <v>0</v>
      </c>
      <c r="R37" s="140">
        <v>0</v>
      </c>
      <c r="S37" s="140">
        <v>0</v>
      </c>
      <c r="T37" s="140">
        <v>0</v>
      </c>
      <c r="U37" s="140">
        <v>0</v>
      </c>
      <c r="V37" s="140">
        <v>0</v>
      </c>
      <c r="W37" s="140">
        <f t="shared" si="2"/>
        <v>2.75</v>
      </c>
      <c r="X37" s="141">
        <v>3</v>
      </c>
    </row>
    <row r="38" spans="1:24" ht="19.5">
      <c r="A38" s="233">
        <v>8</v>
      </c>
      <c r="B38" s="232">
        <v>6</v>
      </c>
      <c r="C38" s="234" t="s">
        <v>121</v>
      </c>
      <c r="D38" s="239">
        <v>2.25</v>
      </c>
      <c r="E38" s="142">
        <v>0.75</v>
      </c>
      <c r="F38" s="142">
        <v>0</v>
      </c>
      <c r="G38" s="142">
        <v>0</v>
      </c>
      <c r="H38" s="142">
        <v>0</v>
      </c>
      <c r="I38" s="142">
        <v>0</v>
      </c>
      <c r="J38" s="142">
        <v>0</v>
      </c>
      <c r="K38" s="142">
        <v>0</v>
      </c>
      <c r="L38" s="142">
        <v>0</v>
      </c>
      <c r="M38" s="142">
        <v>0</v>
      </c>
      <c r="N38" s="142">
        <v>0</v>
      </c>
      <c r="O38" s="142">
        <v>0</v>
      </c>
      <c r="P38" s="142">
        <v>0</v>
      </c>
      <c r="Q38" s="142">
        <v>0</v>
      </c>
      <c r="R38" s="142">
        <v>0</v>
      </c>
      <c r="S38" s="142">
        <v>0</v>
      </c>
      <c r="T38" s="142">
        <v>0</v>
      </c>
      <c r="U38" s="142">
        <v>0</v>
      </c>
      <c r="V38" s="142">
        <v>0</v>
      </c>
      <c r="W38" s="140">
        <f t="shared" si="2"/>
        <v>0.75</v>
      </c>
      <c r="X38" s="235">
        <v>3</v>
      </c>
    </row>
    <row r="39" spans="1:24" ht="20.25" thickBot="1">
      <c r="A39" s="240">
        <v>9</v>
      </c>
      <c r="B39" s="230"/>
      <c r="C39" s="231" t="s">
        <v>370</v>
      </c>
      <c r="D39" s="241">
        <v>2.25</v>
      </c>
      <c r="E39" s="242">
        <v>0</v>
      </c>
      <c r="F39" s="242">
        <v>0.25</v>
      </c>
      <c r="G39" s="242">
        <v>0</v>
      </c>
      <c r="H39" s="242">
        <v>2</v>
      </c>
      <c r="I39" s="242">
        <v>0</v>
      </c>
      <c r="J39" s="242">
        <v>0</v>
      </c>
      <c r="K39" s="242">
        <v>0</v>
      </c>
      <c r="L39" s="242">
        <v>0</v>
      </c>
      <c r="M39" s="242">
        <v>0</v>
      </c>
      <c r="N39" s="242">
        <v>0</v>
      </c>
      <c r="O39" s="242">
        <v>0</v>
      </c>
      <c r="P39" s="242">
        <v>0</v>
      </c>
      <c r="Q39" s="242">
        <v>0</v>
      </c>
      <c r="R39" s="242">
        <v>0</v>
      </c>
      <c r="S39" s="242">
        <v>0</v>
      </c>
      <c r="T39" s="242">
        <v>0</v>
      </c>
      <c r="U39" s="242">
        <v>0</v>
      </c>
      <c r="V39" s="242">
        <v>0</v>
      </c>
      <c r="W39" s="156">
        <f t="shared" si="2"/>
        <v>2.25</v>
      </c>
      <c r="X39" s="243">
        <v>3</v>
      </c>
    </row>
    <row r="40" spans="1:24" ht="15.75">
      <c r="A40" s="233"/>
      <c r="B40" s="233"/>
      <c r="C40" s="236"/>
      <c r="D40" s="237"/>
      <c r="E40" s="238"/>
      <c r="F40" s="238"/>
      <c r="G40" s="238"/>
      <c r="H40" s="238"/>
      <c r="I40" s="238"/>
      <c r="J40" s="238"/>
      <c r="K40" s="238"/>
      <c r="L40" s="238"/>
      <c r="M40" s="238"/>
      <c r="N40" s="238"/>
      <c r="O40" s="238"/>
      <c r="P40" s="238"/>
      <c r="Q40" s="238"/>
      <c r="R40" s="238"/>
      <c r="S40" s="238"/>
      <c r="T40" s="238"/>
      <c r="U40" s="238"/>
      <c r="V40" s="238"/>
      <c r="W40" s="238"/>
      <c r="X40" s="238"/>
    </row>
    <row r="41" spans="1:24" ht="15.75">
      <c r="A41" s="161"/>
      <c r="B41" s="161"/>
      <c r="C41" s="163"/>
      <c r="D41" s="682" t="s">
        <v>536</v>
      </c>
      <c r="E41" s="683"/>
      <c r="F41" s="683"/>
      <c r="G41" s="683"/>
      <c r="H41" s="683"/>
      <c r="I41" s="683"/>
      <c r="J41" s="683"/>
      <c r="K41" s="683"/>
      <c r="L41" s="683"/>
      <c r="M41" s="683"/>
      <c r="N41" s="683"/>
      <c r="O41" s="683"/>
      <c r="P41" s="683"/>
      <c r="Q41" s="683"/>
      <c r="R41" s="683"/>
      <c r="S41" s="683"/>
      <c r="T41" s="683"/>
      <c r="U41" s="683"/>
      <c r="V41" s="683"/>
      <c r="W41" s="683"/>
      <c r="X41" s="683"/>
    </row>
    <row r="42" spans="1:24" ht="15.75">
      <c r="A42" s="161"/>
      <c r="B42" s="161"/>
      <c r="C42" s="163"/>
      <c r="D42" s="683"/>
      <c r="E42" s="683"/>
      <c r="F42" s="683"/>
      <c r="G42" s="683"/>
      <c r="H42" s="683"/>
      <c r="I42" s="683"/>
      <c r="J42" s="683"/>
      <c r="K42" s="683"/>
      <c r="L42" s="683"/>
      <c r="M42" s="683"/>
      <c r="N42" s="683"/>
      <c r="O42" s="683"/>
      <c r="P42" s="683"/>
      <c r="Q42" s="683"/>
      <c r="R42" s="683"/>
      <c r="S42" s="683"/>
      <c r="T42" s="683"/>
      <c r="U42" s="683"/>
      <c r="V42" s="683"/>
      <c r="W42" s="683"/>
      <c r="X42" s="683"/>
    </row>
    <row r="43" spans="1:24" ht="15.75">
      <c r="A43" s="161"/>
      <c r="B43" s="161"/>
      <c r="C43" s="163"/>
      <c r="D43" s="147" t="s">
        <v>329</v>
      </c>
      <c r="E43" s="136">
        <v>1</v>
      </c>
      <c r="F43" s="136">
        <v>2</v>
      </c>
      <c r="G43" s="136">
        <v>3</v>
      </c>
      <c r="H43" s="136">
        <v>4</v>
      </c>
      <c r="I43" s="136">
        <v>5</v>
      </c>
      <c r="J43" s="136">
        <v>6</v>
      </c>
      <c r="K43" s="136">
        <v>7</v>
      </c>
      <c r="L43" s="136">
        <v>8</v>
      </c>
      <c r="M43" s="136">
        <v>9</v>
      </c>
      <c r="N43" s="136">
        <v>10</v>
      </c>
      <c r="O43" s="136">
        <v>11</v>
      </c>
      <c r="P43" s="136">
        <v>12</v>
      </c>
      <c r="Q43" s="136">
        <v>13</v>
      </c>
      <c r="R43" s="136">
        <v>14</v>
      </c>
      <c r="S43" s="136">
        <v>15</v>
      </c>
      <c r="T43" s="136">
        <v>16</v>
      </c>
      <c r="U43" s="136">
        <v>17</v>
      </c>
      <c r="V43" s="136">
        <v>18</v>
      </c>
      <c r="W43" s="137" t="s">
        <v>310</v>
      </c>
      <c r="X43" s="138"/>
    </row>
    <row r="44" spans="1:24" ht="16.5" thickBot="1">
      <c r="A44" s="164"/>
      <c r="B44" s="164"/>
      <c r="C44" s="165"/>
      <c r="D44" s="151" t="s">
        <v>331</v>
      </c>
      <c r="E44" s="166">
        <v>0.75</v>
      </c>
      <c r="F44" s="166">
        <v>0.25</v>
      </c>
      <c r="G44" s="166">
        <v>3</v>
      </c>
      <c r="H44" s="166">
        <v>2</v>
      </c>
      <c r="I44" s="166">
        <v>0.75</v>
      </c>
      <c r="J44" s="166">
        <v>-3</v>
      </c>
      <c r="K44" s="166">
        <v>-4</v>
      </c>
      <c r="L44" s="166">
        <v>20</v>
      </c>
      <c r="M44" s="166">
        <v>10</v>
      </c>
      <c r="N44" s="166">
        <v>5</v>
      </c>
      <c r="O44" s="166">
        <v>3</v>
      </c>
      <c r="P44" s="166">
        <v>5</v>
      </c>
      <c r="Q44" s="166">
        <v>7</v>
      </c>
      <c r="R44" s="166">
        <v>3</v>
      </c>
      <c r="S44" s="166">
        <v>3</v>
      </c>
      <c r="T44" s="166">
        <v>3</v>
      </c>
      <c r="U44" s="166">
        <v>8.25</v>
      </c>
      <c r="V44" s="166">
        <v>16</v>
      </c>
      <c r="W44" s="152" t="s">
        <v>330</v>
      </c>
      <c r="X44" s="153" t="s">
        <v>310</v>
      </c>
    </row>
    <row r="45" spans="1:24" ht="19.5">
      <c r="A45" s="160">
        <v>1</v>
      </c>
      <c r="B45" s="175">
        <v>4</v>
      </c>
      <c r="C45" s="167" t="s">
        <v>333</v>
      </c>
      <c r="D45" s="239">
        <v>68</v>
      </c>
      <c r="E45" s="140">
        <v>3.75</v>
      </c>
      <c r="F45" s="140">
        <v>6.25</v>
      </c>
      <c r="G45" s="140">
        <v>0</v>
      </c>
      <c r="H45" s="140">
        <v>2</v>
      </c>
      <c r="I45" s="140">
        <v>0.75</v>
      </c>
      <c r="J45" s="140">
        <v>0</v>
      </c>
      <c r="K45" s="140">
        <v>0</v>
      </c>
      <c r="L45" s="140">
        <v>0</v>
      </c>
      <c r="M45" s="140">
        <v>0</v>
      </c>
      <c r="N45" s="140">
        <v>0</v>
      </c>
      <c r="O45" s="140">
        <v>0</v>
      </c>
      <c r="P45" s="140">
        <v>0</v>
      </c>
      <c r="Q45" s="140">
        <v>0</v>
      </c>
      <c r="R45" s="140">
        <v>0</v>
      </c>
      <c r="S45" s="140">
        <v>0</v>
      </c>
      <c r="T45" s="140">
        <v>0</v>
      </c>
      <c r="U45" s="140">
        <v>0</v>
      </c>
      <c r="V45" s="140">
        <v>0</v>
      </c>
      <c r="W45" s="140">
        <f>SUM(E45:V45)</f>
        <v>12.75</v>
      </c>
      <c r="X45" s="141">
        <v>4</v>
      </c>
    </row>
    <row r="46" spans="1:24" ht="19.5">
      <c r="A46" s="146">
        <v>2</v>
      </c>
      <c r="B46" s="180">
        <v>4</v>
      </c>
      <c r="C46" s="172" t="s">
        <v>8</v>
      </c>
      <c r="D46" s="239">
        <v>62.75</v>
      </c>
      <c r="E46" s="140">
        <v>1.5</v>
      </c>
      <c r="F46" s="140">
        <v>1.25</v>
      </c>
      <c r="G46" s="140">
        <v>0</v>
      </c>
      <c r="H46" s="140">
        <v>0</v>
      </c>
      <c r="I46" s="140">
        <v>0</v>
      </c>
      <c r="J46" s="140">
        <v>0</v>
      </c>
      <c r="K46" s="140">
        <v>0</v>
      </c>
      <c r="L46" s="140">
        <v>0</v>
      </c>
      <c r="M46" s="140">
        <v>0</v>
      </c>
      <c r="N46" s="140">
        <v>0</v>
      </c>
      <c r="O46" s="140">
        <v>0</v>
      </c>
      <c r="P46" s="140">
        <v>7</v>
      </c>
      <c r="Q46" s="140">
        <v>0</v>
      </c>
      <c r="R46" s="140">
        <v>0</v>
      </c>
      <c r="S46" s="140">
        <v>0</v>
      </c>
      <c r="T46" s="140">
        <v>3</v>
      </c>
      <c r="U46" s="140">
        <v>0</v>
      </c>
      <c r="V46" s="140">
        <v>0</v>
      </c>
      <c r="W46" s="140">
        <f aca="true" t="shared" si="3" ref="W46:W53">SUM(E46:V46)</f>
        <v>12.75</v>
      </c>
      <c r="X46" s="141">
        <v>4</v>
      </c>
    </row>
    <row r="47" spans="1:24" ht="19.5">
      <c r="A47" s="160">
        <v>3</v>
      </c>
      <c r="B47" s="175">
        <v>4</v>
      </c>
      <c r="C47" s="171" t="s">
        <v>12</v>
      </c>
      <c r="D47" s="239">
        <v>54.75</v>
      </c>
      <c r="E47" s="140">
        <v>1.5</v>
      </c>
      <c r="F47" s="140">
        <v>1.5</v>
      </c>
      <c r="G47" s="140">
        <v>0</v>
      </c>
      <c r="H47" s="140">
        <v>2</v>
      </c>
      <c r="I47" s="140">
        <v>0</v>
      </c>
      <c r="J47" s="140">
        <v>0</v>
      </c>
      <c r="K47" s="140">
        <v>0</v>
      </c>
      <c r="L47" s="140">
        <v>0</v>
      </c>
      <c r="M47" s="140">
        <v>0</v>
      </c>
      <c r="N47" s="140">
        <v>0</v>
      </c>
      <c r="O47" s="140">
        <v>3</v>
      </c>
      <c r="P47" s="140">
        <v>0</v>
      </c>
      <c r="Q47" s="140">
        <v>7</v>
      </c>
      <c r="R47" s="140">
        <v>3</v>
      </c>
      <c r="S47" s="140">
        <v>0</v>
      </c>
      <c r="T47" s="140">
        <v>0</v>
      </c>
      <c r="U47" s="140">
        <v>0</v>
      </c>
      <c r="V47" s="140">
        <v>0</v>
      </c>
      <c r="W47" s="140">
        <f t="shared" si="3"/>
        <v>18</v>
      </c>
      <c r="X47" s="141">
        <v>4</v>
      </c>
    </row>
    <row r="48" spans="1:24" ht="19.5">
      <c r="A48" s="340">
        <v>4</v>
      </c>
      <c r="B48" s="178">
        <v>5</v>
      </c>
      <c r="C48" s="341" t="s">
        <v>10</v>
      </c>
      <c r="D48" s="239">
        <v>18.5</v>
      </c>
      <c r="E48" s="229">
        <v>0.75</v>
      </c>
      <c r="F48" s="229">
        <v>1.25</v>
      </c>
      <c r="G48" s="229">
        <v>0</v>
      </c>
      <c r="H48" s="229">
        <v>2</v>
      </c>
      <c r="I48" s="229">
        <v>0</v>
      </c>
      <c r="J48" s="229">
        <v>0</v>
      </c>
      <c r="K48" s="229">
        <v>0</v>
      </c>
      <c r="L48" s="229">
        <v>0</v>
      </c>
      <c r="M48" s="229">
        <v>0</v>
      </c>
      <c r="N48" s="229">
        <v>0</v>
      </c>
      <c r="O48" s="229">
        <v>0</v>
      </c>
      <c r="P48" s="229">
        <v>0</v>
      </c>
      <c r="Q48" s="229">
        <v>0</v>
      </c>
      <c r="R48" s="229">
        <v>0</v>
      </c>
      <c r="S48" s="229">
        <v>3</v>
      </c>
      <c r="T48" s="229">
        <v>0</v>
      </c>
      <c r="U48" s="229">
        <v>0</v>
      </c>
      <c r="V48" s="229">
        <v>0</v>
      </c>
      <c r="W48" s="140">
        <f>SUM(E48:V48)</f>
        <v>7</v>
      </c>
      <c r="X48" s="141">
        <v>4</v>
      </c>
    </row>
    <row r="49" spans="1:24" ht="19.5">
      <c r="A49" s="160">
        <v>5</v>
      </c>
      <c r="B49" s="179">
        <v>6</v>
      </c>
      <c r="C49" s="171" t="s">
        <v>53</v>
      </c>
      <c r="D49" s="239">
        <v>17</v>
      </c>
      <c r="E49" s="140">
        <v>3</v>
      </c>
      <c r="F49" s="140">
        <v>0.25</v>
      </c>
      <c r="G49" s="140">
        <v>0</v>
      </c>
      <c r="H49" s="140">
        <v>0</v>
      </c>
      <c r="I49" s="140">
        <v>0</v>
      </c>
      <c r="J49" s="140">
        <v>0</v>
      </c>
      <c r="K49" s="140">
        <v>0</v>
      </c>
      <c r="L49" s="140">
        <v>0</v>
      </c>
      <c r="M49" s="140">
        <v>0</v>
      </c>
      <c r="N49" s="140">
        <v>0</v>
      </c>
      <c r="O49" s="140">
        <v>0</v>
      </c>
      <c r="P49" s="140">
        <v>0</v>
      </c>
      <c r="Q49" s="140">
        <v>0</v>
      </c>
      <c r="R49" s="140">
        <v>0</v>
      </c>
      <c r="S49" s="140">
        <v>0</v>
      </c>
      <c r="T49" s="140">
        <v>0</v>
      </c>
      <c r="U49" s="140">
        <v>0</v>
      </c>
      <c r="V49" s="140">
        <v>0</v>
      </c>
      <c r="W49" s="140">
        <f t="shared" si="3"/>
        <v>3.25</v>
      </c>
      <c r="X49" s="141">
        <v>4</v>
      </c>
    </row>
    <row r="50" spans="1:24" ht="19.5">
      <c r="A50" s="161">
        <v>6</v>
      </c>
      <c r="B50" s="180">
        <v>4</v>
      </c>
      <c r="C50" s="172" t="s">
        <v>52</v>
      </c>
      <c r="D50" s="239">
        <v>8.75</v>
      </c>
      <c r="E50" s="140">
        <v>0.75</v>
      </c>
      <c r="F50" s="140">
        <v>0</v>
      </c>
      <c r="G50" s="140">
        <v>0</v>
      </c>
      <c r="H50" s="140">
        <v>0</v>
      </c>
      <c r="I50" s="140">
        <v>0</v>
      </c>
      <c r="J50" s="140">
        <v>0</v>
      </c>
      <c r="K50" s="140">
        <v>0</v>
      </c>
      <c r="L50" s="140">
        <v>0</v>
      </c>
      <c r="M50" s="140">
        <v>0</v>
      </c>
      <c r="N50" s="140">
        <v>0</v>
      </c>
      <c r="O50" s="140">
        <v>0</v>
      </c>
      <c r="P50" s="140">
        <v>0</v>
      </c>
      <c r="Q50" s="140">
        <v>0</v>
      </c>
      <c r="R50" s="140">
        <v>0</v>
      </c>
      <c r="S50" s="140">
        <v>0</v>
      </c>
      <c r="T50" s="140">
        <v>0</v>
      </c>
      <c r="U50" s="140">
        <v>0</v>
      </c>
      <c r="V50" s="140">
        <v>0</v>
      </c>
      <c r="W50" s="140">
        <f t="shared" si="3"/>
        <v>0.75</v>
      </c>
      <c r="X50" s="141">
        <v>4</v>
      </c>
    </row>
    <row r="51" spans="1:24" ht="19.5">
      <c r="A51" s="160">
        <v>7</v>
      </c>
      <c r="B51" s="175">
        <v>4</v>
      </c>
      <c r="C51" s="171" t="s">
        <v>332</v>
      </c>
      <c r="D51" s="239">
        <v>3.75</v>
      </c>
      <c r="E51" s="140">
        <v>0</v>
      </c>
      <c r="F51" s="140">
        <v>0.5</v>
      </c>
      <c r="G51" s="140">
        <v>0</v>
      </c>
      <c r="H51" s="140">
        <v>0</v>
      </c>
      <c r="I51" s="140">
        <v>0</v>
      </c>
      <c r="J51" s="140">
        <v>0</v>
      </c>
      <c r="K51" s="140">
        <v>0</v>
      </c>
      <c r="L51" s="140">
        <v>0</v>
      </c>
      <c r="M51" s="140">
        <v>0</v>
      </c>
      <c r="N51" s="140">
        <v>0</v>
      </c>
      <c r="O51" s="140">
        <v>0</v>
      </c>
      <c r="P51" s="140">
        <v>0</v>
      </c>
      <c r="Q51" s="140">
        <v>0</v>
      </c>
      <c r="R51" s="140">
        <v>0</v>
      </c>
      <c r="S51" s="140">
        <v>0</v>
      </c>
      <c r="T51" s="140">
        <v>0</v>
      </c>
      <c r="U51" s="140">
        <v>0</v>
      </c>
      <c r="V51" s="140">
        <v>0</v>
      </c>
      <c r="W51" s="140">
        <f t="shared" si="3"/>
        <v>0.5</v>
      </c>
      <c r="X51" s="141">
        <v>4</v>
      </c>
    </row>
    <row r="52" spans="1:24" ht="19.5">
      <c r="A52" s="283">
        <v>8</v>
      </c>
      <c r="B52" s="180">
        <v>4</v>
      </c>
      <c r="C52" s="234" t="s">
        <v>370</v>
      </c>
      <c r="D52" s="284">
        <v>2.5</v>
      </c>
      <c r="E52" s="285">
        <v>0</v>
      </c>
      <c r="F52" s="285">
        <v>0.25</v>
      </c>
      <c r="G52" s="285">
        <v>0</v>
      </c>
      <c r="H52" s="285">
        <v>0</v>
      </c>
      <c r="I52" s="285">
        <v>0</v>
      </c>
      <c r="J52" s="285">
        <v>0</v>
      </c>
      <c r="K52" s="285">
        <v>0</v>
      </c>
      <c r="L52" s="285">
        <v>0</v>
      </c>
      <c r="M52" s="285">
        <v>0</v>
      </c>
      <c r="N52" s="285">
        <v>0</v>
      </c>
      <c r="O52" s="285">
        <v>0</v>
      </c>
      <c r="P52" s="285">
        <v>0</v>
      </c>
      <c r="Q52" s="285">
        <v>0</v>
      </c>
      <c r="R52" s="285">
        <v>0</v>
      </c>
      <c r="S52" s="285">
        <v>0</v>
      </c>
      <c r="T52" s="285">
        <v>0</v>
      </c>
      <c r="U52" s="285">
        <v>0</v>
      </c>
      <c r="V52" s="285">
        <v>0</v>
      </c>
      <c r="W52" s="142">
        <f>SUM(E52:V52)</f>
        <v>0.25</v>
      </c>
      <c r="X52" s="286">
        <v>4</v>
      </c>
    </row>
    <row r="53" spans="1:24" ht="20.25" thickBot="1">
      <c r="A53" s="240">
        <v>9</v>
      </c>
      <c r="B53" s="230">
        <v>4</v>
      </c>
      <c r="C53" s="231" t="s">
        <v>121</v>
      </c>
      <c r="D53" s="241">
        <v>2.25</v>
      </c>
      <c r="E53" s="156">
        <v>0</v>
      </c>
      <c r="F53" s="156">
        <v>0</v>
      </c>
      <c r="G53" s="156">
        <v>0</v>
      </c>
      <c r="H53" s="156">
        <v>0</v>
      </c>
      <c r="I53" s="156">
        <v>0</v>
      </c>
      <c r="J53" s="156">
        <v>0</v>
      </c>
      <c r="K53" s="156">
        <v>0</v>
      </c>
      <c r="L53" s="156">
        <v>0</v>
      </c>
      <c r="M53" s="156">
        <v>0</v>
      </c>
      <c r="N53" s="156">
        <v>0</v>
      </c>
      <c r="O53" s="156">
        <v>0</v>
      </c>
      <c r="P53" s="156">
        <v>0</v>
      </c>
      <c r="Q53" s="156">
        <v>0</v>
      </c>
      <c r="R53" s="156">
        <v>0</v>
      </c>
      <c r="S53" s="156">
        <v>0</v>
      </c>
      <c r="T53" s="156">
        <v>0</v>
      </c>
      <c r="U53" s="156">
        <v>0</v>
      </c>
      <c r="V53" s="156">
        <v>0</v>
      </c>
      <c r="W53" s="156">
        <f t="shared" si="3"/>
        <v>0</v>
      </c>
      <c r="X53" s="157">
        <v>4</v>
      </c>
    </row>
    <row r="54" ht="15.75"/>
    <row r="55" spans="1:24" ht="15.75">
      <c r="A55" s="161"/>
      <c r="B55" s="161"/>
      <c r="C55" s="163"/>
      <c r="D55" s="682" t="s">
        <v>573</v>
      </c>
      <c r="E55" s="683"/>
      <c r="F55" s="683"/>
      <c r="G55" s="683"/>
      <c r="H55" s="683"/>
      <c r="I55" s="683"/>
      <c r="J55" s="683"/>
      <c r="K55" s="683"/>
      <c r="L55" s="683"/>
      <c r="M55" s="683"/>
      <c r="N55" s="683"/>
      <c r="O55" s="683"/>
      <c r="P55" s="683"/>
      <c r="Q55" s="683"/>
      <c r="R55" s="683"/>
      <c r="S55" s="683"/>
      <c r="T55" s="683"/>
      <c r="U55" s="683"/>
      <c r="V55" s="683"/>
      <c r="W55" s="683"/>
      <c r="X55" s="683"/>
    </row>
    <row r="56" spans="1:24" ht="15.75">
      <c r="A56" s="161"/>
      <c r="B56" s="161"/>
      <c r="C56" s="163"/>
      <c r="D56" s="683"/>
      <c r="E56" s="683"/>
      <c r="F56" s="683"/>
      <c r="G56" s="683"/>
      <c r="H56" s="683"/>
      <c r="I56" s="683"/>
      <c r="J56" s="683"/>
      <c r="K56" s="683"/>
      <c r="L56" s="683"/>
      <c r="M56" s="683"/>
      <c r="N56" s="683"/>
      <c r="O56" s="683"/>
      <c r="P56" s="683"/>
      <c r="Q56" s="683"/>
      <c r="R56" s="683"/>
      <c r="S56" s="683"/>
      <c r="T56" s="683"/>
      <c r="U56" s="683"/>
      <c r="V56" s="683"/>
      <c r="W56" s="683"/>
      <c r="X56" s="683"/>
    </row>
    <row r="57" spans="1:24" ht="15.75">
      <c r="A57" s="161"/>
      <c r="B57" s="161"/>
      <c r="C57" s="163"/>
      <c r="D57" s="147" t="s">
        <v>329</v>
      </c>
      <c r="E57" s="136">
        <v>1</v>
      </c>
      <c r="F57" s="136">
        <v>2</v>
      </c>
      <c r="G57" s="136">
        <v>3</v>
      </c>
      <c r="H57" s="136">
        <v>4</v>
      </c>
      <c r="I57" s="136">
        <v>5</v>
      </c>
      <c r="J57" s="136">
        <v>6</v>
      </c>
      <c r="K57" s="136">
        <v>7</v>
      </c>
      <c r="L57" s="136">
        <v>8</v>
      </c>
      <c r="M57" s="136">
        <v>9</v>
      </c>
      <c r="N57" s="136">
        <v>10</v>
      </c>
      <c r="O57" s="136">
        <v>11</v>
      </c>
      <c r="P57" s="136">
        <v>12</v>
      </c>
      <c r="Q57" s="136">
        <v>13</v>
      </c>
      <c r="R57" s="136">
        <v>14</v>
      </c>
      <c r="S57" s="136">
        <v>15</v>
      </c>
      <c r="T57" s="136">
        <v>16</v>
      </c>
      <c r="U57" s="136">
        <v>17</v>
      </c>
      <c r="V57" s="136">
        <v>18</v>
      </c>
      <c r="W57" s="137" t="s">
        <v>310</v>
      </c>
      <c r="X57" s="138"/>
    </row>
    <row r="58" spans="1:24" ht="16.5" thickBot="1">
      <c r="A58" s="164"/>
      <c r="B58" s="164"/>
      <c r="C58" s="165"/>
      <c r="D58" s="151" t="s">
        <v>331</v>
      </c>
      <c r="E58" s="166">
        <v>0.75</v>
      </c>
      <c r="F58" s="166">
        <v>0.25</v>
      </c>
      <c r="G58" s="166">
        <v>3</v>
      </c>
      <c r="H58" s="166">
        <v>2</v>
      </c>
      <c r="I58" s="166">
        <v>0.75</v>
      </c>
      <c r="J58" s="166">
        <v>-3</v>
      </c>
      <c r="K58" s="166">
        <v>-4</v>
      </c>
      <c r="L58" s="166">
        <v>20</v>
      </c>
      <c r="M58" s="166">
        <v>10</v>
      </c>
      <c r="N58" s="166">
        <v>5</v>
      </c>
      <c r="O58" s="166">
        <v>3</v>
      </c>
      <c r="P58" s="166">
        <v>5</v>
      </c>
      <c r="Q58" s="166">
        <v>7</v>
      </c>
      <c r="R58" s="166">
        <v>3</v>
      </c>
      <c r="S58" s="166">
        <v>3</v>
      </c>
      <c r="T58" s="166">
        <v>3</v>
      </c>
      <c r="U58" s="166">
        <v>8.25</v>
      </c>
      <c r="V58" s="166">
        <v>16</v>
      </c>
      <c r="W58" s="152" t="s">
        <v>330</v>
      </c>
      <c r="X58" s="153" t="s">
        <v>310</v>
      </c>
    </row>
    <row r="59" spans="1:24" ht="19.5">
      <c r="A59" s="160">
        <v>1</v>
      </c>
      <c r="B59" s="177">
        <v>5</v>
      </c>
      <c r="C59" s="171" t="s">
        <v>12</v>
      </c>
      <c r="D59" s="239">
        <v>92.5</v>
      </c>
      <c r="E59" s="140">
        <v>2.25</v>
      </c>
      <c r="F59" s="140">
        <v>1.5</v>
      </c>
      <c r="G59" s="140">
        <v>3</v>
      </c>
      <c r="H59" s="140">
        <v>0</v>
      </c>
      <c r="I59" s="140">
        <v>0</v>
      </c>
      <c r="J59" s="140">
        <v>0</v>
      </c>
      <c r="K59" s="140">
        <v>0</v>
      </c>
      <c r="L59" s="140">
        <v>0</v>
      </c>
      <c r="M59" s="140">
        <v>10</v>
      </c>
      <c r="N59" s="140">
        <v>0</v>
      </c>
      <c r="O59" s="140">
        <v>3</v>
      </c>
      <c r="P59" s="140">
        <v>5</v>
      </c>
      <c r="Q59" s="140">
        <v>7</v>
      </c>
      <c r="R59" s="140">
        <v>3</v>
      </c>
      <c r="S59" s="140">
        <v>0</v>
      </c>
      <c r="T59" s="140">
        <v>3</v>
      </c>
      <c r="U59" s="140">
        <v>0</v>
      </c>
      <c r="V59" s="140">
        <v>0</v>
      </c>
      <c r="W59" s="140">
        <f aca="true" t="shared" si="4" ref="W59:W68">SUM(E59:V59)</f>
        <v>37.75</v>
      </c>
      <c r="X59" s="141">
        <v>5</v>
      </c>
    </row>
    <row r="60" spans="1:24" ht="19.5">
      <c r="A60" s="340">
        <v>2</v>
      </c>
      <c r="B60" s="385">
        <v>6</v>
      </c>
      <c r="C60" s="384" t="s">
        <v>333</v>
      </c>
      <c r="D60" s="239">
        <v>76.75</v>
      </c>
      <c r="E60" s="140">
        <v>3.75</v>
      </c>
      <c r="F60" s="140">
        <v>2.25</v>
      </c>
      <c r="G60" s="140">
        <v>0</v>
      </c>
      <c r="H60" s="140">
        <v>2</v>
      </c>
      <c r="I60" s="140">
        <v>0.75</v>
      </c>
      <c r="J60" s="140">
        <v>0</v>
      </c>
      <c r="K60" s="140">
        <v>0</v>
      </c>
      <c r="L60" s="140">
        <v>0</v>
      </c>
      <c r="M60" s="140">
        <v>0</v>
      </c>
      <c r="N60" s="140">
        <v>0</v>
      </c>
      <c r="O60" s="140">
        <v>0</v>
      </c>
      <c r="P60" s="140">
        <v>0</v>
      </c>
      <c r="Q60" s="140">
        <v>0</v>
      </c>
      <c r="R60" s="140">
        <v>0</v>
      </c>
      <c r="S60" s="140">
        <v>0</v>
      </c>
      <c r="T60" s="140">
        <v>0</v>
      </c>
      <c r="U60" s="140">
        <v>0</v>
      </c>
      <c r="V60" s="140">
        <v>0</v>
      </c>
      <c r="W60" s="140">
        <f t="shared" si="4"/>
        <v>8.75</v>
      </c>
      <c r="X60" s="141">
        <v>5</v>
      </c>
    </row>
    <row r="61" spans="1:24" ht="19.5">
      <c r="A61" s="160">
        <v>3</v>
      </c>
      <c r="B61" s="179">
        <v>6</v>
      </c>
      <c r="C61" s="171" t="s">
        <v>8</v>
      </c>
      <c r="D61" s="239">
        <v>65</v>
      </c>
      <c r="E61" s="140">
        <v>1.5</v>
      </c>
      <c r="F61" s="140">
        <v>0.75</v>
      </c>
      <c r="G61" s="140">
        <v>0</v>
      </c>
      <c r="H61" s="140">
        <v>0</v>
      </c>
      <c r="I61" s="140">
        <v>0</v>
      </c>
      <c r="J61" s="140">
        <v>0</v>
      </c>
      <c r="K61" s="140">
        <v>0</v>
      </c>
      <c r="L61" s="140">
        <v>0</v>
      </c>
      <c r="M61" s="140">
        <v>0</v>
      </c>
      <c r="N61" s="140">
        <v>0</v>
      </c>
      <c r="O61" s="140">
        <v>0</v>
      </c>
      <c r="P61" s="140">
        <v>0</v>
      </c>
      <c r="Q61" s="140">
        <v>0</v>
      </c>
      <c r="R61" s="140">
        <v>0</v>
      </c>
      <c r="S61" s="140">
        <v>0</v>
      </c>
      <c r="T61" s="140">
        <v>0</v>
      </c>
      <c r="U61" s="140">
        <v>0</v>
      </c>
      <c r="V61" s="140">
        <v>0</v>
      </c>
      <c r="W61" s="140">
        <f t="shared" si="4"/>
        <v>2.25</v>
      </c>
      <c r="X61" s="141">
        <v>5</v>
      </c>
    </row>
    <row r="62" spans="1:24" ht="19.5">
      <c r="A62" s="340">
        <v>4</v>
      </c>
      <c r="B62" s="180">
        <v>4</v>
      </c>
      <c r="C62" s="341" t="s">
        <v>10</v>
      </c>
      <c r="D62" s="239">
        <v>23</v>
      </c>
      <c r="E62" s="229">
        <v>0.75</v>
      </c>
      <c r="F62" s="229">
        <v>0.75</v>
      </c>
      <c r="G62" s="229">
        <v>0</v>
      </c>
      <c r="H62" s="229">
        <v>0</v>
      </c>
      <c r="I62" s="229">
        <v>0</v>
      </c>
      <c r="J62" s="229">
        <v>0</v>
      </c>
      <c r="K62" s="229">
        <v>0</v>
      </c>
      <c r="L62" s="229">
        <v>0</v>
      </c>
      <c r="M62" s="229">
        <v>0</v>
      </c>
      <c r="N62" s="229">
        <v>0</v>
      </c>
      <c r="O62" s="229">
        <v>0</v>
      </c>
      <c r="P62" s="229">
        <v>0</v>
      </c>
      <c r="Q62" s="229">
        <v>0</v>
      </c>
      <c r="R62" s="229">
        <v>0</v>
      </c>
      <c r="S62" s="229">
        <v>3</v>
      </c>
      <c r="T62" s="229">
        <v>0</v>
      </c>
      <c r="U62" s="229">
        <v>0</v>
      </c>
      <c r="V62" s="229">
        <v>0</v>
      </c>
      <c r="W62" s="140">
        <f t="shared" si="4"/>
        <v>4.5</v>
      </c>
      <c r="X62" s="141">
        <v>5</v>
      </c>
    </row>
    <row r="63" spans="1:24" ht="19.5">
      <c r="A63" s="160">
        <v>5</v>
      </c>
      <c r="B63" s="175">
        <v>4</v>
      </c>
      <c r="C63" s="171" t="s">
        <v>53</v>
      </c>
      <c r="D63" s="239">
        <v>20</v>
      </c>
      <c r="E63" s="140">
        <v>3</v>
      </c>
      <c r="F63" s="140">
        <v>0</v>
      </c>
      <c r="G63" s="140">
        <v>0</v>
      </c>
      <c r="H63" s="140">
        <v>0</v>
      </c>
      <c r="I63" s="140">
        <v>0</v>
      </c>
      <c r="J63" s="140">
        <v>0</v>
      </c>
      <c r="K63" s="140">
        <v>0</v>
      </c>
      <c r="L63" s="140">
        <v>0</v>
      </c>
      <c r="M63" s="140">
        <v>0</v>
      </c>
      <c r="N63" s="140">
        <v>0</v>
      </c>
      <c r="O63" s="140">
        <v>0</v>
      </c>
      <c r="P63" s="140">
        <v>0</v>
      </c>
      <c r="Q63" s="140">
        <v>0</v>
      </c>
      <c r="R63" s="140">
        <v>0</v>
      </c>
      <c r="S63" s="140">
        <v>0</v>
      </c>
      <c r="T63" s="140">
        <v>0</v>
      </c>
      <c r="U63" s="140">
        <v>0</v>
      </c>
      <c r="V63" s="140">
        <v>0</v>
      </c>
      <c r="W63" s="140">
        <f t="shared" si="4"/>
        <v>3</v>
      </c>
      <c r="X63" s="141">
        <v>5</v>
      </c>
    </row>
    <row r="64" spans="1:24" ht="19.5">
      <c r="A64" s="161">
        <v>6</v>
      </c>
      <c r="B64" s="180">
        <v>4</v>
      </c>
      <c r="C64" s="172" t="s">
        <v>52</v>
      </c>
      <c r="D64" s="239">
        <v>11.5</v>
      </c>
      <c r="E64" s="140">
        <v>0.75</v>
      </c>
      <c r="F64" s="140">
        <v>0</v>
      </c>
      <c r="G64" s="140">
        <v>0</v>
      </c>
      <c r="H64" s="140">
        <v>2</v>
      </c>
      <c r="I64" s="140">
        <v>0</v>
      </c>
      <c r="J64" s="140">
        <v>0</v>
      </c>
      <c r="K64" s="140">
        <v>0</v>
      </c>
      <c r="L64" s="140">
        <v>0</v>
      </c>
      <c r="M64" s="140">
        <v>0</v>
      </c>
      <c r="N64" s="140">
        <v>0</v>
      </c>
      <c r="O64" s="140">
        <v>0</v>
      </c>
      <c r="P64" s="140">
        <v>0</v>
      </c>
      <c r="Q64" s="140">
        <v>0</v>
      </c>
      <c r="R64" s="140">
        <v>0</v>
      </c>
      <c r="S64" s="140">
        <v>0</v>
      </c>
      <c r="T64" s="140">
        <v>0</v>
      </c>
      <c r="U64" s="140">
        <v>0</v>
      </c>
      <c r="V64" s="140">
        <v>0</v>
      </c>
      <c r="W64" s="140">
        <f t="shared" si="4"/>
        <v>2.75</v>
      </c>
      <c r="X64" s="141">
        <v>5</v>
      </c>
    </row>
    <row r="65" spans="1:24" ht="19.5">
      <c r="A65" s="160">
        <v>7</v>
      </c>
      <c r="B65" s="175">
        <v>4</v>
      </c>
      <c r="C65" s="171" t="s">
        <v>332</v>
      </c>
      <c r="D65" s="239">
        <v>4.25</v>
      </c>
      <c r="E65" s="140">
        <v>0</v>
      </c>
      <c r="F65" s="140">
        <v>0.5</v>
      </c>
      <c r="G65" s="140">
        <v>0</v>
      </c>
      <c r="H65" s="140">
        <v>0</v>
      </c>
      <c r="I65" s="140">
        <v>0</v>
      </c>
      <c r="J65" s="140">
        <v>0</v>
      </c>
      <c r="K65" s="140">
        <v>0</v>
      </c>
      <c r="L65" s="140">
        <v>0</v>
      </c>
      <c r="M65" s="140">
        <v>0</v>
      </c>
      <c r="N65" s="140">
        <v>0</v>
      </c>
      <c r="O65" s="140">
        <v>0</v>
      </c>
      <c r="P65" s="140">
        <v>0</v>
      </c>
      <c r="Q65" s="140">
        <v>0</v>
      </c>
      <c r="R65" s="140">
        <v>0</v>
      </c>
      <c r="S65" s="140">
        <v>0</v>
      </c>
      <c r="T65" s="140">
        <v>0</v>
      </c>
      <c r="U65" s="140">
        <v>0</v>
      </c>
      <c r="V65" s="140">
        <v>0</v>
      </c>
      <c r="W65" s="140">
        <f t="shared" si="4"/>
        <v>0.5</v>
      </c>
      <c r="X65" s="141">
        <v>5</v>
      </c>
    </row>
    <row r="66" spans="1:24" ht="19.5">
      <c r="A66" s="283">
        <v>8</v>
      </c>
      <c r="B66" s="180">
        <v>4</v>
      </c>
      <c r="C66" s="234" t="s">
        <v>370</v>
      </c>
      <c r="D66" s="284">
        <v>2.75</v>
      </c>
      <c r="E66" s="285">
        <v>0</v>
      </c>
      <c r="F66" s="285">
        <v>0.25</v>
      </c>
      <c r="G66" s="285">
        <v>0</v>
      </c>
      <c r="H66" s="285">
        <v>0</v>
      </c>
      <c r="I66" s="285">
        <v>0</v>
      </c>
      <c r="J66" s="285">
        <v>0</v>
      </c>
      <c r="K66" s="285">
        <v>0</v>
      </c>
      <c r="L66" s="285">
        <v>0</v>
      </c>
      <c r="M66" s="285">
        <v>0</v>
      </c>
      <c r="N66" s="285">
        <v>0</v>
      </c>
      <c r="O66" s="285">
        <v>0</v>
      </c>
      <c r="P66" s="285">
        <v>0</v>
      </c>
      <c r="Q66" s="285">
        <v>0</v>
      </c>
      <c r="R66" s="285">
        <v>0</v>
      </c>
      <c r="S66" s="285">
        <v>0</v>
      </c>
      <c r="T66" s="285">
        <v>0</v>
      </c>
      <c r="U66" s="285">
        <v>0</v>
      </c>
      <c r="V66" s="285">
        <v>0</v>
      </c>
      <c r="W66" s="142">
        <f t="shared" si="4"/>
        <v>0.25</v>
      </c>
      <c r="X66" s="286">
        <v>5</v>
      </c>
    </row>
    <row r="67" spans="1:24" ht="19.5">
      <c r="A67" s="342">
        <v>9</v>
      </c>
      <c r="B67" s="175">
        <v>4</v>
      </c>
      <c r="C67" s="343" t="s">
        <v>121</v>
      </c>
      <c r="D67" s="284">
        <v>2.25</v>
      </c>
      <c r="E67" s="142">
        <v>0</v>
      </c>
      <c r="F67" s="142">
        <v>0</v>
      </c>
      <c r="G67" s="142">
        <v>0</v>
      </c>
      <c r="H67" s="142">
        <v>0</v>
      </c>
      <c r="I67" s="142">
        <v>0</v>
      </c>
      <c r="J67" s="142">
        <v>0</v>
      </c>
      <c r="K67" s="142">
        <v>0</v>
      </c>
      <c r="L67" s="142">
        <v>0</v>
      </c>
      <c r="M67" s="142">
        <v>0</v>
      </c>
      <c r="N67" s="142">
        <v>0</v>
      </c>
      <c r="O67" s="142">
        <v>0</v>
      </c>
      <c r="P67" s="142">
        <v>0</v>
      </c>
      <c r="Q67" s="142">
        <v>0</v>
      </c>
      <c r="R67" s="142">
        <v>0</v>
      </c>
      <c r="S67" s="142">
        <v>0</v>
      </c>
      <c r="T67" s="142">
        <v>0</v>
      </c>
      <c r="U67" s="142">
        <v>0</v>
      </c>
      <c r="V67" s="142">
        <v>0</v>
      </c>
      <c r="W67" s="142">
        <f t="shared" si="4"/>
        <v>0</v>
      </c>
      <c r="X67" s="235">
        <v>5</v>
      </c>
    </row>
    <row r="68" spans="1:24" ht="20.25" thickBot="1">
      <c r="A68" s="164">
        <v>10</v>
      </c>
      <c r="B68" s="356">
        <v>4</v>
      </c>
      <c r="C68" s="174" t="s">
        <v>537</v>
      </c>
      <c r="D68" s="241">
        <v>0.75</v>
      </c>
      <c r="E68" s="242">
        <v>0.75</v>
      </c>
      <c r="F68" s="242">
        <v>0</v>
      </c>
      <c r="G68" s="242">
        <v>0</v>
      </c>
      <c r="H68" s="242">
        <v>0</v>
      </c>
      <c r="I68" s="242">
        <v>0</v>
      </c>
      <c r="J68" s="242">
        <v>0</v>
      </c>
      <c r="K68" s="242">
        <v>0</v>
      </c>
      <c r="L68" s="242">
        <v>0</v>
      </c>
      <c r="M68" s="242">
        <v>0</v>
      </c>
      <c r="N68" s="242">
        <v>0</v>
      </c>
      <c r="O68" s="242">
        <v>0</v>
      </c>
      <c r="P68" s="242">
        <v>0</v>
      </c>
      <c r="Q68" s="242">
        <v>0</v>
      </c>
      <c r="R68" s="242">
        <v>0</v>
      </c>
      <c r="S68" s="242">
        <v>0</v>
      </c>
      <c r="T68" s="242">
        <v>0</v>
      </c>
      <c r="U68" s="242">
        <v>0</v>
      </c>
      <c r="V68" s="242">
        <v>0</v>
      </c>
      <c r="W68" s="156">
        <f t="shared" si="4"/>
        <v>0.75</v>
      </c>
      <c r="X68" s="243">
        <v>5</v>
      </c>
    </row>
    <row r="69" ht="15.75"/>
    <row r="70" spans="1:24" ht="15.75">
      <c r="A70" s="161"/>
      <c r="B70" s="161"/>
      <c r="C70" s="163"/>
      <c r="D70" s="682" t="s">
        <v>593</v>
      </c>
      <c r="E70" s="683"/>
      <c r="F70" s="683"/>
      <c r="G70" s="683"/>
      <c r="H70" s="683"/>
      <c r="I70" s="683"/>
      <c r="J70" s="683"/>
      <c r="K70" s="683"/>
      <c r="L70" s="683"/>
      <c r="M70" s="683"/>
      <c r="N70" s="683"/>
      <c r="O70" s="683"/>
      <c r="P70" s="683"/>
      <c r="Q70" s="683"/>
      <c r="R70" s="683"/>
      <c r="S70" s="683"/>
      <c r="T70" s="683"/>
      <c r="U70" s="683"/>
      <c r="V70" s="683"/>
      <c r="W70" s="683"/>
      <c r="X70" s="683"/>
    </row>
    <row r="71" spans="1:24" ht="15.75">
      <c r="A71" s="161"/>
      <c r="B71" s="161"/>
      <c r="C71" s="163"/>
      <c r="D71" s="683"/>
      <c r="E71" s="683"/>
      <c r="F71" s="683"/>
      <c r="G71" s="683"/>
      <c r="H71" s="683"/>
      <c r="I71" s="683"/>
      <c r="J71" s="683"/>
      <c r="K71" s="683"/>
      <c r="L71" s="683"/>
      <c r="M71" s="683"/>
      <c r="N71" s="683"/>
      <c r="O71" s="683"/>
      <c r="P71" s="683"/>
      <c r="Q71" s="683"/>
      <c r="R71" s="683"/>
      <c r="S71" s="683"/>
      <c r="T71" s="683"/>
      <c r="U71" s="683"/>
      <c r="V71" s="683"/>
      <c r="W71" s="683"/>
      <c r="X71" s="683"/>
    </row>
    <row r="72" spans="1:24" ht="15.75">
      <c r="A72" s="161"/>
      <c r="B72" s="161"/>
      <c r="C72" s="163"/>
      <c r="D72" s="147" t="s">
        <v>329</v>
      </c>
      <c r="E72" s="136">
        <v>1</v>
      </c>
      <c r="F72" s="136">
        <v>2</v>
      </c>
      <c r="G72" s="136">
        <v>3</v>
      </c>
      <c r="H72" s="136">
        <v>4</v>
      </c>
      <c r="I72" s="136">
        <v>5</v>
      </c>
      <c r="J72" s="136">
        <v>6</v>
      </c>
      <c r="K72" s="136">
        <v>7</v>
      </c>
      <c r="L72" s="136">
        <v>8</v>
      </c>
      <c r="M72" s="136">
        <v>9</v>
      </c>
      <c r="N72" s="136">
        <v>10</v>
      </c>
      <c r="O72" s="136">
        <v>11</v>
      </c>
      <c r="P72" s="136">
        <v>12</v>
      </c>
      <c r="Q72" s="136">
        <v>13</v>
      </c>
      <c r="R72" s="136">
        <v>14</v>
      </c>
      <c r="S72" s="136">
        <v>15</v>
      </c>
      <c r="T72" s="136">
        <v>16</v>
      </c>
      <c r="U72" s="136">
        <v>17</v>
      </c>
      <c r="V72" s="136">
        <v>18</v>
      </c>
      <c r="W72" s="137" t="s">
        <v>310</v>
      </c>
      <c r="X72" s="138"/>
    </row>
    <row r="73" spans="1:24" ht="16.5" thickBot="1">
      <c r="A73" s="164"/>
      <c r="B73" s="164"/>
      <c r="C73" s="165"/>
      <c r="D73" s="151" t="s">
        <v>331</v>
      </c>
      <c r="E73" s="166">
        <v>0.75</v>
      </c>
      <c r="F73" s="166">
        <v>0.25</v>
      </c>
      <c r="G73" s="166">
        <v>3</v>
      </c>
      <c r="H73" s="166">
        <v>2</v>
      </c>
      <c r="I73" s="166">
        <v>0.75</v>
      </c>
      <c r="J73" s="166">
        <v>-3</v>
      </c>
      <c r="K73" s="166">
        <v>-4</v>
      </c>
      <c r="L73" s="166">
        <v>20</v>
      </c>
      <c r="M73" s="166">
        <v>10</v>
      </c>
      <c r="N73" s="166">
        <v>5</v>
      </c>
      <c r="O73" s="166">
        <v>3</v>
      </c>
      <c r="P73" s="166">
        <v>5</v>
      </c>
      <c r="Q73" s="166">
        <v>7</v>
      </c>
      <c r="R73" s="166">
        <v>3</v>
      </c>
      <c r="S73" s="166">
        <v>3</v>
      </c>
      <c r="T73" s="166">
        <v>3</v>
      </c>
      <c r="U73" s="166">
        <v>8.25</v>
      </c>
      <c r="V73" s="166">
        <v>16</v>
      </c>
      <c r="W73" s="152" t="s">
        <v>330</v>
      </c>
      <c r="X73" s="153" t="s">
        <v>310</v>
      </c>
    </row>
    <row r="74" spans="1:24" ht="19.5">
      <c r="A74" s="160">
        <v>1</v>
      </c>
      <c r="B74" s="175">
        <v>4</v>
      </c>
      <c r="C74" s="171" t="s">
        <v>12</v>
      </c>
      <c r="D74" s="239">
        <v>118.5</v>
      </c>
      <c r="E74" s="140">
        <v>1.5</v>
      </c>
      <c r="F74" s="140">
        <v>1.5</v>
      </c>
      <c r="G74" s="140">
        <v>0</v>
      </c>
      <c r="H74" s="140">
        <v>2</v>
      </c>
      <c r="I74" s="140">
        <v>0</v>
      </c>
      <c r="J74" s="140">
        <v>0</v>
      </c>
      <c r="K74" s="140">
        <v>0</v>
      </c>
      <c r="L74" s="140">
        <v>0</v>
      </c>
      <c r="M74" s="140">
        <v>10</v>
      </c>
      <c r="N74" s="140">
        <v>0</v>
      </c>
      <c r="O74" s="140">
        <v>3</v>
      </c>
      <c r="P74" s="140">
        <v>5</v>
      </c>
      <c r="Q74" s="140">
        <v>0</v>
      </c>
      <c r="R74" s="140">
        <v>3</v>
      </c>
      <c r="S74" s="140">
        <v>0</v>
      </c>
      <c r="T74" s="140">
        <v>0</v>
      </c>
      <c r="U74" s="140">
        <v>0</v>
      </c>
      <c r="V74" s="140">
        <v>0</v>
      </c>
      <c r="W74" s="140">
        <f aca="true" t="shared" si="5" ref="W74:W83">SUM(E74:V74)</f>
        <v>26</v>
      </c>
      <c r="X74" s="141">
        <v>6</v>
      </c>
    </row>
    <row r="75" spans="1:24" ht="19.5">
      <c r="A75" s="340">
        <v>2</v>
      </c>
      <c r="B75" s="383">
        <v>4</v>
      </c>
      <c r="C75" s="384" t="s">
        <v>333</v>
      </c>
      <c r="D75" s="239">
        <v>85.75</v>
      </c>
      <c r="E75" s="140">
        <v>3.75</v>
      </c>
      <c r="F75" s="140">
        <v>4.5</v>
      </c>
      <c r="G75" s="140">
        <v>0</v>
      </c>
      <c r="H75" s="140">
        <v>0</v>
      </c>
      <c r="I75" s="140">
        <v>0.75</v>
      </c>
      <c r="J75" s="140">
        <v>0</v>
      </c>
      <c r="K75" s="140">
        <v>0</v>
      </c>
      <c r="L75" s="140">
        <v>0</v>
      </c>
      <c r="M75" s="140">
        <v>0</v>
      </c>
      <c r="N75" s="140">
        <v>0</v>
      </c>
      <c r="O75" s="140">
        <v>0</v>
      </c>
      <c r="P75" s="140">
        <v>0</v>
      </c>
      <c r="Q75" s="140">
        <v>0</v>
      </c>
      <c r="R75" s="140">
        <v>0</v>
      </c>
      <c r="S75" s="140">
        <v>0</v>
      </c>
      <c r="T75" s="140">
        <v>0</v>
      </c>
      <c r="U75" s="140">
        <v>0</v>
      </c>
      <c r="V75" s="140">
        <v>0</v>
      </c>
      <c r="W75" s="140">
        <f t="shared" si="5"/>
        <v>9</v>
      </c>
      <c r="X75" s="141">
        <v>6</v>
      </c>
    </row>
    <row r="76" spans="1:24" ht="19.5">
      <c r="A76" s="160">
        <v>3</v>
      </c>
      <c r="B76" s="175">
        <v>4</v>
      </c>
      <c r="C76" s="171" t="s">
        <v>8</v>
      </c>
      <c r="D76" s="239">
        <v>67.25</v>
      </c>
      <c r="E76" s="140">
        <v>1.5</v>
      </c>
      <c r="F76" s="140">
        <v>0.75</v>
      </c>
      <c r="G76" s="140">
        <v>0</v>
      </c>
      <c r="H76" s="140">
        <v>0</v>
      </c>
      <c r="I76" s="140">
        <v>0</v>
      </c>
      <c r="J76" s="140">
        <v>0</v>
      </c>
      <c r="K76" s="140">
        <v>0</v>
      </c>
      <c r="L76" s="140">
        <v>0</v>
      </c>
      <c r="M76" s="140">
        <v>0</v>
      </c>
      <c r="N76" s="140">
        <v>0</v>
      </c>
      <c r="O76" s="140">
        <v>0</v>
      </c>
      <c r="P76" s="140">
        <v>0</v>
      </c>
      <c r="Q76" s="140">
        <v>0</v>
      </c>
      <c r="R76" s="140">
        <v>0</v>
      </c>
      <c r="S76" s="140">
        <v>0</v>
      </c>
      <c r="T76" s="140">
        <v>0</v>
      </c>
      <c r="U76" s="140">
        <v>0</v>
      </c>
      <c r="V76" s="140">
        <v>0</v>
      </c>
      <c r="W76" s="140">
        <f t="shared" si="5"/>
        <v>2.25</v>
      </c>
      <c r="X76" s="141">
        <v>6</v>
      </c>
    </row>
    <row r="77" spans="1:24" ht="19.5">
      <c r="A77" s="340">
        <v>4</v>
      </c>
      <c r="B77" s="180">
        <v>4</v>
      </c>
      <c r="C77" s="341" t="s">
        <v>10</v>
      </c>
      <c r="D77" s="239">
        <v>40.25</v>
      </c>
      <c r="E77" s="229">
        <v>0.75</v>
      </c>
      <c r="F77" s="229">
        <v>1.5</v>
      </c>
      <c r="G77" s="229">
        <v>0</v>
      </c>
      <c r="H77" s="229">
        <v>2</v>
      </c>
      <c r="I77" s="229">
        <v>0</v>
      </c>
      <c r="J77" s="229">
        <v>0</v>
      </c>
      <c r="K77" s="229">
        <v>0</v>
      </c>
      <c r="L77" s="229">
        <v>0</v>
      </c>
      <c r="M77" s="229">
        <v>0</v>
      </c>
      <c r="N77" s="229">
        <v>0</v>
      </c>
      <c r="O77" s="229">
        <v>0</v>
      </c>
      <c r="P77" s="229">
        <v>0</v>
      </c>
      <c r="Q77" s="229">
        <v>7</v>
      </c>
      <c r="R77" s="229">
        <v>0</v>
      </c>
      <c r="S77" s="229">
        <v>3</v>
      </c>
      <c r="T77" s="229">
        <v>3</v>
      </c>
      <c r="U77" s="229">
        <v>0</v>
      </c>
      <c r="V77" s="229">
        <v>0</v>
      </c>
      <c r="W77" s="140">
        <f t="shared" si="5"/>
        <v>17.25</v>
      </c>
      <c r="X77" s="141">
        <v>6</v>
      </c>
    </row>
    <row r="78" spans="1:24" ht="19.5">
      <c r="A78" s="160">
        <v>5</v>
      </c>
      <c r="B78" s="175">
        <v>4</v>
      </c>
      <c r="C78" s="171" t="s">
        <v>53</v>
      </c>
      <c r="D78" s="239">
        <v>26.25</v>
      </c>
      <c r="E78" s="140">
        <v>3</v>
      </c>
      <c r="F78" s="140">
        <v>0.25</v>
      </c>
      <c r="G78" s="140">
        <v>3</v>
      </c>
      <c r="H78" s="140">
        <v>0</v>
      </c>
      <c r="I78" s="140">
        <v>0</v>
      </c>
      <c r="J78" s="140">
        <v>0</v>
      </c>
      <c r="K78" s="140">
        <v>0</v>
      </c>
      <c r="L78" s="140">
        <v>0</v>
      </c>
      <c r="M78" s="140">
        <v>0</v>
      </c>
      <c r="N78" s="140">
        <v>0</v>
      </c>
      <c r="O78" s="140">
        <v>0</v>
      </c>
      <c r="P78" s="140">
        <v>0</v>
      </c>
      <c r="Q78" s="140">
        <v>0</v>
      </c>
      <c r="R78" s="140">
        <v>0</v>
      </c>
      <c r="S78" s="140">
        <v>0</v>
      </c>
      <c r="T78" s="140">
        <v>0</v>
      </c>
      <c r="U78" s="140">
        <v>0</v>
      </c>
      <c r="V78" s="140">
        <v>0</v>
      </c>
      <c r="W78" s="140">
        <f t="shared" si="5"/>
        <v>6.25</v>
      </c>
      <c r="X78" s="141">
        <v>6</v>
      </c>
    </row>
    <row r="79" spans="1:24" ht="19.5">
      <c r="A79" s="161">
        <v>6</v>
      </c>
      <c r="B79" s="180">
        <v>4</v>
      </c>
      <c r="C79" s="172" t="s">
        <v>52</v>
      </c>
      <c r="D79" s="239">
        <v>16.25</v>
      </c>
      <c r="E79" s="140">
        <v>1.5</v>
      </c>
      <c r="F79" s="140">
        <v>0.25</v>
      </c>
      <c r="G79" s="140">
        <v>3</v>
      </c>
      <c r="H79" s="140">
        <v>0</v>
      </c>
      <c r="I79" s="140">
        <v>0</v>
      </c>
      <c r="J79" s="140">
        <v>0</v>
      </c>
      <c r="K79" s="140">
        <v>0</v>
      </c>
      <c r="L79" s="140">
        <v>0</v>
      </c>
      <c r="M79" s="140">
        <v>0</v>
      </c>
      <c r="N79" s="140">
        <v>0</v>
      </c>
      <c r="O79" s="140">
        <v>0</v>
      </c>
      <c r="P79" s="140">
        <v>0</v>
      </c>
      <c r="Q79" s="140">
        <v>0</v>
      </c>
      <c r="R79" s="140">
        <v>0</v>
      </c>
      <c r="S79" s="140">
        <v>0</v>
      </c>
      <c r="T79" s="140">
        <v>0</v>
      </c>
      <c r="U79" s="140">
        <v>0</v>
      </c>
      <c r="V79" s="140">
        <v>0</v>
      </c>
      <c r="W79" s="140">
        <f t="shared" si="5"/>
        <v>4.75</v>
      </c>
      <c r="X79" s="141">
        <v>6</v>
      </c>
    </row>
    <row r="80" spans="1:24" ht="19.5">
      <c r="A80" s="160">
        <v>7</v>
      </c>
      <c r="B80" s="175">
        <v>4</v>
      </c>
      <c r="C80" s="171" t="s">
        <v>332</v>
      </c>
      <c r="D80" s="239">
        <v>9.25</v>
      </c>
      <c r="E80" s="140">
        <v>0</v>
      </c>
      <c r="F80" s="140">
        <v>1</v>
      </c>
      <c r="G80" s="140">
        <v>0</v>
      </c>
      <c r="H80" s="140">
        <v>4</v>
      </c>
      <c r="I80" s="140">
        <v>0</v>
      </c>
      <c r="J80" s="140">
        <v>0</v>
      </c>
      <c r="K80" s="140">
        <v>0</v>
      </c>
      <c r="L80" s="140">
        <v>0</v>
      </c>
      <c r="M80" s="140">
        <v>0</v>
      </c>
      <c r="N80" s="140">
        <v>0</v>
      </c>
      <c r="O80" s="140">
        <v>0</v>
      </c>
      <c r="P80" s="140">
        <v>0</v>
      </c>
      <c r="Q80" s="140">
        <v>0</v>
      </c>
      <c r="R80" s="140">
        <v>0</v>
      </c>
      <c r="S80" s="140">
        <v>0</v>
      </c>
      <c r="T80" s="140">
        <v>0</v>
      </c>
      <c r="U80" s="140">
        <v>0</v>
      </c>
      <c r="V80" s="140">
        <v>0</v>
      </c>
      <c r="W80" s="140">
        <f t="shared" si="5"/>
        <v>5</v>
      </c>
      <c r="X80" s="141">
        <v>6</v>
      </c>
    </row>
    <row r="81" spans="1:24" ht="19.5">
      <c r="A81" s="283">
        <v>8</v>
      </c>
      <c r="B81" s="180">
        <v>4</v>
      </c>
      <c r="C81" s="234" t="s">
        <v>370</v>
      </c>
      <c r="D81" s="284">
        <v>3</v>
      </c>
      <c r="E81" s="285">
        <v>0</v>
      </c>
      <c r="F81" s="285">
        <v>0.25</v>
      </c>
      <c r="G81" s="285">
        <v>0</v>
      </c>
      <c r="H81" s="285">
        <v>0</v>
      </c>
      <c r="I81" s="285">
        <v>0</v>
      </c>
      <c r="J81" s="285">
        <v>0</v>
      </c>
      <c r="K81" s="285">
        <v>0</v>
      </c>
      <c r="L81" s="285">
        <v>0</v>
      </c>
      <c r="M81" s="285">
        <v>0</v>
      </c>
      <c r="N81" s="285">
        <v>0</v>
      </c>
      <c r="O81" s="285">
        <v>0</v>
      </c>
      <c r="P81" s="285">
        <v>0</v>
      </c>
      <c r="Q81" s="285">
        <v>0</v>
      </c>
      <c r="R81" s="285">
        <v>0</v>
      </c>
      <c r="S81" s="285">
        <v>0</v>
      </c>
      <c r="T81" s="285">
        <v>0</v>
      </c>
      <c r="U81" s="285">
        <v>0</v>
      </c>
      <c r="V81" s="285">
        <v>0</v>
      </c>
      <c r="W81" s="142">
        <f t="shared" si="5"/>
        <v>0.25</v>
      </c>
      <c r="X81" s="286">
        <v>6</v>
      </c>
    </row>
    <row r="82" spans="1:24" ht="19.5">
      <c r="A82" s="342">
        <v>9</v>
      </c>
      <c r="B82" s="175">
        <v>4</v>
      </c>
      <c r="C82" s="343" t="s">
        <v>121</v>
      </c>
      <c r="D82" s="284">
        <v>2.25</v>
      </c>
      <c r="E82" s="142">
        <v>0</v>
      </c>
      <c r="F82" s="142">
        <v>0</v>
      </c>
      <c r="G82" s="142">
        <v>0</v>
      </c>
      <c r="H82" s="142">
        <v>0</v>
      </c>
      <c r="I82" s="142">
        <v>0</v>
      </c>
      <c r="J82" s="142">
        <v>0</v>
      </c>
      <c r="K82" s="142">
        <v>0</v>
      </c>
      <c r="L82" s="142">
        <v>0</v>
      </c>
      <c r="M82" s="142">
        <v>0</v>
      </c>
      <c r="N82" s="142">
        <v>0</v>
      </c>
      <c r="O82" s="142">
        <v>0</v>
      </c>
      <c r="P82" s="142">
        <v>0</v>
      </c>
      <c r="Q82" s="142">
        <v>0</v>
      </c>
      <c r="R82" s="142">
        <v>0</v>
      </c>
      <c r="S82" s="142">
        <v>0</v>
      </c>
      <c r="T82" s="142">
        <v>0</v>
      </c>
      <c r="U82" s="142">
        <v>0</v>
      </c>
      <c r="V82" s="142">
        <v>0</v>
      </c>
      <c r="W82" s="142">
        <f t="shared" si="5"/>
        <v>0</v>
      </c>
      <c r="X82" s="235">
        <v>6</v>
      </c>
    </row>
    <row r="83" spans="1:24" ht="20.25" thickBot="1">
      <c r="A83" s="164">
        <v>10</v>
      </c>
      <c r="B83" s="356">
        <v>4</v>
      </c>
      <c r="C83" s="174" t="s">
        <v>537</v>
      </c>
      <c r="D83" s="241">
        <v>0.75</v>
      </c>
      <c r="E83" s="242">
        <v>0</v>
      </c>
      <c r="F83" s="242">
        <v>0</v>
      </c>
      <c r="G83" s="242">
        <v>0</v>
      </c>
      <c r="H83" s="242">
        <v>0</v>
      </c>
      <c r="I83" s="242">
        <v>0</v>
      </c>
      <c r="J83" s="242">
        <v>0</v>
      </c>
      <c r="K83" s="242">
        <v>0</v>
      </c>
      <c r="L83" s="242">
        <v>0</v>
      </c>
      <c r="M83" s="242">
        <v>0</v>
      </c>
      <c r="N83" s="242">
        <v>0</v>
      </c>
      <c r="O83" s="242">
        <v>0</v>
      </c>
      <c r="P83" s="242">
        <v>0</v>
      </c>
      <c r="Q83" s="242">
        <v>0</v>
      </c>
      <c r="R83" s="242">
        <v>0</v>
      </c>
      <c r="S83" s="242">
        <v>0</v>
      </c>
      <c r="T83" s="242">
        <v>0</v>
      </c>
      <c r="U83" s="242">
        <v>0</v>
      </c>
      <c r="V83" s="242">
        <v>0</v>
      </c>
      <c r="W83" s="156">
        <f t="shared" si="5"/>
        <v>0</v>
      </c>
      <c r="X83" s="243">
        <v>6</v>
      </c>
    </row>
    <row r="84" ht="15.75"/>
    <row r="85" spans="1:24" ht="15.75">
      <c r="A85" s="161"/>
      <c r="B85" s="161"/>
      <c r="C85" s="163"/>
      <c r="D85" s="682" t="s">
        <v>623</v>
      </c>
      <c r="E85" s="683"/>
      <c r="F85" s="683"/>
      <c r="G85" s="683"/>
      <c r="H85" s="683"/>
      <c r="I85" s="683"/>
      <c r="J85" s="683"/>
      <c r="K85" s="683"/>
      <c r="L85" s="683"/>
      <c r="M85" s="683"/>
      <c r="N85" s="683"/>
      <c r="O85" s="683"/>
      <c r="P85" s="683"/>
      <c r="Q85" s="683"/>
      <c r="R85" s="683"/>
      <c r="S85" s="683"/>
      <c r="T85" s="683"/>
      <c r="U85" s="683"/>
      <c r="V85" s="683"/>
      <c r="W85" s="683"/>
      <c r="X85" s="683"/>
    </row>
    <row r="86" spans="1:24" ht="15.75">
      <c r="A86" s="161"/>
      <c r="B86" s="161"/>
      <c r="C86" s="163"/>
      <c r="D86" s="683"/>
      <c r="E86" s="683"/>
      <c r="F86" s="683"/>
      <c r="G86" s="683"/>
      <c r="H86" s="683"/>
      <c r="I86" s="683"/>
      <c r="J86" s="683"/>
      <c r="K86" s="683"/>
      <c r="L86" s="683"/>
      <c r="M86" s="683"/>
      <c r="N86" s="683"/>
      <c r="O86" s="683"/>
      <c r="P86" s="683"/>
      <c r="Q86" s="683"/>
      <c r="R86" s="683"/>
      <c r="S86" s="683"/>
      <c r="T86" s="683"/>
      <c r="U86" s="683"/>
      <c r="V86" s="683"/>
      <c r="W86" s="683"/>
      <c r="X86" s="683"/>
    </row>
    <row r="87" spans="1:24" ht="15.75">
      <c r="A87" s="161"/>
      <c r="B87" s="161"/>
      <c r="C87" s="163"/>
      <c r="D87" s="147" t="s">
        <v>329</v>
      </c>
      <c r="E87" s="136">
        <v>1</v>
      </c>
      <c r="F87" s="136">
        <v>2</v>
      </c>
      <c r="G87" s="136">
        <v>3</v>
      </c>
      <c r="H87" s="136">
        <v>4</v>
      </c>
      <c r="I87" s="136">
        <v>5</v>
      </c>
      <c r="J87" s="136">
        <v>6</v>
      </c>
      <c r="K87" s="136">
        <v>7</v>
      </c>
      <c r="L87" s="136">
        <v>8</v>
      </c>
      <c r="M87" s="136">
        <v>9</v>
      </c>
      <c r="N87" s="136">
        <v>10</v>
      </c>
      <c r="O87" s="136">
        <v>11</v>
      </c>
      <c r="P87" s="136">
        <v>12</v>
      </c>
      <c r="Q87" s="136">
        <v>13</v>
      </c>
      <c r="R87" s="136">
        <v>14</v>
      </c>
      <c r="S87" s="136">
        <v>15</v>
      </c>
      <c r="T87" s="136">
        <v>16</v>
      </c>
      <c r="U87" s="136">
        <v>17</v>
      </c>
      <c r="V87" s="136">
        <v>18</v>
      </c>
      <c r="W87" s="137" t="s">
        <v>310</v>
      </c>
      <c r="X87" s="138"/>
    </row>
    <row r="88" spans="1:24" ht="16.5" thickBot="1">
      <c r="A88" s="164"/>
      <c r="B88" s="164"/>
      <c r="C88" s="165"/>
      <c r="D88" s="151" t="s">
        <v>331</v>
      </c>
      <c r="E88" s="166">
        <v>0.75</v>
      </c>
      <c r="F88" s="166">
        <v>0.25</v>
      </c>
      <c r="G88" s="166">
        <v>3</v>
      </c>
      <c r="H88" s="166">
        <v>2</v>
      </c>
      <c r="I88" s="166">
        <v>0.75</v>
      </c>
      <c r="J88" s="166">
        <v>-3</v>
      </c>
      <c r="K88" s="166">
        <v>-4</v>
      </c>
      <c r="L88" s="166">
        <v>20</v>
      </c>
      <c r="M88" s="166">
        <v>10</v>
      </c>
      <c r="N88" s="166">
        <v>5</v>
      </c>
      <c r="O88" s="166">
        <v>3</v>
      </c>
      <c r="P88" s="166">
        <v>5</v>
      </c>
      <c r="Q88" s="166">
        <v>7</v>
      </c>
      <c r="R88" s="166">
        <v>3</v>
      </c>
      <c r="S88" s="166">
        <v>3</v>
      </c>
      <c r="T88" s="166">
        <v>3</v>
      </c>
      <c r="U88" s="166">
        <v>8.25</v>
      </c>
      <c r="V88" s="166">
        <v>16</v>
      </c>
      <c r="W88" s="152" t="s">
        <v>330</v>
      </c>
      <c r="X88" s="153" t="s">
        <v>310</v>
      </c>
    </row>
    <row r="89" spans="1:24" ht="19.5">
      <c r="A89" s="160">
        <v>1</v>
      </c>
      <c r="B89" s="175">
        <v>4</v>
      </c>
      <c r="C89" s="171" t="s">
        <v>12</v>
      </c>
      <c r="D89" s="239">
        <v>142</v>
      </c>
      <c r="E89" s="140">
        <v>1.5</v>
      </c>
      <c r="F89" s="140">
        <v>2</v>
      </c>
      <c r="G89" s="140">
        <v>0</v>
      </c>
      <c r="H89" s="140">
        <v>4</v>
      </c>
      <c r="I89" s="140">
        <v>0</v>
      </c>
      <c r="J89" s="140">
        <v>0</v>
      </c>
      <c r="K89" s="140">
        <v>0</v>
      </c>
      <c r="L89" s="140">
        <v>0</v>
      </c>
      <c r="M89" s="140">
        <v>0</v>
      </c>
      <c r="N89" s="140">
        <v>5</v>
      </c>
      <c r="O89" s="140">
        <v>3</v>
      </c>
      <c r="P89" s="140">
        <v>5</v>
      </c>
      <c r="Q89" s="140">
        <v>0</v>
      </c>
      <c r="R89" s="140">
        <v>3</v>
      </c>
      <c r="S89" s="140">
        <v>0</v>
      </c>
      <c r="T89" s="140">
        <v>0</v>
      </c>
      <c r="U89" s="140">
        <v>0</v>
      </c>
      <c r="V89" s="140">
        <v>0</v>
      </c>
      <c r="W89" s="140">
        <f aca="true" t="shared" si="6" ref="W89:W98">SUM(E89:V89)</f>
        <v>23.5</v>
      </c>
      <c r="X89" s="141">
        <v>7</v>
      </c>
    </row>
    <row r="90" spans="1:24" ht="19.5">
      <c r="A90" s="340">
        <v>2</v>
      </c>
      <c r="B90" s="383">
        <v>4</v>
      </c>
      <c r="C90" s="384" t="s">
        <v>333</v>
      </c>
      <c r="D90" s="239">
        <v>108</v>
      </c>
      <c r="E90" s="140">
        <v>6.75</v>
      </c>
      <c r="F90" s="140">
        <v>5.75</v>
      </c>
      <c r="G90" s="140">
        <v>0</v>
      </c>
      <c r="H90" s="140">
        <v>2</v>
      </c>
      <c r="I90" s="140">
        <v>0.75</v>
      </c>
      <c r="J90" s="140">
        <v>0</v>
      </c>
      <c r="K90" s="140">
        <v>0</v>
      </c>
      <c r="L90" s="140">
        <v>0</v>
      </c>
      <c r="M90" s="140">
        <v>0</v>
      </c>
      <c r="N90" s="140">
        <v>0</v>
      </c>
      <c r="O90" s="140">
        <v>0</v>
      </c>
      <c r="P90" s="140">
        <v>0</v>
      </c>
      <c r="Q90" s="140">
        <v>7</v>
      </c>
      <c r="R90" s="140">
        <v>0</v>
      </c>
      <c r="S90" s="140">
        <v>0</v>
      </c>
      <c r="T90" s="140">
        <v>0</v>
      </c>
      <c r="U90" s="140">
        <v>0</v>
      </c>
      <c r="V90" s="140">
        <v>0</v>
      </c>
      <c r="W90" s="140">
        <f t="shared" si="6"/>
        <v>22.25</v>
      </c>
      <c r="X90" s="141">
        <v>7</v>
      </c>
    </row>
    <row r="91" spans="1:24" ht="19.5">
      <c r="A91" s="160">
        <v>3</v>
      </c>
      <c r="B91" s="175">
        <v>4</v>
      </c>
      <c r="C91" s="171" t="s">
        <v>8</v>
      </c>
      <c r="D91" s="239">
        <v>69.25</v>
      </c>
      <c r="E91" s="140">
        <v>1.5</v>
      </c>
      <c r="F91" s="140">
        <v>0.5</v>
      </c>
      <c r="G91" s="140">
        <v>0</v>
      </c>
      <c r="H91" s="140">
        <v>0</v>
      </c>
      <c r="I91" s="140">
        <v>0</v>
      </c>
      <c r="J91" s="140">
        <v>0</v>
      </c>
      <c r="K91" s="140">
        <v>0</v>
      </c>
      <c r="L91" s="140">
        <v>0</v>
      </c>
      <c r="M91" s="140">
        <v>0</v>
      </c>
      <c r="N91" s="140">
        <v>0</v>
      </c>
      <c r="O91" s="140">
        <v>0</v>
      </c>
      <c r="P91" s="140">
        <v>0</v>
      </c>
      <c r="Q91" s="140">
        <v>0</v>
      </c>
      <c r="R91" s="140">
        <v>0</v>
      </c>
      <c r="S91" s="140">
        <v>0</v>
      </c>
      <c r="T91" s="140">
        <v>0</v>
      </c>
      <c r="U91" s="140">
        <v>0</v>
      </c>
      <c r="V91" s="140">
        <v>0</v>
      </c>
      <c r="W91" s="140">
        <f t="shared" si="6"/>
        <v>2</v>
      </c>
      <c r="X91" s="141">
        <v>7</v>
      </c>
    </row>
    <row r="92" spans="1:24" ht="19.5">
      <c r="A92" s="340">
        <v>4</v>
      </c>
      <c r="B92" s="180">
        <v>4</v>
      </c>
      <c r="C92" s="341" t="s">
        <v>10</v>
      </c>
      <c r="D92" s="239">
        <v>49.75</v>
      </c>
      <c r="E92" s="229">
        <v>0</v>
      </c>
      <c r="F92" s="229">
        <v>1.5</v>
      </c>
      <c r="G92" s="229">
        <v>0</v>
      </c>
      <c r="H92" s="229">
        <v>2</v>
      </c>
      <c r="I92" s="229">
        <v>0</v>
      </c>
      <c r="J92" s="229">
        <v>0</v>
      </c>
      <c r="K92" s="229">
        <v>0</v>
      </c>
      <c r="L92" s="229">
        <v>0</v>
      </c>
      <c r="M92" s="229">
        <v>0</v>
      </c>
      <c r="N92" s="229">
        <v>0</v>
      </c>
      <c r="O92" s="229">
        <v>0</v>
      </c>
      <c r="P92" s="229">
        <v>0</v>
      </c>
      <c r="Q92" s="229">
        <v>0</v>
      </c>
      <c r="R92" s="229">
        <v>0</v>
      </c>
      <c r="S92" s="229">
        <v>3</v>
      </c>
      <c r="T92" s="229">
        <v>3</v>
      </c>
      <c r="U92" s="229">
        <v>0</v>
      </c>
      <c r="V92" s="229">
        <v>0</v>
      </c>
      <c r="W92" s="140">
        <f t="shared" si="6"/>
        <v>9.5</v>
      </c>
      <c r="X92" s="141">
        <v>7</v>
      </c>
    </row>
    <row r="93" spans="1:24" ht="19.5">
      <c r="A93" s="160">
        <v>5</v>
      </c>
      <c r="B93" s="175">
        <v>4</v>
      </c>
      <c r="C93" s="171" t="s">
        <v>53</v>
      </c>
      <c r="D93" s="239">
        <v>28.5</v>
      </c>
      <c r="E93" s="140">
        <v>2.25</v>
      </c>
      <c r="F93" s="140">
        <v>0</v>
      </c>
      <c r="G93" s="140">
        <v>0</v>
      </c>
      <c r="H93" s="140">
        <v>0</v>
      </c>
      <c r="I93" s="140">
        <v>0</v>
      </c>
      <c r="J93" s="140">
        <v>0</v>
      </c>
      <c r="K93" s="140">
        <v>0</v>
      </c>
      <c r="L93" s="140">
        <v>0</v>
      </c>
      <c r="M93" s="140">
        <v>0</v>
      </c>
      <c r="N93" s="140">
        <v>0</v>
      </c>
      <c r="O93" s="140">
        <v>0</v>
      </c>
      <c r="P93" s="140">
        <v>0</v>
      </c>
      <c r="Q93" s="140">
        <v>0</v>
      </c>
      <c r="R93" s="140">
        <v>0</v>
      </c>
      <c r="S93" s="140">
        <v>0</v>
      </c>
      <c r="T93" s="140">
        <v>0</v>
      </c>
      <c r="U93" s="140">
        <v>0</v>
      </c>
      <c r="V93" s="140">
        <v>0</v>
      </c>
      <c r="W93" s="140">
        <f t="shared" si="6"/>
        <v>2.25</v>
      </c>
      <c r="X93" s="141">
        <v>7</v>
      </c>
    </row>
    <row r="94" spans="1:24" ht="19.5">
      <c r="A94" s="161">
        <v>6</v>
      </c>
      <c r="B94" s="180">
        <v>4</v>
      </c>
      <c r="C94" s="172" t="s">
        <v>52</v>
      </c>
      <c r="D94" s="239">
        <v>20.25</v>
      </c>
      <c r="E94" s="140">
        <v>1.5</v>
      </c>
      <c r="F94" s="140">
        <v>0.5</v>
      </c>
      <c r="G94" s="140">
        <v>0</v>
      </c>
      <c r="H94" s="140">
        <v>2</v>
      </c>
      <c r="I94" s="140">
        <v>0</v>
      </c>
      <c r="J94" s="140">
        <v>0</v>
      </c>
      <c r="K94" s="140">
        <v>0</v>
      </c>
      <c r="L94" s="140">
        <v>0</v>
      </c>
      <c r="M94" s="140">
        <v>0</v>
      </c>
      <c r="N94" s="140">
        <v>0</v>
      </c>
      <c r="O94" s="140">
        <v>0</v>
      </c>
      <c r="P94" s="140">
        <v>0</v>
      </c>
      <c r="Q94" s="140">
        <v>0</v>
      </c>
      <c r="R94" s="140">
        <v>0</v>
      </c>
      <c r="S94" s="140">
        <v>0</v>
      </c>
      <c r="T94" s="140">
        <v>0</v>
      </c>
      <c r="U94" s="140">
        <v>0</v>
      </c>
      <c r="V94" s="140">
        <v>0</v>
      </c>
      <c r="W94" s="140">
        <f t="shared" si="6"/>
        <v>4</v>
      </c>
      <c r="X94" s="141">
        <v>7</v>
      </c>
    </row>
    <row r="95" spans="1:24" ht="19.5">
      <c r="A95" s="160">
        <v>7</v>
      </c>
      <c r="B95" s="175">
        <v>4</v>
      </c>
      <c r="C95" s="171" t="s">
        <v>332</v>
      </c>
      <c r="D95" s="239">
        <v>10.75</v>
      </c>
      <c r="E95" s="140">
        <v>0</v>
      </c>
      <c r="F95" s="140">
        <v>1.5</v>
      </c>
      <c r="G95" s="140">
        <v>0</v>
      </c>
      <c r="H95" s="140">
        <v>0</v>
      </c>
      <c r="I95" s="140">
        <v>0</v>
      </c>
      <c r="J95" s="140">
        <v>0</v>
      </c>
      <c r="K95" s="140">
        <v>0</v>
      </c>
      <c r="L95" s="140">
        <v>0</v>
      </c>
      <c r="M95" s="140">
        <v>0</v>
      </c>
      <c r="N95" s="140">
        <v>0</v>
      </c>
      <c r="O95" s="140">
        <v>0</v>
      </c>
      <c r="P95" s="140">
        <v>0</v>
      </c>
      <c r="Q95" s="140">
        <v>0</v>
      </c>
      <c r="R95" s="140">
        <v>0</v>
      </c>
      <c r="S95" s="140">
        <v>0</v>
      </c>
      <c r="T95" s="140">
        <v>0</v>
      </c>
      <c r="U95" s="140">
        <v>0</v>
      </c>
      <c r="V95" s="140">
        <v>0</v>
      </c>
      <c r="W95" s="140">
        <f t="shared" si="6"/>
        <v>1.5</v>
      </c>
      <c r="X95" s="141">
        <v>7</v>
      </c>
    </row>
    <row r="96" spans="1:24" ht="19.5">
      <c r="A96" s="283">
        <v>8</v>
      </c>
      <c r="B96" s="180">
        <v>4</v>
      </c>
      <c r="C96" s="234" t="s">
        <v>370</v>
      </c>
      <c r="D96" s="284">
        <v>5.5</v>
      </c>
      <c r="E96" s="285">
        <v>0</v>
      </c>
      <c r="F96" s="285">
        <v>0.5</v>
      </c>
      <c r="G96" s="285">
        <v>0</v>
      </c>
      <c r="H96" s="285">
        <v>2</v>
      </c>
      <c r="I96" s="285">
        <v>0</v>
      </c>
      <c r="J96" s="285">
        <v>0</v>
      </c>
      <c r="K96" s="285">
        <v>0</v>
      </c>
      <c r="L96" s="285">
        <v>0</v>
      </c>
      <c r="M96" s="285">
        <v>0</v>
      </c>
      <c r="N96" s="285">
        <v>0</v>
      </c>
      <c r="O96" s="285">
        <v>0</v>
      </c>
      <c r="P96" s="285">
        <v>0</v>
      </c>
      <c r="Q96" s="285">
        <v>0</v>
      </c>
      <c r="R96" s="285">
        <v>0</v>
      </c>
      <c r="S96" s="285">
        <v>0</v>
      </c>
      <c r="T96" s="285">
        <v>0</v>
      </c>
      <c r="U96" s="285">
        <v>0</v>
      </c>
      <c r="V96" s="285">
        <v>0</v>
      </c>
      <c r="W96" s="142">
        <f t="shared" si="6"/>
        <v>2.5</v>
      </c>
      <c r="X96" s="286">
        <v>7</v>
      </c>
    </row>
    <row r="97" spans="1:24" ht="19.5">
      <c r="A97" s="342">
        <v>9</v>
      </c>
      <c r="B97" s="175">
        <v>4</v>
      </c>
      <c r="C97" s="343" t="s">
        <v>121</v>
      </c>
      <c r="D97" s="284">
        <v>2.25</v>
      </c>
      <c r="E97" s="142">
        <v>0</v>
      </c>
      <c r="F97" s="142">
        <v>0</v>
      </c>
      <c r="G97" s="142">
        <v>0</v>
      </c>
      <c r="H97" s="142">
        <v>0</v>
      </c>
      <c r="I97" s="142">
        <v>0</v>
      </c>
      <c r="J97" s="142">
        <v>0</v>
      </c>
      <c r="K97" s="142">
        <v>0</v>
      </c>
      <c r="L97" s="142">
        <v>0</v>
      </c>
      <c r="M97" s="142">
        <v>0</v>
      </c>
      <c r="N97" s="142">
        <v>0</v>
      </c>
      <c r="O97" s="142">
        <v>0</v>
      </c>
      <c r="P97" s="142">
        <v>0</v>
      </c>
      <c r="Q97" s="142">
        <v>0</v>
      </c>
      <c r="R97" s="142">
        <v>0</v>
      </c>
      <c r="S97" s="142">
        <v>0</v>
      </c>
      <c r="T97" s="142">
        <v>0</v>
      </c>
      <c r="U97" s="142">
        <v>0</v>
      </c>
      <c r="V97" s="142">
        <v>0</v>
      </c>
      <c r="W97" s="142">
        <f t="shared" si="6"/>
        <v>0</v>
      </c>
      <c r="X97" s="235">
        <v>7</v>
      </c>
    </row>
    <row r="98" spans="1:24" ht="20.25" thickBot="1">
      <c r="A98" s="164">
        <v>10</v>
      </c>
      <c r="B98" s="356">
        <v>4</v>
      </c>
      <c r="C98" s="174" t="s">
        <v>537</v>
      </c>
      <c r="D98" s="241">
        <v>0.75</v>
      </c>
      <c r="E98" s="242">
        <v>0</v>
      </c>
      <c r="F98" s="242">
        <v>0</v>
      </c>
      <c r="G98" s="242">
        <v>0</v>
      </c>
      <c r="H98" s="242">
        <v>0</v>
      </c>
      <c r="I98" s="242">
        <v>0</v>
      </c>
      <c r="J98" s="242">
        <v>0</v>
      </c>
      <c r="K98" s="242">
        <v>0</v>
      </c>
      <c r="L98" s="242">
        <v>0</v>
      </c>
      <c r="M98" s="242">
        <v>0</v>
      </c>
      <c r="N98" s="242">
        <v>0</v>
      </c>
      <c r="O98" s="242">
        <v>0</v>
      </c>
      <c r="P98" s="242">
        <v>0</v>
      </c>
      <c r="Q98" s="242">
        <v>0</v>
      </c>
      <c r="R98" s="242">
        <v>0</v>
      </c>
      <c r="S98" s="242">
        <v>0</v>
      </c>
      <c r="T98" s="242">
        <v>0</v>
      </c>
      <c r="U98" s="242">
        <v>0</v>
      </c>
      <c r="V98" s="242">
        <v>0</v>
      </c>
      <c r="W98" s="156">
        <f t="shared" si="6"/>
        <v>0</v>
      </c>
      <c r="X98" s="243">
        <v>7</v>
      </c>
    </row>
    <row r="99" ht="15.75"/>
    <row r="100" spans="1:24" ht="15.75">
      <c r="A100" s="161"/>
      <c r="B100" s="161"/>
      <c r="C100" s="163"/>
      <c r="D100" s="682" t="s">
        <v>647</v>
      </c>
      <c r="E100" s="683"/>
      <c r="F100" s="683"/>
      <c r="G100" s="683"/>
      <c r="H100" s="683"/>
      <c r="I100" s="683"/>
      <c r="J100" s="683"/>
      <c r="K100" s="683"/>
      <c r="L100" s="683"/>
      <c r="M100" s="683"/>
      <c r="N100" s="683"/>
      <c r="O100" s="683"/>
      <c r="P100" s="683"/>
      <c r="Q100" s="683"/>
      <c r="R100" s="683"/>
      <c r="S100" s="683"/>
      <c r="T100" s="683"/>
      <c r="U100" s="683"/>
      <c r="V100" s="683"/>
      <c r="W100" s="683"/>
      <c r="X100" s="683"/>
    </row>
    <row r="101" spans="1:24" ht="15.75">
      <c r="A101" s="161"/>
      <c r="B101" s="161"/>
      <c r="C101" s="163"/>
      <c r="D101" s="683"/>
      <c r="E101" s="683"/>
      <c r="F101" s="683"/>
      <c r="G101" s="683"/>
      <c r="H101" s="683"/>
      <c r="I101" s="683"/>
      <c r="J101" s="683"/>
      <c r="K101" s="683"/>
      <c r="L101" s="683"/>
      <c r="M101" s="683"/>
      <c r="N101" s="683"/>
      <c r="O101" s="683"/>
      <c r="P101" s="683"/>
      <c r="Q101" s="683"/>
      <c r="R101" s="683"/>
      <c r="S101" s="683"/>
      <c r="T101" s="683"/>
      <c r="U101" s="683"/>
      <c r="V101" s="683"/>
      <c r="W101" s="683"/>
      <c r="X101" s="683"/>
    </row>
    <row r="102" spans="1:24" ht="15.75">
      <c r="A102" s="161"/>
      <c r="B102" s="161"/>
      <c r="C102" s="163"/>
      <c r="D102" s="147" t="s">
        <v>329</v>
      </c>
      <c r="E102" s="136">
        <v>1</v>
      </c>
      <c r="F102" s="136">
        <v>2</v>
      </c>
      <c r="G102" s="136">
        <v>3</v>
      </c>
      <c r="H102" s="136">
        <v>4</v>
      </c>
      <c r="I102" s="136">
        <v>5</v>
      </c>
      <c r="J102" s="136">
        <v>6</v>
      </c>
      <c r="K102" s="136">
        <v>7</v>
      </c>
      <c r="L102" s="136">
        <v>8</v>
      </c>
      <c r="M102" s="136">
        <v>9</v>
      </c>
      <c r="N102" s="136">
        <v>10</v>
      </c>
      <c r="O102" s="136">
        <v>11</v>
      </c>
      <c r="P102" s="136">
        <v>12</v>
      </c>
      <c r="Q102" s="136">
        <v>13</v>
      </c>
      <c r="R102" s="136">
        <v>14</v>
      </c>
      <c r="S102" s="136">
        <v>15</v>
      </c>
      <c r="T102" s="136">
        <v>16</v>
      </c>
      <c r="U102" s="136">
        <v>17</v>
      </c>
      <c r="V102" s="136">
        <v>18</v>
      </c>
      <c r="W102" s="137" t="s">
        <v>310</v>
      </c>
      <c r="X102" s="138"/>
    </row>
    <row r="103" spans="1:24" ht="16.5" thickBot="1">
      <c r="A103" s="164"/>
      <c r="B103" s="164"/>
      <c r="C103" s="165"/>
      <c r="D103" s="151" t="s">
        <v>331</v>
      </c>
      <c r="E103" s="166">
        <v>0.75</v>
      </c>
      <c r="F103" s="166">
        <v>0.25</v>
      </c>
      <c r="G103" s="166">
        <v>3</v>
      </c>
      <c r="H103" s="166">
        <v>2</v>
      </c>
      <c r="I103" s="166">
        <v>0.75</v>
      </c>
      <c r="J103" s="166">
        <v>-3</v>
      </c>
      <c r="K103" s="166">
        <v>-4</v>
      </c>
      <c r="L103" s="166">
        <v>20</v>
      </c>
      <c r="M103" s="166">
        <v>10</v>
      </c>
      <c r="N103" s="166">
        <v>5</v>
      </c>
      <c r="O103" s="166">
        <v>3</v>
      </c>
      <c r="P103" s="166">
        <v>5</v>
      </c>
      <c r="Q103" s="166">
        <v>7</v>
      </c>
      <c r="R103" s="166">
        <v>3</v>
      </c>
      <c r="S103" s="166">
        <v>3</v>
      </c>
      <c r="T103" s="166">
        <v>3</v>
      </c>
      <c r="U103" s="166">
        <v>8.25</v>
      </c>
      <c r="V103" s="166">
        <v>16</v>
      </c>
      <c r="W103" s="152" t="s">
        <v>330</v>
      </c>
      <c r="X103" s="153" t="s">
        <v>310</v>
      </c>
    </row>
    <row r="104" spans="1:24" ht="19.5">
      <c r="A104" s="160">
        <v>1</v>
      </c>
      <c r="B104" s="177">
        <v>5</v>
      </c>
      <c r="C104" s="167" t="s">
        <v>333</v>
      </c>
      <c r="D104" s="239">
        <v>156.5</v>
      </c>
      <c r="E104" s="140">
        <v>2.25</v>
      </c>
      <c r="F104" s="140">
        <v>4.5</v>
      </c>
      <c r="G104" s="140">
        <v>3</v>
      </c>
      <c r="H104" s="140">
        <v>0</v>
      </c>
      <c r="I104" s="140">
        <v>0.75</v>
      </c>
      <c r="J104" s="140">
        <v>0</v>
      </c>
      <c r="K104" s="140">
        <v>0</v>
      </c>
      <c r="L104" s="140">
        <v>20</v>
      </c>
      <c r="M104" s="140">
        <v>0</v>
      </c>
      <c r="N104" s="140">
        <v>0</v>
      </c>
      <c r="O104" s="140">
        <v>3</v>
      </c>
      <c r="P104" s="140">
        <v>5</v>
      </c>
      <c r="Q104" s="140">
        <v>7</v>
      </c>
      <c r="R104" s="140">
        <v>3</v>
      </c>
      <c r="S104" s="140">
        <v>0</v>
      </c>
      <c r="T104" s="140">
        <v>0</v>
      </c>
      <c r="U104" s="140">
        <v>0</v>
      </c>
      <c r="V104" s="140">
        <v>0</v>
      </c>
      <c r="W104" s="140">
        <f aca="true" t="shared" si="7" ref="W104:W113">SUM(E104:V104)</f>
        <v>48.5</v>
      </c>
      <c r="X104" s="141">
        <v>8</v>
      </c>
    </row>
    <row r="105" spans="1:24" ht="19.5">
      <c r="A105" s="340">
        <v>2</v>
      </c>
      <c r="B105" s="385">
        <v>6</v>
      </c>
      <c r="C105" s="412" t="s">
        <v>12</v>
      </c>
      <c r="D105" s="239">
        <v>150</v>
      </c>
      <c r="E105" s="140">
        <v>1.5</v>
      </c>
      <c r="F105" s="140">
        <v>1.5</v>
      </c>
      <c r="G105" s="140">
        <v>0</v>
      </c>
      <c r="H105" s="140">
        <v>2</v>
      </c>
      <c r="I105" s="140">
        <v>0</v>
      </c>
      <c r="J105" s="140">
        <v>0</v>
      </c>
      <c r="K105" s="140">
        <v>0</v>
      </c>
      <c r="L105" s="140">
        <v>0</v>
      </c>
      <c r="M105" s="140">
        <v>0</v>
      </c>
      <c r="N105" s="140">
        <v>0</v>
      </c>
      <c r="O105" s="140">
        <v>0</v>
      </c>
      <c r="P105" s="140">
        <v>0</v>
      </c>
      <c r="Q105" s="140">
        <v>0</v>
      </c>
      <c r="R105" s="140">
        <v>0</v>
      </c>
      <c r="S105" s="140">
        <v>0</v>
      </c>
      <c r="T105" s="140">
        <v>3</v>
      </c>
      <c r="U105" s="140">
        <v>0</v>
      </c>
      <c r="V105" s="140">
        <v>0</v>
      </c>
      <c r="W105" s="140">
        <f>SUM(E105:V105)</f>
        <v>8</v>
      </c>
      <c r="X105" s="141">
        <v>8</v>
      </c>
    </row>
    <row r="106" spans="1:24" ht="19.5">
      <c r="A106" s="160">
        <v>3</v>
      </c>
      <c r="B106" s="175">
        <v>4</v>
      </c>
      <c r="C106" s="171" t="s">
        <v>8</v>
      </c>
      <c r="D106" s="239">
        <v>75.75</v>
      </c>
      <c r="E106" s="140">
        <v>1.5</v>
      </c>
      <c r="F106" s="140">
        <v>0</v>
      </c>
      <c r="G106" s="140">
        <v>0</v>
      </c>
      <c r="H106" s="140">
        <v>2</v>
      </c>
      <c r="I106" s="140">
        <v>0</v>
      </c>
      <c r="J106" s="140">
        <v>0</v>
      </c>
      <c r="K106" s="140">
        <v>0</v>
      </c>
      <c r="L106" s="140">
        <v>0</v>
      </c>
      <c r="M106" s="140">
        <v>0</v>
      </c>
      <c r="N106" s="140">
        <v>0</v>
      </c>
      <c r="O106" s="140">
        <v>0</v>
      </c>
      <c r="P106" s="140">
        <v>0</v>
      </c>
      <c r="Q106" s="140">
        <v>0</v>
      </c>
      <c r="R106" s="140">
        <v>0</v>
      </c>
      <c r="S106" s="140">
        <v>3</v>
      </c>
      <c r="T106" s="140">
        <v>0</v>
      </c>
      <c r="U106" s="140">
        <v>0</v>
      </c>
      <c r="V106" s="140">
        <v>0</v>
      </c>
      <c r="W106" s="140">
        <f t="shared" si="7"/>
        <v>6.5</v>
      </c>
      <c r="X106" s="141">
        <v>8</v>
      </c>
    </row>
    <row r="107" spans="1:24" ht="19.5">
      <c r="A107" s="340">
        <v>4</v>
      </c>
      <c r="B107" s="180">
        <v>4</v>
      </c>
      <c r="C107" s="341" t="s">
        <v>10</v>
      </c>
      <c r="D107" s="239">
        <v>51</v>
      </c>
      <c r="E107" s="229">
        <v>0</v>
      </c>
      <c r="F107" s="229">
        <v>1.25</v>
      </c>
      <c r="G107" s="229">
        <v>0</v>
      </c>
      <c r="H107" s="229">
        <v>0</v>
      </c>
      <c r="I107" s="229">
        <v>0</v>
      </c>
      <c r="J107" s="229">
        <v>0</v>
      </c>
      <c r="K107" s="229">
        <v>0</v>
      </c>
      <c r="L107" s="229">
        <v>0</v>
      </c>
      <c r="M107" s="229">
        <v>0</v>
      </c>
      <c r="N107" s="229">
        <v>0</v>
      </c>
      <c r="O107" s="229">
        <v>0</v>
      </c>
      <c r="P107" s="229">
        <v>0</v>
      </c>
      <c r="Q107" s="229">
        <v>0</v>
      </c>
      <c r="R107" s="229">
        <v>0</v>
      </c>
      <c r="S107" s="229">
        <v>0</v>
      </c>
      <c r="T107" s="229">
        <v>0</v>
      </c>
      <c r="U107" s="229">
        <v>0</v>
      </c>
      <c r="V107" s="229">
        <v>0</v>
      </c>
      <c r="W107" s="140">
        <f t="shared" si="7"/>
        <v>1.25</v>
      </c>
      <c r="X107" s="141">
        <v>8</v>
      </c>
    </row>
    <row r="108" spans="1:24" ht="19.5">
      <c r="A108" s="160">
        <v>5</v>
      </c>
      <c r="B108" s="175">
        <v>4</v>
      </c>
      <c r="C108" s="171" t="s">
        <v>53</v>
      </c>
      <c r="D108" s="239">
        <v>30</v>
      </c>
      <c r="E108" s="140">
        <v>1.5</v>
      </c>
      <c r="F108" s="140">
        <v>0</v>
      </c>
      <c r="G108" s="140">
        <v>0</v>
      </c>
      <c r="H108" s="140">
        <v>0</v>
      </c>
      <c r="I108" s="140">
        <v>0</v>
      </c>
      <c r="J108" s="140">
        <v>0</v>
      </c>
      <c r="K108" s="140">
        <v>0</v>
      </c>
      <c r="L108" s="140">
        <v>0</v>
      </c>
      <c r="M108" s="140">
        <v>0</v>
      </c>
      <c r="N108" s="140">
        <v>0</v>
      </c>
      <c r="O108" s="140">
        <v>0</v>
      </c>
      <c r="P108" s="140">
        <v>0</v>
      </c>
      <c r="Q108" s="140">
        <v>0</v>
      </c>
      <c r="R108" s="140">
        <v>0</v>
      </c>
      <c r="S108" s="140">
        <v>0</v>
      </c>
      <c r="T108" s="140">
        <v>0</v>
      </c>
      <c r="U108" s="140">
        <v>0</v>
      </c>
      <c r="V108" s="140">
        <v>0</v>
      </c>
      <c r="W108" s="140">
        <f t="shared" si="7"/>
        <v>1.5</v>
      </c>
      <c r="X108" s="141">
        <v>8</v>
      </c>
    </row>
    <row r="109" spans="1:24" ht="19.5">
      <c r="A109" s="161">
        <v>6</v>
      </c>
      <c r="B109" s="180">
        <v>4</v>
      </c>
      <c r="C109" s="172" t="s">
        <v>52</v>
      </c>
      <c r="D109" s="239">
        <v>23</v>
      </c>
      <c r="E109" s="140">
        <v>2.25</v>
      </c>
      <c r="F109" s="140">
        <v>0.5</v>
      </c>
      <c r="G109" s="140">
        <v>0</v>
      </c>
      <c r="H109" s="140">
        <v>0</v>
      </c>
      <c r="I109" s="140">
        <v>0</v>
      </c>
      <c r="J109" s="140">
        <v>0</v>
      </c>
      <c r="K109" s="140">
        <v>0</v>
      </c>
      <c r="L109" s="140">
        <v>0</v>
      </c>
      <c r="M109" s="140">
        <v>0</v>
      </c>
      <c r="N109" s="140">
        <v>0</v>
      </c>
      <c r="O109" s="140">
        <v>0</v>
      </c>
      <c r="P109" s="140">
        <v>0</v>
      </c>
      <c r="Q109" s="140">
        <v>0</v>
      </c>
      <c r="R109" s="140">
        <v>0</v>
      </c>
      <c r="S109" s="140">
        <v>0</v>
      </c>
      <c r="T109" s="140">
        <v>0</v>
      </c>
      <c r="U109" s="140">
        <v>0</v>
      </c>
      <c r="V109" s="140">
        <v>0</v>
      </c>
      <c r="W109" s="140">
        <f t="shared" si="7"/>
        <v>2.75</v>
      </c>
      <c r="X109" s="141">
        <v>8</v>
      </c>
    </row>
    <row r="110" spans="1:24" ht="19.5">
      <c r="A110" s="160">
        <v>7</v>
      </c>
      <c r="B110" s="175">
        <v>4</v>
      </c>
      <c r="C110" s="171" t="s">
        <v>332</v>
      </c>
      <c r="D110" s="239">
        <v>11.5</v>
      </c>
      <c r="E110" s="140">
        <v>0</v>
      </c>
      <c r="F110" s="140">
        <v>0.75</v>
      </c>
      <c r="G110" s="140">
        <v>0</v>
      </c>
      <c r="H110" s="140">
        <v>0</v>
      </c>
      <c r="I110" s="140">
        <v>0</v>
      </c>
      <c r="J110" s="140">
        <v>0</v>
      </c>
      <c r="K110" s="140">
        <v>0</v>
      </c>
      <c r="L110" s="140">
        <v>0</v>
      </c>
      <c r="M110" s="140">
        <v>0</v>
      </c>
      <c r="N110" s="140">
        <v>0</v>
      </c>
      <c r="O110" s="140">
        <v>0</v>
      </c>
      <c r="P110" s="140">
        <v>0</v>
      </c>
      <c r="Q110" s="140">
        <v>0</v>
      </c>
      <c r="R110" s="140">
        <v>0</v>
      </c>
      <c r="S110" s="140">
        <v>0</v>
      </c>
      <c r="T110" s="140">
        <v>0</v>
      </c>
      <c r="U110" s="140">
        <v>0</v>
      </c>
      <c r="V110" s="140">
        <v>0</v>
      </c>
      <c r="W110" s="140">
        <f t="shared" si="7"/>
        <v>0.75</v>
      </c>
      <c r="X110" s="141">
        <v>8</v>
      </c>
    </row>
    <row r="111" spans="1:24" ht="19.5">
      <c r="A111" s="283">
        <v>8</v>
      </c>
      <c r="B111" s="180">
        <v>4</v>
      </c>
      <c r="C111" s="234" t="s">
        <v>370</v>
      </c>
      <c r="D111" s="284">
        <v>6.25</v>
      </c>
      <c r="E111" s="285">
        <v>0</v>
      </c>
      <c r="F111" s="285">
        <v>0.75</v>
      </c>
      <c r="G111" s="285">
        <v>0</v>
      </c>
      <c r="H111" s="285">
        <v>0</v>
      </c>
      <c r="I111" s="285">
        <v>0</v>
      </c>
      <c r="J111" s="285">
        <v>0</v>
      </c>
      <c r="K111" s="285">
        <v>0</v>
      </c>
      <c r="L111" s="285">
        <v>0</v>
      </c>
      <c r="M111" s="285">
        <v>0</v>
      </c>
      <c r="N111" s="285">
        <v>0</v>
      </c>
      <c r="O111" s="285">
        <v>0</v>
      </c>
      <c r="P111" s="285">
        <v>0</v>
      </c>
      <c r="Q111" s="285">
        <v>0</v>
      </c>
      <c r="R111" s="285">
        <v>0</v>
      </c>
      <c r="S111" s="285">
        <v>0</v>
      </c>
      <c r="T111" s="285">
        <v>0</v>
      </c>
      <c r="U111" s="285">
        <v>0</v>
      </c>
      <c r="V111" s="285">
        <v>0</v>
      </c>
      <c r="W111" s="142">
        <f t="shared" si="7"/>
        <v>0.75</v>
      </c>
      <c r="X111" s="286">
        <v>8</v>
      </c>
    </row>
    <row r="112" spans="1:24" ht="19.5">
      <c r="A112" s="342">
        <v>9</v>
      </c>
      <c r="B112" s="175">
        <v>4</v>
      </c>
      <c r="C112" s="343" t="s">
        <v>121</v>
      </c>
      <c r="D112" s="284">
        <v>2.25</v>
      </c>
      <c r="E112" s="142">
        <v>0</v>
      </c>
      <c r="F112" s="142">
        <v>0</v>
      </c>
      <c r="G112" s="142">
        <v>0</v>
      </c>
      <c r="H112" s="142">
        <v>0</v>
      </c>
      <c r="I112" s="142">
        <v>0</v>
      </c>
      <c r="J112" s="142">
        <v>0</v>
      </c>
      <c r="K112" s="142">
        <v>0</v>
      </c>
      <c r="L112" s="142">
        <v>0</v>
      </c>
      <c r="M112" s="142">
        <v>0</v>
      </c>
      <c r="N112" s="142">
        <v>0</v>
      </c>
      <c r="O112" s="142">
        <v>0</v>
      </c>
      <c r="P112" s="142">
        <v>0</v>
      </c>
      <c r="Q112" s="142">
        <v>0</v>
      </c>
      <c r="R112" s="142">
        <v>0</v>
      </c>
      <c r="S112" s="142">
        <v>0</v>
      </c>
      <c r="T112" s="142">
        <v>0</v>
      </c>
      <c r="U112" s="142">
        <v>0</v>
      </c>
      <c r="V112" s="142">
        <v>0</v>
      </c>
      <c r="W112" s="142">
        <f t="shared" si="7"/>
        <v>0</v>
      </c>
      <c r="X112" s="235">
        <v>8</v>
      </c>
    </row>
    <row r="113" spans="1:24" ht="20.25" thickBot="1">
      <c r="A113" s="164">
        <v>10</v>
      </c>
      <c r="B113" s="356">
        <v>4</v>
      </c>
      <c r="C113" s="174" t="s">
        <v>537</v>
      </c>
      <c r="D113" s="241">
        <v>0.75</v>
      </c>
      <c r="E113" s="242">
        <v>0</v>
      </c>
      <c r="F113" s="242">
        <v>0</v>
      </c>
      <c r="G113" s="242">
        <v>0</v>
      </c>
      <c r="H113" s="242">
        <v>0</v>
      </c>
      <c r="I113" s="242">
        <v>0</v>
      </c>
      <c r="J113" s="242">
        <v>0</v>
      </c>
      <c r="K113" s="242">
        <v>0</v>
      </c>
      <c r="L113" s="242">
        <v>0</v>
      </c>
      <c r="M113" s="242">
        <v>0</v>
      </c>
      <c r="N113" s="242">
        <v>0</v>
      </c>
      <c r="O113" s="242">
        <v>0</v>
      </c>
      <c r="P113" s="242">
        <v>0</v>
      </c>
      <c r="Q113" s="242">
        <v>0</v>
      </c>
      <c r="R113" s="242">
        <v>0</v>
      </c>
      <c r="S113" s="242">
        <v>0</v>
      </c>
      <c r="T113" s="242">
        <v>0</v>
      </c>
      <c r="U113" s="242">
        <v>0</v>
      </c>
      <c r="V113" s="242">
        <v>0</v>
      </c>
      <c r="W113" s="156">
        <f t="shared" si="7"/>
        <v>0</v>
      </c>
      <c r="X113" s="243">
        <v>8</v>
      </c>
    </row>
    <row r="114" ht="15.75"/>
    <row r="115" spans="1:24" ht="15.75">
      <c r="A115" s="161"/>
      <c r="B115" s="161"/>
      <c r="C115" s="163"/>
      <c r="D115" s="682" t="s">
        <v>675</v>
      </c>
      <c r="E115" s="683"/>
      <c r="F115" s="683"/>
      <c r="G115" s="683"/>
      <c r="H115" s="683"/>
      <c r="I115" s="683"/>
      <c r="J115" s="683"/>
      <c r="K115" s="683"/>
      <c r="L115" s="683"/>
      <c r="M115" s="683"/>
      <c r="N115" s="683"/>
      <c r="O115" s="683"/>
      <c r="P115" s="683"/>
      <c r="Q115" s="683"/>
      <c r="R115" s="683"/>
      <c r="S115" s="683"/>
      <c r="T115" s="683"/>
      <c r="U115" s="683"/>
      <c r="V115" s="683"/>
      <c r="W115" s="683"/>
      <c r="X115" s="683"/>
    </row>
    <row r="116" spans="1:24" ht="15.75">
      <c r="A116" s="161"/>
      <c r="B116" s="161"/>
      <c r="C116" s="163"/>
      <c r="D116" s="683"/>
      <c r="E116" s="683"/>
      <c r="F116" s="683"/>
      <c r="G116" s="683"/>
      <c r="H116" s="683"/>
      <c r="I116" s="683"/>
      <c r="J116" s="683"/>
      <c r="K116" s="683"/>
      <c r="L116" s="683"/>
      <c r="M116" s="683"/>
      <c r="N116" s="683"/>
      <c r="O116" s="683"/>
      <c r="P116" s="683"/>
      <c r="Q116" s="683"/>
      <c r="R116" s="683"/>
      <c r="S116" s="683"/>
      <c r="T116" s="683"/>
      <c r="U116" s="683"/>
      <c r="V116" s="683"/>
      <c r="W116" s="683"/>
      <c r="X116" s="683"/>
    </row>
    <row r="117" spans="1:24" ht="15.75">
      <c r="A117" s="161"/>
      <c r="B117" s="161"/>
      <c r="C117" s="163"/>
      <c r="D117" s="147" t="s">
        <v>329</v>
      </c>
      <c r="E117" s="136">
        <v>1</v>
      </c>
      <c r="F117" s="136">
        <v>2</v>
      </c>
      <c r="G117" s="136">
        <v>3</v>
      </c>
      <c r="H117" s="136">
        <v>4</v>
      </c>
      <c r="I117" s="136">
        <v>5</v>
      </c>
      <c r="J117" s="136">
        <v>6</v>
      </c>
      <c r="K117" s="136">
        <v>7</v>
      </c>
      <c r="L117" s="136">
        <v>8</v>
      </c>
      <c r="M117" s="136">
        <v>9</v>
      </c>
      <c r="N117" s="136">
        <v>10</v>
      </c>
      <c r="O117" s="136">
        <v>11</v>
      </c>
      <c r="P117" s="136">
        <v>12</v>
      </c>
      <c r="Q117" s="136">
        <v>13</v>
      </c>
      <c r="R117" s="136">
        <v>14</v>
      </c>
      <c r="S117" s="136">
        <v>15</v>
      </c>
      <c r="T117" s="136">
        <v>16</v>
      </c>
      <c r="U117" s="136">
        <v>17</v>
      </c>
      <c r="V117" s="136">
        <v>18</v>
      </c>
      <c r="W117" s="137" t="s">
        <v>310</v>
      </c>
      <c r="X117" s="138"/>
    </row>
    <row r="118" spans="1:24" ht="16.5" thickBot="1">
      <c r="A118" s="164"/>
      <c r="B118" s="164"/>
      <c r="C118" s="165"/>
      <c r="D118" s="151" t="s">
        <v>331</v>
      </c>
      <c r="E118" s="166">
        <v>0.75</v>
      </c>
      <c r="F118" s="166">
        <v>0.25</v>
      </c>
      <c r="G118" s="166">
        <v>3</v>
      </c>
      <c r="H118" s="166">
        <v>2</v>
      </c>
      <c r="I118" s="166">
        <v>0.75</v>
      </c>
      <c r="J118" s="166">
        <v>-3</v>
      </c>
      <c r="K118" s="166">
        <v>-4</v>
      </c>
      <c r="L118" s="166">
        <v>20</v>
      </c>
      <c r="M118" s="166">
        <v>10</v>
      </c>
      <c r="N118" s="166">
        <v>5</v>
      </c>
      <c r="O118" s="166">
        <v>3</v>
      </c>
      <c r="P118" s="166">
        <v>5</v>
      </c>
      <c r="Q118" s="166">
        <v>7</v>
      </c>
      <c r="R118" s="166">
        <v>3</v>
      </c>
      <c r="S118" s="166">
        <v>3</v>
      </c>
      <c r="T118" s="166">
        <v>3</v>
      </c>
      <c r="U118" s="166">
        <v>8.25</v>
      </c>
      <c r="V118" s="166">
        <v>16</v>
      </c>
      <c r="W118" s="152" t="s">
        <v>330</v>
      </c>
      <c r="X118" s="153" t="s">
        <v>310</v>
      </c>
    </row>
    <row r="119" spans="1:24" ht="19.5">
      <c r="A119" s="160">
        <v>1</v>
      </c>
      <c r="B119" s="175">
        <v>4</v>
      </c>
      <c r="C119" s="167" t="s">
        <v>333</v>
      </c>
      <c r="D119" s="239">
        <v>206</v>
      </c>
      <c r="E119" s="140">
        <v>4.5</v>
      </c>
      <c r="F119" s="140">
        <v>4.25</v>
      </c>
      <c r="G119" s="140">
        <v>0</v>
      </c>
      <c r="H119" s="140">
        <v>2</v>
      </c>
      <c r="I119" s="140">
        <v>0.75</v>
      </c>
      <c r="J119" s="140">
        <v>0</v>
      </c>
      <c r="K119" s="140">
        <v>0</v>
      </c>
      <c r="L119" s="140">
        <v>20</v>
      </c>
      <c r="M119" s="140">
        <v>0</v>
      </c>
      <c r="N119" s="140">
        <v>0</v>
      </c>
      <c r="O119" s="140">
        <v>3</v>
      </c>
      <c r="P119" s="140">
        <v>5</v>
      </c>
      <c r="Q119" s="140">
        <v>7</v>
      </c>
      <c r="R119" s="140">
        <v>3</v>
      </c>
      <c r="S119" s="140">
        <v>0</v>
      </c>
      <c r="T119" s="140">
        <v>0</v>
      </c>
      <c r="U119" s="140">
        <v>0</v>
      </c>
      <c r="V119" s="140">
        <v>0</v>
      </c>
      <c r="W119" s="140">
        <f>SUM(E119:V119)</f>
        <v>49.5</v>
      </c>
      <c r="X119" s="141">
        <v>9</v>
      </c>
    </row>
    <row r="120" spans="1:24" ht="19.5">
      <c r="A120" s="340">
        <v>2</v>
      </c>
      <c r="B120" s="180">
        <v>4</v>
      </c>
      <c r="C120" s="412" t="s">
        <v>12</v>
      </c>
      <c r="D120" s="239">
        <v>156</v>
      </c>
      <c r="E120" s="140">
        <v>1.5</v>
      </c>
      <c r="F120" s="140">
        <v>1.5</v>
      </c>
      <c r="G120" s="140">
        <v>0</v>
      </c>
      <c r="H120" s="140">
        <v>0</v>
      </c>
      <c r="I120" s="140">
        <v>0</v>
      </c>
      <c r="J120" s="140">
        <v>0</v>
      </c>
      <c r="K120" s="140">
        <v>0</v>
      </c>
      <c r="L120" s="140">
        <v>0</v>
      </c>
      <c r="M120" s="140">
        <v>0</v>
      </c>
      <c r="N120" s="140">
        <v>0</v>
      </c>
      <c r="O120" s="140">
        <v>0</v>
      </c>
      <c r="P120" s="140">
        <v>0</v>
      </c>
      <c r="Q120" s="140">
        <v>0</v>
      </c>
      <c r="R120" s="140">
        <v>0</v>
      </c>
      <c r="S120" s="140">
        <v>0</v>
      </c>
      <c r="T120" s="140">
        <v>3</v>
      </c>
      <c r="U120" s="140">
        <v>0</v>
      </c>
      <c r="V120" s="140">
        <v>0</v>
      </c>
      <c r="W120" s="140">
        <f aca="true" t="shared" si="8" ref="W120:W128">SUM(E120:V120)</f>
        <v>6</v>
      </c>
      <c r="X120" s="141">
        <v>9</v>
      </c>
    </row>
    <row r="121" spans="1:24" ht="19.5">
      <c r="A121" s="160">
        <v>3</v>
      </c>
      <c r="B121" s="175">
        <v>4</v>
      </c>
      <c r="C121" s="171" t="s">
        <v>8</v>
      </c>
      <c r="D121" s="239">
        <v>80</v>
      </c>
      <c r="E121" s="140">
        <v>0.75</v>
      </c>
      <c r="F121" s="140">
        <v>0.5</v>
      </c>
      <c r="G121" s="140">
        <v>0</v>
      </c>
      <c r="H121" s="140">
        <v>0</v>
      </c>
      <c r="I121" s="140">
        <v>0</v>
      </c>
      <c r="J121" s="140">
        <v>0</v>
      </c>
      <c r="K121" s="140">
        <v>0</v>
      </c>
      <c r="L121" s="140">
        <v>0</v>
      </c>
      <c r="M121" s="140">
        <v>0</v>
      </c>
      <c r="N121" s="140">
        <v>0</v>
      </c>
      <c r="O121" s="140">
        <v>0</v>
      </c>
      <c r="P121" s="140">
        <v>0</v>
      </c>
      <c r="Q121" s="140">
        <v>0</v>
      </c>
      <c r="R121" s="140">
        <v>0</v>
      </c>
      <c r="S121" s="140">
        <v>3</v>
      </c>
      <c r="T121" s="140">
        <v>0</v>
      </c>
      <c r="U121" s="140">
        <v>0</v>
      </c>
      <c r="V121" s="140">
        <v>0</v>
      </c>
      <c r="W121" s="140">
        <f t="shared" si="8"/>
        <v>4.25</v>
      </c>
      <c r="X121" s="141">
        <v>9</v>
      </c>
    </row>
    <row r="122" spans="1:24" ht="19.5">
      <c r="A122" s="340">
        <v>4</v>
      </c>
      <c r="B122" s="180">
        <v>4</v>
      </c>
      <c r="C122" s="341" t="s">
        <v>10</v>
      </c>
      <c r="D122" s="239">
        <v>52</v>
      </c>
      <c r="E122" s="229">
        <v>0</v>
      </c>
      <c r="F122" s="229">
        <v>1</v>
      </c>
      <c r="G122" s="229">
        <v>0</v>
      </c>
      <c r="H122" s="229">
        <v>0</v>
      </c>
      <c r="I122" s="229">
        <v>0</v>
      </c>
      <c r="J122" s="229">
        <v>0</v>
      </c>
      <c r="K122" s="229">
        <v>0</v>
      </c>
      <c r="L122" s="229">
        <v>0</v>
      </c>
      <c r="M122" s="229">
        <v>0</v>
      </c>
      <c r="N122" s="229">
        <v>0</v>
      </c>
      <c r="O122" s="229">
        <v>0</v>
      </c>
      <c r="P122" s="229">
        <v>0</v>
      </c>
      <c r="Q122" s="229">
        <v>0</v>
      </c>
      <c r="R122" s="229">
        <v>0</v>
      </c>
      <c r="S122" s="229">
        <v>0</v>
      </c>
      <c r="T122" s="229">
        <v>0</v>
      </c>
      <c r="U122" s="229">
        <v>0</v>
      </c>
      <c r="V122" s="229">
        <v>0</v>
      </c>
      <c r="W122" s="140">
        <f t="shared" si="8"/>
        <v>1</v>
      </c>
      <c r="X122" s="141">
        <v>9</v>
      </c>
    </row>
    <row r="123" spans="1:24" ht="19.5">
      <c r="A123" s="160">
        <v>5</v>
      </c>
      <c r="B123" s="175">
        <v>4</v>
      </c>
      <c r="C123" s="171" t="s">
        <v>53</v>
      </c>
      <c r="D123" s="239">
        <v>31</v>
      </c>
      <c r="E123" s="140">
        <v>0.75</v>
      </c>
      <c r="F123" s="140">
        <v>0.25</v>
      </c>
      <c r="G123" s="140">
        <v>0</v>
      </c>
      <c r="H123" s="140">
        <v>0</v>
      </c>
      <c r="I123" s="140">
        <v>0</v>
      </c>
      <c r="J123" s="140">
        <v>0</v>
      </c>
      <c r="K123" s="140">
        <v>0</v>
      </c>
      <c r="L123" s="140">
        <v>0</v>
      </c>
      <c r="M123" s="140">
        <v>0</v>
      </c>
      <c r="N123" s="140">
        <v>0</v>
      </c>
      <c r="O123" s="140">
        <v>0</v>
      </c>
      <c r="P123" s="140">
        <v>0</v>
      </c>
      <c r="Q123" s="140">
        <v>0</v>
      </c>
      <c r="R123" s="140">
        <v>0</v>
      </c>
      <c r="S123" s="140">
        <v>0</v>
      </c>
      <c r="T123" s="140">
        <v>0</v>
      </c>
      <c r="U123" s="140">
        <v>0</v>
      </c>
      <c r="V123" s="140">
        <v>0</v>
      </c>
      <c r="W123" s="140">
        <f t="shared" si="8"/>
        <v>1</v>
      </c>
      <c r="X123" s="141">
        <v>9</v>
      </c>
    </row>
    <row r="124" spans="1:24" ht="19.5">
      <c r="A124" s="161">
        <v>6</v>
      </c>
      <c r="B124" s="180">
        <v>4</v>
      </c>
      <c r="C124" s="172" t="s">
        <v>52</v>
      </c>
      <c r="D124" s="239">
        <v>24.5</v>
      </c>
      <c r="E124" s="140">
        <v>1.5</v>
      </c>
      <c r="F124" s="140">
        <v>0</v>
      </c>
      <c r="G124" s="140">
        <v>0</v>
      </c>
      <c r="H124" s="140">
        <v>0</v>
      </c>
      <c r="I124" s="140">
        <v>0</v>
      </c>
      <c r="J124" s="140">
        <v>0</v>
      </c>
      <c r="K124" s="140">
        <v>0</v>
      </c>
      <c r="L124" s="140">
        <v>0</v>
      </c>
      <c r="M124" s="140">
        <v>0</v>
      </c>
      <c r="N124" s="140">
        <v>0</v>
      </c>
      <c r="O124" s="140">
        <v>0</v>
      </c>
      <c r="P124" s="140">
        <v>0</v>
      </c>
      <c r="Q124" s="140">
        <v>0</v>
      </c>
      <c r="R124" s="140">
        <v>0</v>
      </c>
      <c r="S124" s="140">
        <v>0</v>
      </c>
      <c r="T124" s="140">
        <v>0</v>
      </c>
      <c r="U124" s="140">
        <v>0</v>
      </c>
      <c r="V124" s="140">
        <v>0</v>
      </c>
      <c r="W124" s="140">
        <f t="shared" si="8"/>
        <v>1.5</v>
      </c>
      <c r="X124" s="141">
        <v>9</v>
      </c>
    </row>
    <row r="125" spans="1:24" ht="19.5">
      <c r="A125" s="160">
        <v>7</v>
      </c>
      <c r="B125" s="175">
        <v>4</v>
      </c>
      <c r="C125" s="171" t="s">
        <v>332</v>
      </c>
      <c r="D125" s="239">
        <v>12.75</v>
      </c>
      <c r="E125" s="140">
        <v>0</v>
      </c>
      <c r="F125" s="140">
        <v>1.25</v>
      </c>
      <c r="G125" s="140">
        <v>0</v>
      </c>
      <c r="H125" s="140">
        <v>0</v>
      </c>
      <c r="I125" s="140">
        <v>0</v>
      </c>
      <c r="J125" s="140">
        <v>0</v>
      </c>
      <c r="K125" s="140">
        <v>0</v>
      </c>
      <c r="L125" s="140">
        <v>0</v>
      </c>
      <c r="M125" s="140">
        <v>0</v>
      </c>
      <c r="N125" s="140">
        <v>0</v>
      </c>
      <c r="O125" s="140">
        <v>0</v>
      </c>
      <c r="P125" s="140">
        <v>0</v>
      </c>
      <c r="Q125" s="140">
        <v>0</v>
      </c>
      <c r="R125" s="140">
        <v>0</v>
      </c>
      <c r="S125" s="140">
        <v>0</v>
      </c>
      <c r="T125" s="140">
        <v>0</v>
      </c>
      <c r="U125" s="140">
        <v>0</v>
      </c>
      <c r="V125" s="140">
        <v>0</v>
      </c>
      <c r="W125" s="140">
        <f t="shared" si="8"/>
        <v>1.25</v>
      </c>
      <c r="X125" s="141">
        <v>9</v>
      </c>
    </row>
    <row r="126" spans="1:24" ht="19.5">
      <c r="A126" s="283">
        <v>8</v>
      </c>
      <c r="B126" s="180">
        <v>4</v>
      </c>
      <c r="C126" s="234" t="s">
        <v>370</v>
      </c>
      <c r="D126" s="284">
        <v>6.5</v>
      </c>
      <c r="E126" s="285">
        <v>0</v>
      </c>
      <c r="F126" s="285">
        <v>0.25</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142">
        <f t="shared" si="8"/>
        <v>0.25</v>
      </c>
      <c r="X126" s="286">
        <v>9</v>
      </c>
    </row>
    <row r="127" spans="1:24" ht="19.5">
      <c r="A127" s="342">
        <v>9</v>
      </c>
      <c r="B127" s="175">
        <v>4</v>
      </c>
      <c r="C127" s="343" t="s">
        <v>121</v>
      </c>
      <c r="D127" s="284">
        <v>2.25</v>
      </c>
      <c r="E127" s="142">
        <v>0</v>
      </c>
      <c r="F127" s="142">
        <v>0</v>
      </c>
      <c r="G127" s="142">
        <v>0</v>
      </c>
      <c r="H127" s="142">
        <v>0</v>
      </c>
      <c r="I127" s="142">
        <v>0</v>
      </c>
      <c r="J127" s="142">
        <v>0</v>
      </c>
      <c r="K127" s="142">
        <v>0</v>
      </c>
      <c r="L127" s="142">
        <v>0</v>
      </c>
      <c r="M127" s="142">
        <v>0</v>
      </c>
      <c r="N127" s="142">
        <v>0</v>
      </c>
      <c r="O127" s="142">
        <v>0</v>
      </c>
      <c r="P127" s="142">
        <v>0</v>
      </c>
      <c r="Q127" s="142">
        <v>0</v>
      </c>
      <c r="R127" s="142">
        <v>0</v>
      </c>
      <c r="S127" s="142">
        <v>0</v>
      </c>
      <c r="T127" s="142">
        <v>0</v>
      </c>
      <c r="U127" s="142">
        <v>0</v>
      </c>
      <c r="V127" s="142">
        <v>0</v>
      </c>
      <c r="W127" s="142">
        <f t="shared" si="8"/>
        <v>0</v>
      </c>
      <c r="X127" s="235">
        <v>9</v>
      </c>
    </row>
    <row r="128" spans="1:24" ht="20.25" thickBot="1">
      <c r="A128" s="164">
        <v>10</v>
      </c>
      <c r="B128" s="356">
        <v>4</v>
      </c>
      <c r="C128" s="174" t="s">
        <v>537</v>
      </c>
      <c r="D128" s="241">
        <v>0.75</v>
      </c>
      <c r="E128" s="242">
        <v>0</v>
      </c>
      <c r="F128" s="242">
        <v>0</v>
      </c>
      <c r="G128" s="242">
        <v>0</v>
      </c>
      <c r="H128" s="242">
        <v>0</v>
      </c>
      <c r="I128" s="242">
        <v>0</v>
      </c>
      <c r="J128" s="242">
        <v>0</v>
      </c>
      <c r="K128" s="242">
        <v>0</v>
      </c>
      <c r="L128" s="242">
        <v>0</v>
      </c>
      <c r="M128" s="242">
        <v>0</v>
      </c>
      <c r="N128" s="242">
        <v>0</v>
      </c>
      <c r="O128" s="242">
        <v>0</v>
      </c>
      <c r="P128" s="242">
        <v>0</v>
      </c>
      <c r="Q128" s="242">
        <v>0</v>
      </c>
      <c r="R128" s="242">
        <v>0</v>
      </c>
      <c r="S128" s="242">
        <v>0</v>
      </c>
      <c r="T128" s="242">
        <v>0</v>
      </c>
      <c r="U128" s="242">
        <v>0</v>
      </c>
      <c r="V128" s="242">
        <v>0</v>
      </c>
      <c r="W128" s="156">
        <f t="shared" si="8"/>
        <v>0</v>
      </c>
      <c r="X128" s="243">
        <v>9</v>
      </c>
    </row>
    <row r="129" ht="15.75"/>
    <row r="130" spans="1:24" ht="15.75">
      <c r="A130" s="161"/>
      <c r="B130" s="161"/>
      <c r="C130" s="163"/>
      <c r="D130" s="682" t="s">
        <v>701</v>
      </c>
      <c r="E130" s="683"/>
      <c r="F130" s="683"/>
      <c r="G130" s="683"/>
      <c r="H130" s="683"/>
      <c r="I130" s="683"/>
      <c r="J130" s="683"/>
      <c r="K130" s="683"/>
      <c r="L130" s="683"/>
      <c r="M130" s="683"/>
      <c r="N130" s="683"/>
      <c r="O130" s="683"/>
      <c r="P130" s="683"/>
      <c r="Q130" s="683"/>
      <c r="R130" s="683"/>
      <c r="S130" s="683"/>
      <c r="T130" s="683"/>
      <c r="U130" s="683"/>
      <c r="V130" s="683"/>
      <c r="W130" s="683"/>
      <c r="X130" s="683"/>
    </row>
    <row r="131" spans="1:24" ht="15.75">
      <c r="A131" s="161"/>
      <c r="B131" s="161"/>
      <c r="C131" s="163"/>
      <c r="D131" s="683"/>
      <c r="E131" s="683"/>
      <c r="F131" s="683"/>
      <c r="G131" s="683"/>
      <c r="H131" s="683"/>
      <c r="I131" s="683"/>
      <c r="J131" s="683"/>
      <c r="K131" s="683"/>
      <c r="L131" s="683"/>
      <c r="M131" s="683"/>
      <c r="N131" s="683"/>
      <c r="O131" s="683"/>
      <c r="P131" s="683"/>
      <c r="Q131" s="683"/>
      <c r="R131" s="683"/>
      <c r="S131" s="683"/>
      <c r="T131" s="683"/>
      <c r="U131" s="683"/>
      <c r="V131" s="683"/>
      <c r="W131" s="683"/>
      <c r="X131" s="683"/>
    </row>
    <row r="132" spans="1:24" ht="15.75">
      <c r="A132" s="161"/>
      <c r="B132" s="161"/>
      <c r="C132" s="163"/>
      <c r="D132" s="147" t="s">
        <v>329</v>
      </c>
      <c r="E132" s="136">
        <v>1</v>
      </c>
      <c r="F132" s="136">
        <v>2</v>
      </c>
      <c r="G132" s="136">
        <v>3</v>
      </c>
      <c r="H132" s="136">
        <v>4</v>
      </c>
      <c r="I132" s="136">
        <v>5</v>
      </c>
      <c r="J132" s="136">
        <v>6</v>
      </c>
      <c r="K132" s="136">
        <v>7</v>
      </c>
      <c r="L132" s="136">
        <v>8</v>
      </c>
      <c r="M132" s="136">
        <v>9</v>
      </c>
      <c r="N132" s="136">
        <v>10</v>
      </c>
      <c r="O132" s="136">
        <v>11</v>
      </c>
      <c r="P132" s="136">
        <v>12</v>
      </c>
      <c r="Q132" s="136">
        <v>13</v>
      </c>
      <c r="R132" s="136">
        <v>14</v>
      </c>
      <c r="S132" s="136">
        <v>15</v>
      </c>
      <c r="T132" s="136">
        <v>16</v>
      </c>
      <c r="U132" s="136">
        <v>17</v>
      </c>
      <c r="V132" s="136">
        <v>18</v>
      </c>
      <c r="W132" s="137" t="s">
        <v>310</v>
      </c>
      <c r="X132" s="138"/>
    </row>
    <row r="133" spans="1:24" ht="16.5" thickBot="1">
      <c r="A133" s="164"/>
      <c r="B133" s="164"/>
      <c r="C133" s="165"/>
      <c r="D133" s="151" t="s">
        <v>331</v>
      </c>
      <c r="E133" s="166">
        <v>0.75</v>
      </c>
      <c r="F133" s="166">
        <v>0.25</v>
      </c>
      <c r="G133" s="166">
        <v>3</v>
      </c>
      <c r="H133" s="166">
        <v>2</v>
      </c>
      <c r="I133" s="166">
        <v>0.75</v>
      </c>
      <c r="J133" s="166">
        <v>-3</v>
      </c>
      <c r="K133" s="166">
        <v>-4</v>
      </c>
      <c r="L133" s="166">
        <v>20</v>
      </c>
      <c r="M133" s="166">
        <v>10</v>
      </c>
      <c r="N133" s="166">
        <v>5</v>
      </c>
      <c r="O133" s="166">
        <v>3</v>
      </c>
      <c r="P133" s="166">
        <v>5</v>
      </c>
      <c r="Q133" s="166">
        <v>7</v>
      </c>
      <c r="R133" s="166">
        <v>3</v>
      </c>
      <c r="S133" s="166">
        <v>3</v>
      </c>
      <c r="T133" s="166">
        <v>3</v>
      </c>
      <c r="U133" s="166">
        <v>8.25</v>
      </c>
      <c r="V133" s="166">
        <v>16</v>
      </c>
      <c r="W133" s="152" t="s">
        <v>330</v>
      </c>
      <c r="X133" s="153" t="s">
        <v>310</v>
      </c>
    </row>
    <row r="134" spans="1:24" ht="19.5">
      <c r="A134" s="160">
        <v>1</v>
      </c>
      <c r="B134" s="175">
        <v>4</v>
      </c>
      <c r="C134" s="167" t="s">
        <v>333</v>
      </c>
      <c r="D134" s="239">
        <v>243.75</v>
      </c>
      <c r="E134" s="140">
        <v>3.75</v>
      </c>
      <c r="F134" s="140">
        <v>3.25</v>
      </c>
      <c r="G134" s="140">
        <v>0</v>
      </c>
      <c r="H134" s="140">
        <v>2</v>
      </c>
      <c r="I134" s="140">
        <v>0.75</v>
      </c>
      <c r="J134" s="140">
        <v>0</v>
      </c>
      <c r="K134" s="140">
        <v>0</v>
      </c>
      <c r="L134" s="140">
        <v>0</v>
      </c>
      <c r="M134" s="140">
        <v>10</v>
      </c>
      <c r="N134" s="140">
        <v>0</v>
      </c>
      <c r="O134" s="140">
        <v>3</v>
      </c>
      <c r="P134" s="140">
        <v>5</v>
      </c>
      <c r="Q134" s="140">
        <v>7</v>
      </c>
      <c r="R134" s="140">
        <v>3</v>
      </c>
      <c r="S134" s="140">
        <v>0</v>
      </c>
      <c r="T134" s="140">
        <v>0</v>
      </c>
      <c r="U134" s="140">
        <v>0</v>
      </c>
      <c r="V134" s="140">
        <v>0</v>
      </c>
      <c r="W134" s="140">
        <f>SUM(E134:V134)</f>
        <v>37.75</v>
      </c>
      <c r="X134" s="141">
        <v>10</v>
      </c>
    </row>
    <row r="135" spans="1:24" ht="19.5">
      <c r="A135" s="340">
        <v>2</v>
      </c>
      <c r="B135" s="180">
        <v>4</v>
      </c>
      <c r="C135" s="412" t="s">
        <v>12</v>
      </c>
      <c r="D135" s="239">
        <v>175.75</v>
      </c>
      <c r="E135" s="140">
        <v>2.25</v>
      </c>
      <c r="F135" s="140">
        <v>1.5</v>
      </c>
      <c r="G135" s="140">
        <v>3</v>
      </c>
      <c r="H135" s="140">
        <v>0</v>
      </c>
      <c r="I135" s="140">
        <v>0</v>
      </c>
      <c r="J135" s="140">
        <v>0</v>
      </c>
      <c r="K135" s="140">
        <v>0</v>
      </c>
      <c r="L135" s="140">
        <v>0</v>
      </c>
      <c r="M135" s="140">
        <v>10</v>
      </c>
      <c r="N135" s="140">
        <v>0</v>
      </c>
      <c r="O135" s="140">
        <v>0</v>
      </c>
      <c r="P135" s="140">
        <v>0</v>
      </c>
      <c r="Q135" s="140">
        <v>0</v>
      </c>
      <c r="R135" s="140">
        <v>0</v>
      </c>
      <c r="S135" s="140">
        <v>3</v>
      </c>
      <c r="T135" s="140">
        <v>0</v>
      </c>
      <c r="U135" s="140">
        <v>0</v>
      </c>
      <c r="V135" s="140">
        <v>0</v>
      </c>
      <c r="W135" s="140">
        <f aca="true" t="shared" si="9" ref="W135:W143">SUM(E135:V135)</f>
        <v>19.75</v>
      </c>
      <c r="X135" s="141">
        <v>10</v>
      </c>
    </row>
    <row r="136" spans="1:24" ht="19.5">
      <c r="A136" s="160">
        <v>3</v>
      </c>
      <c r="B136" s="175">
        <v>4</v>
      </c>
      <c r="C136" s="171" t="s">
        <v>8</v>
      </c>
      <c r="D136" s="239">
        <v>84.25</v>
      </c>
      <c r="E136" s="140">
        <v>0.75</v>
      </c>
      <c r="F136" s="140">
        <v>0.5</v>
      </c>
      <c r="G136" s="140">
        <v>0</v>
      </c>
      <c r="H136" s="140">
        <v>0</v>
      </c>
      <c r="I136" s="140">
        <v>0</v>
      </c>
      <c r="J136" s="140">
        <v>0</v>
      </c>
      <c r="K136" s="140">
        <v>0</v>
      </c>
      <c r="L136" s="140">
        <v>0</v>
      </c>
      <c r="M136" s="140">
        <v>0</v>
      </c>
      <c r="N136" s="140">
        <v>0</v>
      </c>
      <c r="O136" s="140">
        <v>0</v>
      </c>
      <c r="P136" s="140">
        <v>0</v>
      </c>
      <c r="Q136" s="140">
        <v>0</v>
      </c>
      <c r="R136" s="140">
        <v>0</v>
      </c>
      <c r="S136" s="140">
        <v>0</v>
      </c>
      <c r="T136" s="140">
        <v>3</v>
      </c>
      <c r="U136" s="140">
        <v>0</v>
      </c>
      <c r="V136" s="140">
        <v>0</v>
      </c>
      <c r="W136" s="140">
        <f t="shared" si="9"/>
        <v>4.25</v>
      </c>
      <c r="X136" s="141">
        <v>10</v>
      </c>
    </row>
    <row r="137" spans="1:24" ht="19.5">
      <c r="A137" s="340">
        <v>4</v>
      </c>
      <c r="B137" s="180">
        <v>4</v>
      </c>
      <c r="C137" s="341" t="s">
        <v>10</v>
      </c>
      <c r="D137" s="239">
        <v>54</v>
      </c>
      <c r="E137" s="229">
        <v>0</v>
      </c>
      <c r="F137" s="229">
        <v>0</v>
      </c>
      <c r="G137" s="229">
        <v>0</v>
      </c>
      <c r="H137" s="229">
        <v>2</v>
      </c>
      <c r="I137" s="229">
        <v>0</v>
      </c>
      <c r="J137" s="229">
        <v>0</v>
      </c>
      <c r="K137" s="229">
        <v>0</v>
      </c>
      <c r="L137" s="229">
        <v>0</v>
      </c>
      <c r="M137" s="229">
        <v>0</v>
      </c>
      <c r="N137" s="229">
        <v>0</v>
      </c>
      <c r="O137" s="229">
        <v>0</v>
      </c>
      <c r="P137" s="229">
        <v>0</v>
      </c>
      <c r="Q137" s="229">
        <v>0</v>
      </c>
      <c r="R137" s="229">
        <v>0</v>
      </c>
      <c r="S137" s="229">
        <v>0</v>
      </c>
      <c r="T137" s="229">
        <v>0</v>
      </c>
      <c r="U137" s="229">
        <v>0</v>
      </c>
      <c r="V137" s="229">
        <v>0</v>
      </c>
      <c r="W137" s="140">
        <f t="shared" si="9"/>
        <v>2</v>
      </c>
      <c r="X137" s="141">
        <v>10</v>
      </c>
    </row>
    <row r="138" spans="1:24" ht="19.5">
      <c r="A138" s="160">
        <v>5</v>
      </c>
      <c r="B138" s="175">
        <v>4</v>
      </c>
      <c r="C138" s="171" t="s">
        <v>53</v>
      </c>
      <c r="D138" s="239">
        <v>33.25</v>
      </c>
      <c r="E138" s="140">
        <v>2.25</v>
      </c>
      <c r="F138" s="140">
        <v>0</v>
      </c>
      <c r="G138" s="140">
        <v>0</v>
      </c>
      <c r="H138" s="140">
        <v>0</v>
      </c>
      <c r="I138" s="140">
        <v>0</v>
      </c>
      <c r="J138" s="140">
        <v>0</v>
      </c>
      <c r="K138" s="140">
        <v>0</v>
      </c>
      <c r="L138" s="140">
        <v>0</v>
      </c>
      <c r="M138" s="140">
        <v>0</v>
      </c>
      <c r="N138" s="140">
        <v>0</v>
      </c>
      <c r="O138" s="140">
        <v>0</v>
      </c>
      <c r="P138" s="140">
        <v>0</v>
      </c>
      <c r="Q138" s="140">
        <v>0</v>
      </c>
      <c r="R138" s="140">
        <v>0</v>
      </c>
      <c r="S138" s="140">
        <v>0</v>
      </c>
      <c r="T138" s="140">
        <v>0</v>
      </c>
      <c r="U138" s="140">
        <v>0</v>
      </c>
      <c r="V138" s="140">
        <v>0</v>
      </c>
      <c r="W138" s="140">
        <f t="shared" si="9"/>
        <v>2.25</v>
      </c>
      <c r="X138" s="141">
        <v>10</v>
      </c>
    </row>
    <row r="139" spans="1:24" ht="19.5">
      <c r="A139" s="161">
        <v>6</v>
      </c>
      <c r="B139" s="180">
        <v>4</v>
      </c>
      <c r="C139" s="172" t="s">
        <v>52</v>
      </c>
      <c r="D139" s="239">
        <v>24.5</v>
      </c>
      <c r="E139" s="140">
        <v>0</v>
      </c>
      <c r="F139" s="140">
        <v>0</v>
      </c>
      <c r="G139" s="140">
        <v>0</v>
      </c>
      <c r="H139" s="140">
        <v>0</v>
      </c>
      <c r="I139" s="140">
        <v>0</v>
      </c>
      <c r="J139" s="140">
        <v>0</v>
      </c>
      <c r="K139" s="140">
        <v>0</v>
      </c>
      <c r="L139" s="140">
        <v>0</v>
      </c>
      <c r="M139" s="140">
        <v>0</v>
      </c>
      <c r="N139" s="140">
        <v>0</v>
      </c>
      <c r="O139" s="140">
        <v>0</v>
      </c>
      <c r="P139" s="140">
        <v>0</v>
      </c>
      <c r="Q139" s="140">
        <v>0</v>
      </c>
      <c r="R139" s="140">
        <v>0</v>
      </c>
      <c r="S139" s="140">
        <v>0</v>
      </c>
      <c r="T139" s="140">
        <v>0</v>
      </c>
      <c r="U139" s="140">
        <v>0</v>
      </c>
      <c r="V139" s="140">
        <v>0</v>
      </c>
      <c r="W139" s="140">
        <f t="shared" si="9"/>
        <v>0</v>
      </c>
      <c r="X139" s="141">
        <v>10</v>
      </c>
    </row>
    <row r="140" spans="1:24" ht="19.5">
      <c r="A140" s="160">
        <v>7</v>
      </c>
      <c r="B140" s="175">
        <v>4</v>
      </c>
      <c r="C140" s="171" t="s">
        <v>332</v>
      </c>
      <c r="D140" s="239">
        <v>13.75</v>
      </c>
      <c r="E140" s="140">
        <v>0</v>
      </c>
      <c r="F140" s="140">
        <v>1</v>
      </c>
      <c r="G140" s="140">
        <v>0</v>
      </c>
      <c r="H140" s="140">
        <v>0</v>
      </c>
      <c r="I140" s="140">
        <v>0</v>
      </c>
      <c r="J140" s="140">
        <v>0</v>
      </c>
      <c r="K140" s="140">
        <v>0</v>
      </c>
      <c r="L140" s="140">
        <v>0</v>
      </c>
      <c r="M140" s="140">
        <v>0</v>
      </c>
      <c r="N140" s="140">
        <v>0</v>
      </c>
      <c r="O140" s="140">
        <v>0</v>
      </c>
      <c r="P140" s="140">
        <v>0</v>
      </c>
      <c r="Q140" s="140">
        <v>0</v>
      </c>
      <c r="R140" s="140">
        <v>0</v>
      </c>
      <c r="S140" s="140">
        <v>0</v>
      </c>
      <c r="T140" s="140">
        <v>0</v>
      </c>
      <c r="U140" s="140">
        <v>0</v>
      </c>
      <c r="V140" s="140">
        <v>0</v>
      </c>
      <c r="W140" s="140">
        <f t="shared" si="9"/>
        <v>1</v>
      </c>
      <c r="X140" s="141">
        <v>10</v>
      </c>
    </row>
    <row r="141" spans="1:24" ht="19.5">
      <c r="A141" s="283">
        <v>8</v>
      </c>
      <c r="B141" s="180">
        <v>4</v>
      </c>
      <c r="C141" s="234" t="s">
        <v>370</v>
      </c>
      <c r="D141" s="284">
        <v>7.25</v>
      </c>
      <c r="E141" s="285">
        <v>0</v>
      </c>
      <c r="F141" s="285">
        <v>0.75</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142">
        <f t="shared" si="9"/>
        <v>0.75</v>
      </c>
      <c r="X141" s="286">
        <v>10</v>
      </c>
    </row>
    <row r="142" spans="1:24" ht="19.5">
      <c r="A142" s="342">
        <v>9</v>
      </c>
      <c r="B142" s="175">
        <v>4</v>
      </c>
      <c r="C142" s="343" t="s">
        <v>121</v>
      </c>
      <c r="D142" s="284">
        <v>2.25</v>
      </c>
      <c r="E142" s="142">
        <v>0</v>
      </c>
      <c r="F142" s="142">
        <v>0</v>
      </c>
      <c r="G142" s="142">
        <v>0</v>
      </c>
      <c r="H142" s="142">
        <v>0</v>
      </c>
      <c r="I142" s="142">
        <v>0</v>
      </c>
      <c r="J142" s="142">
        <v>0</v>
      </c>
      <c r="K142" s="142">
        <v>0</v>
      </c>
      <c r="L142" s="142">
        <v>0</v>
      </c>
      <c r="M142" s="142">
        <v>0</v>
      </c>
      <c r="N142" s="142">
        <v>0</v>
      </c>
      <c r="O142" s="142">
        <v>0</v>
      </c>
      <c r="P142" s="142">
        <v>0</v>
      </c>
      <c r="Q142" s="142">
        <v>0</v>
      </c>
      <c r="R142" s="142">
        <v>0</v>
      </c>
      <c r="S142" s="142">
        <v>0</v>
      </c>
      <c r="T142" s="142">
        <v>0</v>
      </c>
      <c r="U142" s="142">
        <v>0</v>
      </c>
      <c r="V142" s="142">
        <v>0</v>
      </c>
      <c r="W142" s="142">
        <f t="shared" si="9"/>
        <v>0</v>
      </c>
      <c r="X142" s="235">
        <v>10</v>
      </c>
    </row>
    <row r="143" spans="1:24" ht="20.25" thickBot="1">
      <c r="A143" s="164">
        <v>10</v>
      </c>
      <c r="B143" s="356">
        <v>4</v>
      </c>
      <c r="C143" s="174" t="s">
        <v>537</v>
      </c>
      <c r="D143" s="241">
        <v>0.75</v>
      </c>
      <c r="E143" s="242">
        <v>0</v>
      </c>
      <c r="F143" s="242">
        <v>0</v>
      </c>
      <c r="G143" s="242">
        <v>0</v>
      </c>
      <c r="H143" s="242">
        <v>0</v>
      </c>
      <c r="I143" s="242">
        <v>0</v>
      </c>
      <c r="J143" s="242">
        <v>0</v>
      </c>
      <c r="K143" s="242">
        <v>0</v>
      </c>
      <c r="L143" s="242">
        <v>0</v>
      </c>
      <c r="M143" s="242">
        <v>0</v>
      </c>
      <c r="N143" s="242">
        <v>0</v>
      </c>
      <c r="O143" s="242">
        <v>0</v>
      </c>
      <c r="P143" s="242">
        <v>0</v>
      </c>
      <c r="Q143" s="242">
        <v>0</v>
      </c>
      <c r="R143" s="242">
        <v>0</v>
      </c>
      <c r="S143" s="242">
        <v>0</v>
      </c>
      <c r="T143" s="242">
        <v>0</v>
      </c>
      <c r="U143" s="242">
        <v>0</v>
      </c>
      <c r="V143" s="242">
        <v>0</v>
      </c>
      <c r="W143" s="156">
        <f t="shared" si="9"/>
        <v>0</v>
      </c>
      <c r="X143" s="243">
        <v>10</v>
      </c>
    </row>
    <row r="144" ht="15.75"/>
    <row r="145" spans="1:24" ht="15.75">
      <c r="A145" s="161"/>
      <c r="B145" s="161"/>
      <c r="C145" s="163"/>
      <c r="D145" s="682" t="s">
        <v>742</v>
      </c>
      <c r="E145" s="683"/>
      <c r="F145" s="683"/>
      <c r="G145" s="683"/>
      <c r="H145" s="683"/>
      <c r="I145" s="683"/>
      <c r="J145" s="683"/>
      <c r="K145" s="683"/>
      <c r="L145" s="683"/>
      <c r="M145" s="683"/>
      <c r="N145" s="683"/>
      <c r="O145" s="683"/>
      <c r="P145" s="683"/>
      <c r="Q145" s="683"/>
      <c r="R145" s="683"/>
      <c r="S145" s="683"/>
      <c r="T145" s="683"/>
      <c r="U145" s="683"/>
      <c r="V145" s="683"/>
      <c r="W145" s="683"/>
      <c r="X145" s="683"/>
    </row>
    <row r="146" spans="1:24" ht="15.75">
      <c r="A146" s="161"/>
      <c r="B146" s="161"/>
      <c r="C146" s="163"/>
      <c r="D146" s="683"/>
      <c r="E146" s="683"/>
      <c r="F146" s="683"/>
      <c r="G146" s="683"/>
      <c r="H146" s="683"/>
      <c r="I146" s="683"/>
      <c r="J146" s="683"/>
      <c r="K146" s="683"/>
      <c r="L146" s="683"/>
      <c r="M146" s="683"/>
      <c r="N146" s="683"/>
      <c r="O146" s="683"/>
      <c r="P146" s="683"/>
      <c r="Q146" s="683"/>
      <c r="R146" s="683"/>
      <c r="S146" s="683"/>
      <c r="T146" s="683"/>
      <c r="U146" s="683"/>
      <c r="V146" s="683"/>
      <c r="W146" s="683"/>
      <c r="X146" s="683"/>
    </row>
    <row r="147" spans="1:24" ht="15.75">
      <c r="A147" s="161"/>
      <c r="B147" s="161"/>
      <c r="C147" s="163"/>
      <c r="D147" s="147" t="s">
        <v>329</v>
      </c>
      <c r="E147" s="136">
        <v>1</v>
      </c>
      <c r="F147" s="136">
        <v>2</v>
      </c>
      <c r="G147" s="136">
        <v>3</v>
      </c>
      <c r="H147" s="136">
        <v>4</v>
      </c>
      <c r="I147" s="136">
        <v>5</v>
      </c>
      <c r="J147" s="136">
        <v>6</v>
      </c>
      <c r="K147" s="136">
        <v>7</v>
      </c>
      <c r="L147" s="136">
        <v>8</v>
      </c>
      <c r="M147" s="136">
        <v>9</v>
      </c>
      <c r="N147" s="136">
        <v>10</v>
      </c>
      <c r="O147" s="136">
        <v>11</v>
      </c>
      <c r="P147" s="136">
        <v>12</v>
      </c>
      <c r="Q147" s="136">
        <v>13</v>
      </c>
      <c r="R147" s="136">
        <v>14</v>
      </c>
      <c r="S147" s="136">
        <v>15</v>
      </c>
      <c r="T147" s="136">
        <v>16</v>
      </c>
      <c r="U147" s="136">
        <v>17</v>
      </c>
      <c r="V147" s="136">
        <v>18</v>
      </c>
      <c r="W147" s="137" t="s">
        <v>310</v>
      </c>
      <c r="X147" s="138"/>
    </row>
    <row r="148" spans="1:24" ht="16.5" thickBot="1">
      <c r="A148" s="164"/>
      <c r="B148" s="164"/>
      <c r="C148" s="165"/>
      <c r="D148" s="151" t="s">
        <v>331</v>
      </c>
      <c r="E148" s="166">
        <v>0.75</v>
      </c>
      <c r="F148" s="166">
        <v>0.25</v>
      </c>
      <c r="G148" s="166">
        <v>3</v>
      </c>
      <c r="H148" s="166">
        <v>2</v>
      </c>
      <c r="I148" s="166">
        <v>0.75</v>
      </c>
      <c r="J148" s="166">
        <v>-3</v>
      </c>
      <c r="K148" s="166">
        <v>-4</v>
      </c>
      <c r="L148" s="166">
        <v>20</v>
      </c>
      <c r="M148" s="166">
        <v>10</v>
      </c>
      <c r="N148" s="166">
        <v>5</v>
      </c>
      <c r="O148" s="166">
        <v>3</v>
      </c>
      <c r="P148" s="166">
        <v>5</v>
      </c>
      <c r="Q148" s="166">
        <v>7</v>
      </c>
      <c r="R148" s="166">
        <v>3</v>
      </c>
      <c r="S148" s="166">
        <v>3</v>
      </c>
      <c r="T148" s="166">
        <v>3</v>
      </c>
      <c r="U148" s="166">
        <v>8.25</v>
      </c>
      <c r="V148" s="166">
        <v>16</v>
      </c>
      <c r="W148" s="152" t="s">
        <v>330</v>
      </c>
      <c r="X148" s="153" t="s">
        <v>310</v>
      </c>
    </row>
    <row r="149" spans="1:24" ht="19.5">
      <c r="A149" s="160">
        <v>1</v>
      </c>
      <c r="B149" s="175">
        <v>4</v>
      </c>
      <c r="C149" s="167" t="s">
        <v>333</v>
      </c>
      <c r="D149" s="239">
        <v>281.5</v>
      </c>
      <c r="E149" s="140">
        <v>0.75</v>
      </c>
      <c r="F149" s="140">
        <v>1.25</v>
      </c>
      <c r="G149" s="140">
        <v>0</v>
      </c>
      <c r="H149" s="140">
        <v>4</v>
      </c>
      <c r="I149" s="140">
        <v>0.75</v>
      </c>
      <c r="J149" s="140">
        <v>0</v>
      </c>
      <c r="K149" s="140">
        <v>0</v>
      </c>
      <c r="L149" s="140">
        <v>0</v>
      </c>
      <c r="M149" s="140">
        <v>10</v>
      </c>
      <c r="N149" s="140">
        <v>0</v>
      </c>
      <c r="O149" s="140">
        <v>3</v>
      </c>
      <c r="P149" s="140">
        <v>5</v>
      </c>
      <c r="Q149" s="140">
        <v>7</v>
      </c>
      <c r="R149" s="140">
        <v>3</v>
      </c>
      <c r="S149" s="140">
        <v>0</v>
      </c>
      <c r="T149" s="140">
        <v>3</v>
      </c>
      <c r="U149" s="140">
        <v>0</v>
      </c>
      <c r="V149" s="140">
        <v>0</v>
      </c>
      <c r="W149" s="140">
        <f>SUM(E149:V149)</f>
        <v>37.75</v>
      </c>
      <c r="X149" s="141">
        <v>11</v>
      </c>
    </row>
    <row r="150" spans="1:24" ht="19.5">
      <c r="A150" s="340">
        <v>2</v>
      </c>
      <c r="B150" s="180">
        <v>4</v>
      </c>
      <c r="C150" s="412" t="s">
        <v>12</v>
      </c>
      <c r="D150" s="239">
        <v>189.75</v>
      </c>
      <c r="E150" s="140">
        <v>2.25</v>
      </c>
      <c r="F150" s="140">
        <v>1.75</v>
      </c>
      <c r="G150" s="140">
        <v>0</v>
      </c>
      <c r="H150" s="140">
        <v>2</v>
      </c>
      <c r="I150" s="140">
        <v>0</v>
      </c>
      <c r="J150" s="140">
        <v>0</v>
      </c>
      <c r="K150" s="140">
        <v>0</v>
      </c>
      <c r="L150" s="140">
        <v>0</v>
      </c>
      <c r="M150" s="140">
        <v>0</v>
      </c>
      <c r="N150" s="140">
        <v>5</v>
      </c>
      <c r="O150" s="140">
        <v>0</v>
      </c>
      <c r="P150" s="140">
        <v>0</v>
      </c>
      <c r="Q150" s="140">
        <v>0</v>
      </c>
      <c r="R150" s="140">
        <v>0</v>
      </c>
      <c r="S150" s="140">
        <v>3</v>
      </c>
      <c r="T150" s="140">
        <v>0</v>
      </c>
      <c r="U150" s="140">
        <v>0</v>
      </c>
      <c r="V150" s="140">
        <v>0</v>
      </c>
      <c r="W150" s="140">
        <f aca="true" t="shared" si="10" ref="W150:W158">SUM(E150:V150)</f>
        <v>14</v>
      </c>
      <c r="X150" s="141">
        <v>11</v>
      </c>
    </row>
    <row r="151" spans="1:24" ht="19.5">
      <c r="A151" s="160">
        <v>3</v>
      </c>
      <c r="B151" s="175">
        <v>4</v>
      </c>
      <c r="C151" s="171" t="s">
        <v>8</v>
      </c>
      <c r="D151" s="239">
        <v>87.25</v>
      </c>
      <c r="E151" s="140">
        <v>0.75</v>
      </c>
      <c r="F151" s="140">
        <v>0.25</v>
      </c>
      <c r="G151" s="140">
        <v>0</v>
      </c>
      <c r="H151" s="140">
        <v>2</v>
      </c>
      <c r="I151" s="140">
        <v>0</v>
      </c>
      <c r="J151" s="140">
        <v>0</v>
      </c>
      <c r="K151" s="140">
        <v>0</v>
      </c>
      <c r="L151" s="140">
        <v>0</v>
      </c>
      <c r="M151" s="140">
        <v>0</v>
      </c>
      <c r="N151" s="140">
        <v>0</v>
      </c>
      <c r="O151" s="140">
        <v>0</v>
      </c>
      <c r="P151" s="140">
        <v>0</v>
      </c>
      <c r="Q151" s="140">
        <v>0</v>
      </c>
      <c r="R151" s="140">
        <v>0</v>
      </c>
      <c r="S151" s="140">
        <v>0</v>
      </c>
      <c r="T151" s="140">
        <v>0</v>
      </c>
      <c r="U151" s="140">
        <v>0</v>
      </c>
      <c r="V151" s="140">
        <v>0</v>
      </c>
      <c r="W151" s="140">
        <f t="shared" si="10"/>
        <v>3</v>
      </c>
      <c r="X151" s="141">
        <v>11</v>
      </c>
    </row>
    <row r="152" spans="1:24" ht="19.5">
      <c r="A152" s="340">
        <v>4</v>
      </c>
      <c r="B152" s="180">
        <v>4</v>
      </c>
      <c r="C152" s="341" t="s">
        <v>10</v>
      </c>
      <c r="D152" s="239">
        <v>57</v>
      </c>
      <c r="E152" s="229">
        <v>0</v>
      </c>
      <c r="F152" s="229">
        <v>1</v>
      </c>
      <c r="G152" s="229">
        <v>0</v>
      </c>
      <c r="H152" s="229">
        <v>2</v>
      </c>
      <c r="I152" s="229">
        <v>0</v>
      </c>
      <c r="J152" s="229">
        <v>0</v>
      </c>
      <c r="K152" s="229">
        <v>0</v>
      </c>
      <c r="L152" s="229">
        <v>0</v>
      </c>
      <c r="M152" s="229">
        <v>0</v>
      </c>
      <c r="N152" s="229">
        <v>0</v>
      </c>
      <c r="O152" s="229">
        <v>0</v>
      </c>
      <c r="P152" s="229">
        <v>0</v>
      </c>
      <c r="Q152" s="229">
        <v>0</v>
      </c>
      <c r="R152" s="229">
        <v>0</v>
      </c>
      <c r="S152" s="229">
        <v>0</v>
      </c>
      <c r="T152" s="229">
        <v>0</v>
      </c>
      <c r="U152" s="229">
        <v>0</v>
      </c>
      <c r="V152" s="229">
        <v>0</v>
      </c>
      <c r="W152" s="140">
        <f t="shared" si="10"/>
        <v>3</v>
      </c>
      <c r="X152" s="141">
        <v>11</v>
      </c>
    </row>
    <row r="153" spans="1:24" ht="19.5">
      <c r="A153" s="160">
        <v>5</v>
      </c>
      <c r="B153" s="175">
        <v>4</v>
      </c>
      <c r="C153" s="171" t="s">
        <v>53</v>
      </c>
      <c r="D153" s="239">
        <v>37</v>
      </c>
      <c r="E153" s="140">
        <v>0.75</v>
      </c>
      <c r="F153" s="140">
        <v>0</v>
      </c>
      <c r="G153" s="140">
        <v>3</v>
      </c>
      <c r="H153" s="140">
        <v>0</v>
      </c>
      <c r="I153" s="140">
        <v>0</v>
      </c>
      <c r="J153" s="140">
        <v>0</v>
      </c>
      <c r="K153" s="140">
        <v>0</v>
      </c>
      <c r="L153" s="140">
        <v>0</v>
      </c>
      <c r="M153" s="140">
        <v>0</v>
      </c>
      <c r="N153" s="140">
        <v>0</v>
      </c>
      <c r="O153" s="140">
        <v>0</v>
      </c>
      <c r="P153" s="140">
        <v>0</v>
      </c>
      <c r="Q153" s="140">
        <v>0</v>
      </c>
      <c r="R153" s="140">
        <v>0</v>
      </c>
      <c r="S153" s="140">
        <v>0</v>
      </c>
      <c r="T153" s="140">
        <v>0</v>
      </c>
      <c r="U153" s="140">
        <v>0</v>
      </c>
      <c r="V153" s="140">
        <v>0</v>
      </c>
      <c r="W153" s="140">
        <f t="shared" si="10"/>
        <v>3.75</v>
      </c>
      <c r="X153" s="141">
        <v>11</v>
      </c>
    </row>
    <row r="154" spans="1:24" ht="19.5">
      <c r="A154" s="161">
        <v>6</v>
      </c>
      <c r="B154" s="180">
        <v>4</v>
      </c>
      <c r="C154" s="172" t="s">
        <v>52</v>
      </c>
      <c r="D154" s="239">
        <v>25.25</v>
      </c>
      <c r="E154" s="140">
        <v>0.75</v>
      </c>
      <c r="F154" s="140">
        <v>0</v>
      </c>
      <c r="G154" s="140">
        <v>0</v>
      </c>
      <c r="H154" s="140">
        <v>0</v>
      </c>
      <c r="I154" s="140">
        <v>0</v>
      </c>
      <c r="J154" s="140">
        <v>0</v>
      </c>
      <c r="K154" s="140">
        <v>0</v>
      </c>
      <c r="L154" s="140">
        <v>0</v>
      </c>
      <c r="M154" s="140">
        <v>0</v>
      </c>
      <c r="N154" s="140">
        <v>0</v>
      </c>
      <c r="O154" s="140">
        <v>0</v>
      </c>
      <c r="P154" s="140">
        <v>0</v>
      </c>
      <c r="Q154" s="140">
        <v>0</v>
      </c>
      <c r="R154" s="140">
        <v>0</v>
      </c>
      <c r="S154" s="140">
        <v>0</v>
      </c>
      <c r="T154" s="140">
        <v>0</v>
      </c>
      <c r="U154" s="140">
        <v>0</v>
      </c>
      <c r="V154" s="140">
        <v>0</v>
      </c>
      <c r="W154" s="140">
        <f t="shared" si="10"/>
        <v>0.75</v>
      </c>
      <c r="X154" s="141">
        <v>11</v>
      </c>
    </row>
    <row r="155" spans="1:24" ht="19.5">
      <c r="A155" s="160">
        <v>7</v>
      </c>
      <c r="B155" s="175">
        <v>4</v>
      </c>
      <c r="C155" s="171" t="s">
        <v>332</v>
      </c>
      <c r="D155" s="239">
        <v>13.5</v>
      </c>
      <c r="E155" s="140">
        <v>0</v>
      </c>
      <c r="F155" s="140">
        <v>0.75</v>
      </c>
      <c r="G155" s="140">
        <v>0</v>
      </c>
      <c r="H155" s="140">
        <v>2</v>
      </c>
      <c r="I155" s="140">
        <v>0</v>
      </c>
      <c r="J155" s="140">
        <v>-3</v>
      </c>
      <c r="K155" s="140">
        <v>0</v>
      </c>
      <c r="L155" s="140">
        <v>0</v>
      </c>
      <c r="M155" s="140">
        <v>0</v>
      </c>
      <c r="N155" s="140">
        <v>0</v>
      </c>
      <c r="O155" s="140">
        <v>0</v>
      </c>
      <c r="P155" s="140">
        <v>0</v>
      </c>
      <c r="Q155" s="140">
        <v>0</v>
      </c>
      <c r="R155" s="140">
        <v>0</v>
      </c>
      <c r="S155" s="140">
        <v>0</v>
      </c>
      <c r="T155" s="140">
        <v>0</v>
      </c>
      <c r="U155" s="140">
        <v>0</v>
      </c>
      <c r="V155" s="140">
        <v>0</v>
      </c>
      <c r="W155" s="140">
        <f t="shared" si="10"/>
        <v>-0.25</v>
      </c>
      <c r="X155" s="141">
        <v>11</v>
      </c>
    </row>
    <row r="156" spans="1:24" ht="19.5">
      <c r="A156" s="283">
        <v>8</v>
      </c>
      <c r="B156" s="180">
        <v>4</v>
      </c>
      <c r="C156" s="234" t="s">
        <v>370</v>
      </c>
      <c r="D156" s="284">
        <v>7.75</v>
      </c>
      <c r="E156" s="285">
        <v>0</v>
      </c>
      <c r="F156" s="285">
        <v>0.5</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142">
        <f t="shared" si="10"/>
        <v>0.5</v>
      </c>
      <c r="X156" s="286">
        <v>11</v>
      </c>
    </row>
    <row r="157" spans="1:24" ht="19.5">
      <c r="A157" s="342">
        <v>9</v>
      </c>
      <c r="B157" s="175">
        <v>4</v>
      </c>
      <c r="C157" s="343" t="s">
        <v>121</v>
      </c>
      <c r="D157" s="284">
        <v>2.25</v>
      </c>
      <c r="E157" s="142">
        <v>0</v>
      </c>
      <c r="F157" s="142">
        <v>0</v>
      </c>
      <c r="G157" s="142">
        <v>0</v>
      </c>
      <c r="H157" s="142">
        <v>0</v>
      </c>
      <c r="I157" s="142">
        <v>0</v>
      </c>
      <c r="J157" s="142">
        <v>0</v>
      </c>
      <c r="K157" s="142">
        <v>0</v>
      </c>
      <c r="L157" s="142">
        <v>0</v>
      </c>
      <c r="M157" s="142">
        <v>0</v>
      </c>
      <c r="N157" s="142">
        <v>0</v>
      </c>
      <c r="O157" s="142">
        <v>0</v>
      </c>
      <c r="P157" s="142">
        <v>0</v>
      </c>
      <c r="Q157" s="142">
        <v>0</v>
      </c>
      <c r="R157" s="142">
        <v>0</v>
      </c>
      <c r="S157" s="142">
        <v>0</v>
      </c>
      <c r="T157" s="142">
        <v>0</v>
      </c>
      <c r="U157" s="142">
        <v>0</v>
      </c>
      <c r="V157" s="142">
        <v>0</v>
      </c>
      <c r="W157" s="142">
        <f t="shared" si="10"/>
        <v>0</v>
      </c>
      <c r="X157" s="235">
        <v>11</v>
      </c>
    </row>
    <row r="158" spans="1:24" ht="20.25" thickBot="1">
      <c r="A158" s="164">
        <v>10</v>
      </c>
      <c r="B158" s="356">
        <v>4</v>
      </c>
      <c r="C158" s="174" t="s">
        <v>537</v>
      </c>
      <c r="D158" s="241">
        <v>0.75</v>
      </c>
      <c r="E158" s="242">
        <v>0</v>
      </c>
      <c r="F158" s="242">
        <v>0</v>
      </c>
      <c r="G158" s="242">
        <v>0</v>
      </c>
      <c r="H158" s="242">
        <v>0</v>
      </c>
      <c r="I158" s="242">
        <v>0</v>
      </c>
      <c r="J158" s="242">
        <v>0</v>
      </c>
      <c r="K158" s="242">
        <v>0</v>
      </c>
      <c r="L158" s="242">
        <v>0</v>
      </c>
      <c r="M158" s="242">
        <v>0</v>
      </c>
      <c r="N158" s="242">
        <v>0</v>
      </c>
      <c r="O158" s="242">
        <v>0</v>
      </c>
      <c r="P158" s="242">
        <v>0</v>
      </c>
      <c r="Q158" s="242">
        <v>0</v>
      </c>
      <c r="R158" s="242">
        <v>0</v>
      </c>
      <c r="S158" s="242">
        <v>0</v>
      </c>
      <c r="T158" s="242">
        <v>0</v>
      </c>
      <c r="U158" s="242">
        <v>0</v>
      </c>
      <c r="V158" s="242">
        <v>0</v>
      </c>
      <c r="W158" s="156">
        <f t="shared" si="10"/>
        <v>0</v>
      </c>
      <c r="X158" s="243">
        <v>11</v>
      </c>
    </row>
    <row r="159" ht="15.75"/>
    <row r="160" spans="1:24" ht="15.75">
      <c r="A160" s="161"/>
      <c r="B160" s="161"/>
      <c r="C160" s="163"/>
      <c r="D160" s="682" t="s">
        <v>741</v>
      </c>
      <c r="E160" s="683"/>
      <c r="F160" s="683"/>
      <c r="G160" s="683"/>
      <c r="H160" s="683"/>
      <c r="I160" s="683"/>
      <c r="J160" s="683"/>
      <c r="K160" s="683"/>
      <c r="L160" s="683"/>
      <c r="M160" s="683"/>
      <c r="N160" s="683"/>
      <c r="O160" s="683"/>
      <c r="P160" s="683"/>
      <c r="Q160" s="683"/>
      <c r="R160" s="683"/>
      <c r="S160" s="683"/>
      <c r="T160" s="683"/>
      <c r="U160" s="683"/>
      <c r="V160" s="683"/>
      <c r="W160" s="683"/>
      <c r="X160" s="683"/>
    </row>
    <row r="161" spans="1:24" ht="15.75">
      <c r="A161" s="161"/>
      <c r="B161" s="161"/>
      <c r="C161" s="163"/>
      <c r="D161" s="683"/>
      <c r="E161" s="683"/>
      <c r="F161" s="683"/>
      <c r="G161" s="683"/>
      <c r="H161" s="683"/>
      <c r="I161" s="683"/>
      <c r="J161" s="683"/>
      <c r="K161" s="683"/>
      <c r="L161" s="683"/>
      <c r="M161" s="683"/>
      <c r="N161" s="683"/>
      <c r="O161" s="683"/>
      <c r="P161" s="683"/>
      <c r="Q161" s="683"/>
      <c r="R161" s="683"/>
      <c r="S161" s="683"/>
      <c r="T161" s="683"/>
      <c r="U161" s="683"/>
      <c r="V161" s="683"/>
      <c r="W161" s="683"/>
      <c r="X161" s="683"/>
    </row>
    <row r="162" spans="1:24" ht="15.75">
      <c r="A162" s="161"/>
      <c r="B162" s="161"/>
      <c r="C162" s="163"/>
      <c r="D162" s="147" t="s">
        <v>329</v>
      </c>
      <c r="E162" s="136">
        <v>1</v>
      </c>
      <c r="F162" s="136">
        <v>2</v>
      </c>
      <c r="G162" s="136">
        <v>3</v>
      </c>
      <c r="H162" s="136">
        <v>4</v>
      </c>
      <c r="I162" s="136">
        <v>5</v>
      </c>
      <c r="J162" s="136">
        <v>6</v>
      </c>
      <c r="K162" s="136">
        <v>7</v>
      </c>
      <c r="L162" s="136">
        <v>8</v>
      </c>
      <c r="M162" s="136">
        <v>9</v>
      </c>
      <c r="N162" s="136">
        <v>10</v>
      </c>
      <c r="O162" s="136">
        <v>11</v>
      </c>
      <c r="P162" s="136">
        <v>12</v>
      </c>
      <c r="Q162" s="136">
        <v>13</v>
      </c>
      <c r="R162" s="136">
        <v>14</v>
      </c>
      <c r="S162" s="136">
        <v>15</v>
      </c>
      <c r="T162" s="136">
        <v>16</v>
      </c>
      <c r="U162" s="136">
        <v>17</v>
      </c>
      <c r="V162" s="136">
        <v>18</v>
      </c>
      <c r="W162" s="137" t="s">
        <v>310</v>
      </c>
      <c r="X162" s="138"/>
    </row>
    <row r="163" spans="1:24" ht="16.5" thickBot="1">
      <c r="A163" s="164"/>
      <c r="B163" s="164"/>
      <c r="C163" s="165"/>
      <c r="D163" s="151" t="s">
        <v>331</v>
      </c>
      <c r="E163" s="166">
        <v>0.75</v>
      </c>
      <c r="F163" s="166">
        <v>0.25</v>
      </c>
      <c r="G163" s="166">
        <v>3</v>
      </c>
      <c r="H163" s="166">
        <v>2</v>
      </c>
      <c r="I163" s="166">
        <v>0.75</v>
      </c>
      <c r="J163" s="166">
        <v>-3</v>
      </c>
      <c r="K163" s="166">
        <v>-4</v>
      </c>
      <c r="L163" s="166">
        <v>20</v>
      </c>
      <c r="M163" s="166">
        <v>10</v>
      </c>
      <c r="N163" s="166">
        <v>5</v>
      </c>
      <c r="O163" s="166">
        <v>3</v>
      </c>
      <c r="P163" s="166">
        <v>5</v>
      </c>
      <c r="Q163" s="166">
        <v>7</v>
      </c>
      <c r="R163" s="166">
        <v>3</v>
      </c>
      <c r="S163" s="166">
        <v>3</v>
      </c>
      <c r="T163" s="166">
        <v>3</v>
      </c>
      <c r="U163" s="166">
        <v>8.25</v>
      </c>
      <c r="V163" s="166">
        <v>16</v>
      </c>
      <c r="W163" s="152" t="s">
        <v>330</v>
      </c>
      <c r="X163" s="153" t="s">
        <v>310</v>
      </c>
    </row>
    <row r="164" spans="1:24" ht="19.5">
      <c r="A164" s="160">
        <v>1</v>
      </c>
      <c r="B164" s="175">
        <v>4</v>
      </c>
      <c r="C164" s="167" t="s">
        <v>333</v>
      </c>
      <c r="D164" s="239">
        <v>287</v>
      </c>
      <c r="E164" s="140">
        <v>1.5</v>
      </c>
      <c r="F164" s="140">
        <v>3.25</v>
      </c>
      <c r="G164" s="140">
        <v>0</v>
      </c>
      <c r="H164" s="140">
        <v>0</v>
      </c>
      <c r="I164" s="140">
        <v>0.75</v>
      </c>
      <c r="J164" s="140">
        <v>0</v>
      </c>
      <c r="K164" s="140">
        <v>0</v>
      </c>
      <c r="L164" s="140"/>
      <c r="M164" s="140"/>
      <c r="N164" s="140"/>
      <c r="O164" s="140"/>
      <c r="P164" s="140"/>
      <c r="Q164" s="140"/>
      <c r="R164" s="140"/>
      <c r="S164" s="140"/>
      <c r="T164" s="140"/>
      <c r="U164" s="140"/>
      <c r="V164" s="140"/>
      <c r="W164" s="140">
        <f>SUM(E164:V164)</f>
        <v>5.5</v>
      </c>
      <c r="X164" s="141">
        <v>12</v>
      </c>
    </row>
    <row r="165" spans="1:24" ht="19.5">
      <c r="A165" s="340">
        <v>2</v>
      </c>
      <c r="B165" s="180">
        <v>4</v>
      </c>
      <c r="C165" s="412" t="s">
        <v>12</v>
      </c>
      <c r="D165" s="239">
        <v>198.5</v>
      </c>
      <c r="E165" s="140">
        <v>2.25</v>
      </c>
      <c r="F165" s="140">
        <v>1.5</v>
      </c>
      <c r="G165" s="140">
        <v>3</v>
      </c>
      <c r="H165" s="140">
        <v>2</v>
      </c>
      <c r="I165" s="140">
        <v>0</v>
      </c>
      <c r="J165" s="140">
        <v>0</v>
      </c>
      <c r="K165" s="140">
        <v>0</v>
      </c>
      <c r="L165" s="140"/>
      <c r="M165" s="140"/>
      <c r="N165" s="140"/>
      <c r="O165" s="140"/>
      <c r="P165" s="140"/>
      <c r="Q165" s="140"/>
      <c r="R165" s="140"/>
      <c r="S165" s="140"/>
      <c r="T165" s="140"/>
      <c r="U165" s="140"/>
      <c r="V165" s="140"/>
      <c r="W165" s="140">
        <f aca="true" t="shared" si="11" ref="W165:W173">SUM(E165:V165)</f>
        <v>8.75</v>
      </c>
      <c r="X165" s="141">
        <v>12</v>
      </c>
    </row>
    <row r="166" spans="1:24" ht="19.5">
      <c r="A166" s="160">
        <v>3</v>
      </c>
      <c r="B166" s="175">
        <v>4</v>
      </c>
      <c r="C166" s="171" t="s">
        <v>8</v>
      </c>
      <c r="D166" s="239">
        <v>89</v>
      </c>
      <c r="E166" s="140">
        <v>0.75</v>
      </c>
      <c r="F166" s="140">
        <v>1</v>
      </c>
      <c r="G166" s="140">
        <v>0</v>
      </c>
      <c r="H166" s="140">
        <v>0</v>
      </c>
      <c r="I166" s="140">
        <v>0</v>
      </c>
      <c r="J166" s="140">
        <v>0</v>
      </c>
      <c r="K166" s="140">
        <v>0</v>
      </c>
      <c r="L166" s="140"/>
      <c r="M166" s="140"/>
      <c r="N166" s="140"/>
      <c r="O166" s="140"/>
      <c r="P166" s="140"/>
      <c r="Q166" s="140"/>
      <c r="R166" s="140"/>
      <c r="S166" s="140"/>
      <c r="T166" s="140"/>
      <c r="U166" s="140"/>
      <c r="V166" s="140"/>
      <c r="W166" s="140">
        <f t="shared" si="11"/>
        <v>1.75</v>
      </c>
      <c r="X166" s="141">
        <v>12</v>
      </c>
    </row>
    <row r="167" spans="1:24" ht="19.5">
      <c r="A167" s="340">
        <v>4</v>
      </c>
      <c r="B167" s="180">
        <v>4</v>
      </c>
      <c r="C167" s="341" t="s">
        <v>10</v>
      </c>
      <c r="D167" s="239">
        <v>59.25</v>
      </c>
      <c r="E167" s="229">
        <v>0</v>
      </c>
      <c r="F167" s="229">
        <v>0.25</v>
      </c>
      <c r="G167" s="229">
        <v>0</v>
      </c>
      <c r="H167" s="229">
        <v>2</v>
      </c>
      <c r="I167" s="229">
        <v>0</v>
      </c>
      <c r="J167" s="229">
        <v>0</v>
      </c>
      <c r="K167" s="229">
        <v>0</v>
      </c>
      <c r="L167" s="229"/>
      <c r="M167" s="229"/>
      <c r="N167" s="229"/>
      <c r="O167" s="229"/>
      <c r="P167" s="229"/>
      <c r="Q167" s="229"/>
      <c r="R167" s="229"/>
      <c r="S167" s="229"/>
      <c r="T167" s="229"/>
      <c r="U167" s="229"/>
      <c r="V167" s="229"/>
      <c r="W167" s="140">
        <f t="shared" si="11"/>
        <v>2.25</v>
      </c>
      <c r="X167" s="141">
        <v>12</v>
      </c>
    </row>
    <row r="168" spans="1:24" ht="19.5">
      <c r="A168" s="160">
        <v>5</v>
      </c>
      <c r="B168" s="175">
        <v>4</v>
      </c>
      <c r="C168" s="171" t="s">
        <v>53</v>
      </c>
      <c r="D168" s="239">
        <v>39.75</v>
      </c>
      <c r="E168" s="140">
        <v>0.75</v>
      </c>
      <c r="F168" s="140">
        <v>0</v>
      </c>
      <c r="G168" s="140">
        <v>0</v>
      </c>
      <c r="H168" s="140">
        <v>2</v>
      </c>
      <c r="I168" s="140">
        <v>0</v>
      </c>
      <c r="J168" s="140">
        <v>0</v>
      </c>
      <c r="K168" s="140">
        <v>0</v>
      </c>
      <c r="L168" s="140"/>
      <c r="M168" s="140"/>
      <c r="N168" s="140"/>
      <c r="O168" s="140"/>
      <c r="P168" s="140"/>
      <c r="Q168" s="140"/>
      <c r="R168" s="140"/>
      <c r="S168" s="140"/>
      <c r="T168" s="140"/>
      <c r="U168" s="140"/>
      <c r="V168" s="140"/>
      <c r="W168" s="140">
        <f t="shared" si="11"/>
        <v>2.75</v>
      </c>
      <c r="X168" s="141">
        <v>12</v>
      </c>
    </row>
    <row r="169" spans="1:24" ht="19.5">
      <c r="A169" s="161">
        <v>6</v>
      </c>
      <c r="B169" s="180">
        <v>4</v>
      </c>
      <c r="C169" s="172" t="s">
        <v>52</v>
      </c>
      <c r="D169" s="239">
        <v>28.25</v>
      </c>
      <c r="E169" s="140">
        <v>0</v>
      </c>
      <c r="F169" s="140">
        <v>0</v>
      </c>
      <c r="G169" s="140">
        <v>3</v>
      </c>
      <c r="H169" s="140">
        <v>0</v>
      </c>
      <c r="I169" s="140">
        <v>0</v>
      </c>
      <c r="J169" s="140">
        <v>0</v>
      </c>
      <c r="K169" s="140">
        <v>0</v>
      </c>
      <c r="L169" s="140"/>
      <c r="M169" s="140"/>
      <c r="N169" s="140"/>
      <c r="O169" s="140"/>
      <c r="P169" s="140"/>
      <c r="Q169" s="140"/>
      <c r="R169" s="140"/>
      <c r="S169" s="140"/>
      <c r="T169" s="140"/>
      <c r="U169" s="140"/>
      <c r="V169" s="140"/>
      <c r="W169" s="140">
        <f t="shared" si="11"/>
        <v>3</v>
      </c>
      <c r="X169" s="141">
        <v>12</v>
      </c>
    </row>
    <row r="170" spans="1:24" ht="19.5">
      <c r="A170" s="160">
        <v>7</v>
      </c>
      <c r="B170" s="175">
        <v>4</v>
      </c>
      <c r="C170" s="171" t="s">
        <v>332</v>
      </c>
      <c r="D170" s="239">
        <v>14</v>
      </c>
      <c r="E170" s="140">
        <v>0</v>
      </c>
      <c r="F170" s="140">
        <v>1.5</v>
      </c>
      <c r="G170" s="140">
        <v>0</v>
      </c>
      <c r="H170" s="140">
        <v>2</v>
      </c>
      <c r="I170" s="140">
        <v>0</v>
      </c>
      <c r="J170" s="140">
        <v>-3</v>
      </c>
      <c r="K170" s="140">
        <v>0</v>
      </c>
      <c r="L170" s="140"/>
      <c r="M170" s="140"/>
      <c r="N170" s="140"/>
      <c r="O170" s="140"/>
      <c r="P170" s="140"/>
      <c r="Q170" s="140"/>
      <c r="R170" s="140"/>
      <c r="S170" s="140"/>
      <c r="T170" s="140"/>
      <c r="U170" s="140"/>
      <c r="V170" s="140"/>
      <c r="W170" s="140">
        <f t="shared" si="11"/>
        <v>0.5</v>
      </c>
      <c r="X170" s="141">
        <v>12</v>
      </c>
    </row>
    <row r="171" spans="1:24" ht="19.5">
      <c r="A171" s="283">
        <v>8</v>
      </c>
      <c r="B171" s="180">
        <v>4</v>
      </c>
      <c r="C171" s="234" t="s">
        <v>370</v>
      </c>
      <c r="D171" s="284">
        <v>8</v>
      </c>
      <c r="E171" s="285">
        <v>0</v>
      </c>
      <c r="F171" s="285">
        <v>0.25</v>
      </c>
      <c r="G171" s="285">
        <v>0</v>
      </c>
      <c r="H171" s="285">
        <v>0</v>
      </c>
      <c r="I171" s="285">
        <v>0</v>
      </c>
      <c r="J171" s="285">
        <v>0</v>
      </c>
      <c r="K171" s="285">
        <v>0</v>
      </c>
      <c r="L171" s="285"/>
      <c r="M171" s="285"/>
      <c r="N171" s="285"/>
      <c r="O171" s="285"/>
      <c r="P171" s="285"/>
      <c r="Q171" s="285"/>
      <c r="R171" s="285"/>
      <c r="S171" s="285"/>
      <c r="T171" s="285"/>
      <c r="U171" s="285"/>
      <c r="V171" s="285"/>
      <c r="W171" s="142">
        <f t="shared" si="11"/>
        <v>0.25</v>
      </c>
      <c r="X171" s="286">
        <v>12</v>
      </c>
    </row>
    <row r="172" spans="1:24" ht="19.5">
      <c r="A172" s="342">
        <v>9</v>
      </c>
      <c r="B172" s="175">
        <v>4</v>
      </c>
      <c r="C172" s="343" t="s">
        <v>121</v>
      </c>
      <c r="D172" s="284">
        <v>2.25</v>
      </c>
      <c r="E172" s="142">
        <v>0</v>
      </c>
      <c r="F172" s="142">
        <v>0</v>
      </c>
      <c r="G172" s="142">
        <v>0</v>
      </c>
      <c r="H172" s="142">
        <v>0</v>
      </c>
      <c r="I172" s="142">
        <v>0</v>
      </c>
      <c r="J172" s="142">
        <v>0</v>
      </c>
      <c r="K172" s="142">
        <v>0</v>
      </c>
      <c r="L172" s="142"/>
      <c r="M172" s="142"/>
      <c r="N172" s="142"/>
      <c r="O172" s="142"/>
      <c r="P172" s="142"/>
      <c r="Q172" s="142"/>
      <c r="R172" s="142"/>
      <c r="S172" s="142"/>
      <c r="T172" s="142"/>
      <c r="U172" s="142"/>
      <c r="V172" s="142"/>
      <c r="W172" s="142">
        <f t="shared" si="11"/>
        <v>0</v>
      </c>
      <c r="X172" s="235">
        <v>12</v>
      </c>
    </row>
    <row r="173" spans="1:24" ht="20.25" thickBot="1">
      <c r="A173" s="164">
        <v>10</v>
      </c>
      <c r="B173" s="356">
        <v>4</v>
      </c>
      <c r="C173" s="174" t="s">
        <v>537</v>
      </c>
      <c r="D173" s="241">
        <v>0.75</v>
      </c>
      <c r="E173" s="242">
        <v>0</v>
      </c>
      <c r="F173" s="242">
        <v>0</v>
      </c>
      <c r="G173" s="242">
        <v>0</v>
      </c>
      <c r="H173" s="242">
        <v>0</v>
      </c>
      <c r="I173" s="242">
        <v>0</v>
      </c>
      <c r="J173" s="242">
        <v>0</v>
      </c>
      <c r="K173" s="242">
        <v>0</v>
      </c>
      <c r="L173" s="242"/>
      <c r="M173" s="242"/>
      <c r="N173" s="242"/>
      <c r="O173" s="242"/>
      <c r="P173" s="242"/>
      <c r="Q173" s="242"/>
      <c r="R173" s="242"/>
      <c r="S173" s="242"/>
      <c r="T173" s="242"/>
      <c r="U173" s="242"/>
      <c r="V173" s="242"/>
      <c r="W173" s="156">
        <f t="shared" si="11"/>
        <v>0</v>
      </c>
      <c r="X173" s="243">
        <v>12</v>
      </c>
    </row>
  </sheetData>
  <sheetProtection/>
  <mergeCells count="12">
    <mergeCell ref="D1:X2"/>
    <mergeCell ref="D14:X15"/>
    <mergeCell ref="D27:X28"/>
    <mergeCell ref="D41:X42"/>
    <mergeCell ref="D55:X56"/>
    <mergeCell ref="D160:X161"/>
    <mergeCell ref="D70:X71"/>
    <mergeCell ref="D145:X146"/>
    <mergeCell ref="D130:X131"/>
    <mergeCell ref="D115:X116"/>
    <mergeCell ref="D100:X101"/>
    <mergeCell ref="D85:X86"/>
  </mergeCells>
  <printOptions/>
  <pageMargins left="0.7" right="0.7" top="0.75" bottom="0.75" header="0.3" footer="0.3"/>
  <pageSetup orientation="portrait" paperSize="9"/>
  <ignoredErrors>
    <ignoredError sqref="W45:W53 W74:W83 W89:W98 W105:W113 W104 W119:W120 W121:W128 W134:W143 W149:W158 W164:W173" formulaRange="1"/>
  </ignoredErrors>
  <legacyDrawing r:id="rId2"/>
</worksheet>
</file>

<file path=xl/worksheets/sheet8.xml><?xml version="1.0" encoding="utf-8"?>
<worksheet xmlns="http://schemas.openxmlformats.org/spreadsheetml/2006/main" xmlns:r="http://schemas.openxmlformats.org/officeDocument/2006/relationships">
  <dimension ref="A1:K218"/>
  <sheetViews>
    <sheetView zoomScalePageLayoutView="0" workbookViewId="0" topLeftCell="A1">
      <selection activeCell="A3" sqref="A3"/>
    </sheetView>
  </sheetViews>
  <sheetFormatPr defaultColWidth="4.57421875" defaultRowHeight="12.75"/>
  <cols>
    <col min="1" max="1" width="47.28125" style="553" bestFit="1" customWidth="1"/>
    <col min="2" max="2" width="23.00390625" style="0" bestFit="1" customWidth="1"/>
    <col min="3" max="3" width="7.8515625" style="0" bestFit="1" customWidth="1"/>
    <col min="4" max="4" width="19.7109375" style="0" bestFit="1" customWidth="1"/>
    <col min="5" max="5" width="6.7109375" style="0" bestFit="1" customWidth="1"/>
    <col min="6" max="6" width="5.421875" style="0" bestFit="1" customWidth="1"/>
    <col min="7" max="7" width="12.28125" style="547" bestFit="1" customWidth="1"/>
    <col min="8" max="8" width="8.8515625" style="547" bestFit="1" customWidth="1"/>
    <col min="9" max="9" width="12.28125" style="548" bestFit="1" customWidth="1"/>
    <col min="10" max="10" width="11.7109375" style="548" bestFit="1" customWidth="1"/>
    <col min="11" max="11" width="7.8515625" style="548" bestFit="1" customWidth="1"/>
  </cols>
  <sheetData>
    <row r="1" spans="1:11" ht="15">
      <c r="A1" s="665" t="s">
        <v>743</v>
      </c>
      <c r="B1" s="665"/>
      <c r="C1" s="665"/>
      <c r="D1" s="665"/>
      <c r="E1" s="665"/>
      <c r="F1" s="665"/>
      <c r="G1" s="665"/>
      <c r="H1" s="665"/>
      <c r="I1" s="665"/>
      <c r="J1" s="665"/>
      <c r="K1" s="665"/>
    </row>
    <row r="2" spans="1:11" s="310" customFormat="1" ht="11.25">
      <c r="A2" s="550"/>
      <c r="B2" s="309"/>
      <c r="C2" s="309" t="s">
        <v>409</v>
      </c>
      <c r="D2" s="309"/>
      <c r="E2" s="309" t="s">
        <v>410</v>
      </c>
      <c r="F2" s="309"/>
      <c r="G2" s="545" t="s">
        <v>423</v>
      </c>
      <c r="H2" s="545" t="s">
        <v>423</v>
      </c>
      <c r="I2" s="545" t="s">
        <v>314</v>
      </c>
      <c r="J2" s="545"/>
      <c r="K2" s="545" t="s">
        <v>411</v>
      </c>
    </row>
    <row r="3" spans="1:11" s="310" customFormat="1" ht="12" thickBot="1">
      <c r="A3" s="551" t="s">
        <v>424</v>
      </c>
      <c r="B3" s="291" t="s">
        <v>414</v>
      </c>
      <c r="C3" s="291" t="s">
        <v>417</v>
      </c>
      <c r="D3" s="291" t="s">
        <v>418</v>
      </c>
      <c r="E3" s="291" t="s">
        <v>419</v>
      </c>
      <c r="F3" s="291" t="s">
        <v>310</v>
      </c>
      <c r="G3" s="546" t="s">
        <v>315</v>
      </c>
      <c r="H3" s="546" t="s">
        <v>316</v>
      </c>
      <c r="I3" s="546" t="s">
        <v>315</v>
      </c>
      <c r="J3" s="546" t="s">
        <v>314</v>
      </c>
      <c r="K3" s="546" t="s">
        <v>421</v>
      </c>
    </row>
    <row r="4" spans="1:11" ht="15.75">
      <c r="A4" s="420" t="s">
        <v>643</v>
      </c>
      <c r="B4" s="292" t="s">
        <v>644</v>
      </c>
      <c r="C4" s="414">
        <v>40956</v>
      </c>
      <c r="D4" s="219" t="s">
        <v>68</v>
      </c>
      <c r="E4" s="419">
        <v>440</v>
      </c>
      <c r="F4" s="293">
        <v>1</v>
      </c>
      <c r="G4" s="819">
        <v>19448837.72</v>
      </c>
      <c r="H4" s="820">
        <v>2233041</v>
      </c>
      <c r="I4" s="415">
        <f>21413767.22</f>
        <v>21413767.22</v>
      </c>
      <c r="J4" s="417">
        <f>2475453</f>
        <v>2475453</v>
      </c>
      <c r="K4" s="391">
        <v>40956</v>
      </c>
    </row>
    <row r="5" spans="1:11" ht="15.75">
      <c r="A5" s="306" t="s">
        <v>643</v>
      </c>
      <c r="B5" s="65" t="s">
        <v>644</v>
      </c>
      <c r="C5" s="220">
        <v>40956</v>
      </c>
      <c r="D5" s="64" t="s">
        <v>68</v>
      </c>
      <c r="E5" s="274">
        <v>440</v>
      </c>
      <c r="F5" s="215">
        <v>2</v>
      </c>
      <c r="G5" s="821">
        <v>14038152.72</v>
      </c>
      <c r="H5" s="822">
        <v>1630125</v>
      </c>
      <c r="I5" s="270">
        <f>21413320.22+14038152.72</f>
        <v>35451472.94</v>
      </c>
      <c r="J5" s="272">
        <f>2475453+1630125</f>
        <v>4105578</v>
      </c>
      <c r="K5" s="218">
        <v>40963</v>
      </c>
    </row>
    <row r="6" spans="1:11" ht="15.75">
      <c r="A6" s="288" t="s">
        <v>564</v>
      </c>
      <c r="B6" s="61" t="s">
        <v>348</v>
      </c>
      <c r="C6" s="221">
        <v>40935</v>
      </c>
      <c r="D6" s="64" t="s">
        <v>12</v>
      </c>
      <c r="E6" s="266">
        <v>352</v>
      </c>
      <c r="F6" s="259">
        <v>1</v>
      </c>
      <c r="G6" s="709">
        <v>8393381</v>
      </c>
      <c r="H6" s="710">
        <v>889193</v>
      </c>
      <c r="I6" s="261">
        <v>8393381</v>
      </c>
      <c r="J6" s="262">
        <v>889193</v>
      </c>
      <c r="K6" s="265">
        <v>40935</v>
      </c>
    </row>
    <row r="7" spans="1:11" ht="15.75">
      <c r="A7" s="306" t="s">
        <v>643</v>
      </c>
      <c r="B7" s="65" t="s">
        <v>644</v>
      </c>
      <c r="C7" s="220">
        <v>40956</v>
      </c>
      <c r="D7" s="64" t="s">
        <v>68</v>
      </c>
      <c r="E7" s="543">
        <v>440</v>
      </c>
      <c r="F7" s="215">
        <v>3</v>
      </c>
      <c r="G7" s="714">
        <v>8091852.8</v>
      </c>
      <c r="H7" s="715">
        <v>937424</v>
      </c>
      <c r="I7" s="270">
        <f>21413320.22+14038209.72+8091852.8</f>
        <v>43543382.739999995</v>
      </c>
      <c r="J7" s="272">
        <f>2475453+1630117+937424</f>
        <v>5042994</v>
      </c>
      <c r="K7" s="218">
        <v>40970</v>
      </c>
    </row>
    <row r="8" spans="1:11" ht="15.75">
      <c r="A8" s="302" t="s">
        <v>697</v>
      </c>
      <c r="B8" s="61" t="s">
        <v>348</v>
      </c>
      <c r="C8" s="221">
        <v>40970</v>
      </c>
      <c r="D8" s="64" t="s">
        <v>12</v>
      </c>
      <c r="E8" s="61">
        <v>285</v>
      </c>
      <c r="F8" s="215">
        <v>1</v>
      </c>
      <c r="G8" s="709">
        <v>5679112</v>
      </c>
      <c r="H8" s="710">
        <v>631600</v>
      </c>
      <c r="I8" s="261">
        <v>5679112</v>
      </c>
      <c r="J8" s="262">
        <v>631600</v>
      </c>
      <c r="K8" s="218">
        <v>40970</v>
      </c>
    </row>
    <row r="9" spans="1:11" ht="15.75">
      <c r="A9" s="306" t="s">
        <v>643</v>
      </c>
      <c r="B9" s="461" t="s">
        <v>644</v>
      </c>
      <c r="C9" s="220">
        <v>40956</v>
      </c>
      <c r="D9" s="64" t="s">
        <v>68</v>
      </c>
      <c r="E9" s="274">
        <v>440</v>
      </c>
      <c r="F9" s="259">
        <v>4</v>
      </c>
      <c r="G9" s="719">
        <v>5223359.88</v>
      </c>
      <c r="H9" s="720">
        <v>623396</v>
      </c>
      <c r="I9" s="270">
        <f>21413320.22+14038209.72+8091830.8+5223359.88</f>
        <v>48766720.62</v>
      </c>
      <c r="J9" s="272">
        <f>2475453+1630117+937421+623396</f>
        <v>5666387</v>
      </c>
      <c r="K9" s="716">
        <v>40977</v>
      </c>
    </row>
    <row r="10" spans="1:11" ht="15.75">
      <c r="A10" s="288" t="s">
        <v>564</v>
      </c>
      <c r="B10" s="61" t="s">
        <v>348</v>
      </c>
      <c r="C10" s="221">
        <v>40935</v>
      </c>
      <c r="D10" s="64" t="s">
        <v>12</v>
      </c>
      <c r="E10" s="266">
        <v>352</v>
      </c>
      <c r="F10" s="259">
        <v>2</v>
      </c>
      <c r="G10" s="709">
        <v>4819569</v>
      </c>
      <c r="H10" s="710">
        <v>519684</v>
      </c>
      <c r="I10" s="261">
        <v>13213244</v>
      </c>
      <c r="J10" s="262">
        <v>1408858</v>
      </c>
      <c r="K10" s="218">
        <v>40942</v>
      </c>
    </row>
    <row r="11" spans="1:11" ht="15.75">
      <c r="A11" s="302" t="s">
        <v>697</v>
      </c>
      <c r="B11" s="462" t="s">
        <v>348</v>
      </c>
      <c r="C11" s="221">
        <v>40970</v>
      </c>
      <c r="D11" s="64" t="s">
        <v>12</v>
      </c>
      <c r="E11" s="258">
        <v>285</v>
      </c>
      <c r="F11" s="259">
        <v>2</v>
      </c>
      <c r="G11" s="723">
        <v>4089156</v>
      </c>
      <c r="H11" s="724">
        <v>451806</v>
      </c>
      <c r="I11" s="263">
        <v>9768268</v>
      </c>
      <c r="J11" s="264">
        <v>1083406</v>
      </c>
      <c r="K11" s="716">
        <v>40977</v>
      </c>
    </row>
    <row r="12" spans="1:11" ht="15.75">
      <c r="A12" s="288" t="s">
        <v>564</v>
      </c>
      <c r="B12" s="61" t="s">
        <v>348</v>
      </c>
      <c r="C12" s="407">
        <v>40935</v>
      </c>
      <c r="D12" s="64" t="s">
        <v>12</v>
      </c>
      <c r="E12" s="266">
        <v>352</v>
      </c>
      <c r="F12" s="259">
        <v>3</v>
      </c>
      <c r="G12" s="709">
        <v>2549122</v>
      </c>
      <c r="H12" s="710">
        <v>281880</v>
      </c>
      <c r="I12" s="261">
        <v>15762366</v>
      </c>
      <c r="J12" s="262">
        <v>1690738</v>
      </c>
      <c r="K12" s="218">
        <v>40949</v>
      </c>
    </row>
    <row r="13" spans="1:11" ht="15.75">
      <c r="A13" s="288" t="s">
        <v>141</v>
      </c>
      <c r="B13" s="61" t="s">
        <v>142</v>
      </c>
      <c r="C13" s="221">
        <v>40893</v>
      </c>
      <c r="D13" s="64" t="s">
        <v>8</v>
      </c>
      <c r="E13" s="266">
        <v>131</v>
      </c>
      <c r="F13" s="267">
        <v>3</v>
      </c>
      <c r="G13" s="714">
        <v>2464903</v>
      </c>
      <c r="H13" s="715">
        <v>273690</v>
      </c>
      <c r="I13" s="270">
        <v>8604215</v>
      </c>
      <c r="J13" s="272">
        <v>960307</v>
      </c>
      <c r="K13" s="218">
        <v>40907</v>
      </c>
    </row>
    <row r="14" spans="1:11" ht="15.75">
      <c r="A14" s="288" t="s">
        <v>141</v>
      </c>
      <c r="B14" s="61" t="s">
        <v>142</v>
      </c>
      <c r="C14" s="221">
        <v>40893</v>
      </c>
      <c r="D14" s="64" t="s">
        <v>8</v>
      </c>
      <c r="E14" s="257">
        <v>131</v>
      </c>
      <c r="F14" s="213">
        <v>4</v>
      </c>
      <c r="G14" s="714">
        <v>1826075</v>
      </c>
      <c r="H14" s="715">
        <v>198737</v>
      </c>
      <c r="I14" s="458">
        <v>10430290</v>
      </c>
      <c r="J14" s="459">
        <v>1159044</v>
      </c>
      <c r="K14" s="218">
        <v>40914</v>
      </c>
    </row>
    <row r="15" spans="1:11" ht="15.75">
      <c r="A15" s="288" t="s">
        <v>141</v>
      </c>
      <c r="B15" s="61" t="s">
        <v>142</v>
      </c>
      <c r="C15" s="221">
        <v>40893</v>
      </c>
      <c r="D15" s="64" t="s">
        <v>8</v>
      </c>
      <c r="E15" s="266">
        <v>131</v>
      </c>
      <c r="F15" s="267">
        <v>6</v>
      </c>
      <c r="G15" s="711">
        <v>1674165</v>
      </c>
      <c r="H15" s="712">
        <v>188583</v>
      </c>
      <c r="I15" s="268">
        <v>13641012</v>
      </c>
      <c r="J15" s="269">
        <v>1519587</v>
      </c>
      <c r="K15" s="218">
        <v>40928</v>
      </c>
    </row>
    <row r="16" spans="1:11" ht="15.75">
      <c r="A16" s="290" t="s">
        <v>347</v>
      </c>
      <c r="B16" s="61" t="s">
        <v>348</v>
      </c>
      <c r="C16" s="220">
        <v>40914</v>
      </c>
      <c r="D16" s="64" t="s">
        <v>12</v>
      </c>
      <c r="E16" s="254">
        <v>204</v>
      </c>
      <c r="F16" s="215">
        <v>1</v>
      </c>
      <c r="G16" s="823">
        <v>1571916</v>
      </c>
      <c r="H16" s="824">
        <v>166869</v>
      </c>
      <c r="I16" s="497">
        <v>1571916</v>
      </c>
      <c r="J16" s="498">
        <v>166869</v>
      </c>
      <c r="K16" s="218">
        <v>40914</v>
      </c>
    </row>
    <row r="17" spans="1:11" ht="15.75">
      <c r="A17" s="290" t="s">
        <v>347</v>
      </c>
      <c r="B17" s="61" t="s">
        <v>348</v>
      </c>
      <c r="C17" s="220">
        <v>40914</v>
      </c>
      <c r="D17" s="64" t="s">
        <v>12</v>
      </c>
      <c r="E17" s="258">
        <v>204</v>
      </c>
      <c r="F17" s="259">
        <v>2</v>
      </c>
      <c r="G17" s="709">
        <v>1545867</v>
      </c>
      <c r="H17" s="710">
        <v>166896</v>
      </c>
      <c r="I17" s="261">
        <v>3117783</v>
      </c>
      <c r="J17" s="262">
        <v>333765</v>
      </c>
      <c r="K17" s="218">
        <v>40921</v>
      </c>
    </row>
    <row r="18" spans="1:11" ht="15.75">
      <c r="A18" s="288" t="s">
        <v>141</v>
      </c>
      <c r="B18" s="61" t="s">
        <v>142</v>
      </c>
      <c r="C18" s="221">
        <v>40893</v>
      </c>
      <c r="D18" s="64" t="s">
        <v>8</v>
      </c>
      <c r="E18" s="266">
        <v>131</v>
      </c>
      <c r="F18" s="267">
        <v>5</v>
      </c>
      <c r="G18" s="825">
        <v>1536557</v>
      </c>
      <c r="H18" s="826">
        <v>171960</v>
      </c>
      <c r="I18" s="270">
        <v>11382284</v>
      </c>
      <c r="J18" s="272">
        <v>1257533</v>
      </c>
      <c r="K18" s="218">
        <v>40921</v>
      </c>
    </row>
    <row r="19" spans="1:11" ht="15.75">
      <c r="A19" s="288" t="s">
        <v>564</v>
      </c>
      <c r="B19" s="61" t="s">
        <v>348</v>
      </c>
      <c r="C19" s="221">
        <v>40935</v>
      </c>
      <c r="D19" s="64" t="s">
        <v>12</v>
      </c>
      <c r="E19" s="266">
        <v>352</v>
      </c>
      <c r="F19" s="259">
        <v>4</v>
      </c>
      <c r="G19" s="709">
        <v>1192174</v>
      </c>
      <c r="H19" s="710">
        <v>134260</v>
      </c>
      <c r="I19" s="261">
        <v>16954478</v>
      </c>
      <c r="J19" s="262">
        <v>1824977</v>
      </c>
      <c r="K19" s="218">
        <v>40956</v>
      </c>
    </row>
    <row r="20" spans="1:11" ht="15.75">
      <c r="A20" s="290" t="s">
        <v>347</v>
      </c>
      <c r="B20" s="61" t="s">
        <v>348</v>
      </c>
      <c r="C20" s="220">
        <v>40914</v>
      </c>
      <c r="D20" s="64" t="s">
        <v>12</v>
      </c>
      <c r="E20" s="258">
        <v>204</v>
      </c>
      <c r="F20" s="259">
        <v>3</v>
      </c>
      <c r="G20" s="709">
        <v>1163723</v>
      </c>
      <c r="H20" s="710">
        <v>122619</v>
      </c>
      <c r="I20" s="261">
        <v>4281506</v>
      </c>
      <c r="J20" s="262">
        <v>456384</v>
      </c>
      <c r="K20" s="218">
        <v>40928</v>
      </c>
    </row>
    <row r="21" spans="1:11" ht="15.75">
      <c r="A21" s="288" t="s">
        <v>141</v>
      </c>
      <c r="B21" s="61" t="s">
        <v>142</v>
      </c>
      <c r="C21" s="221">
        <v>40893</v>
      </c>
      <c r="D21" s="64" t="s">
        <v>8</v>
      </c>
      <c r="E21" s="266">
        <v>131</v>
      </c>
      <c r="F21" s="267">
        <v>7</v>
      </c>
      <c r="G21" s="825">
        <v>782818</v>
      </c>
      <c r="H21" s="826">
        <v>90206</v>
      </c>
      <c r="I21" s="362">
        <v>14423830</v>
      </c>
      <c r="J21" s="360">
        <v>1609793</v>
      </c>
      <c r="K21" s="265">
        <v>40935</v>
      </c>
    </row>
    <row r="22" spans="1:11" ht="15.75">
      <c r="A22" s="288" t="s">
        <v>564</v>
      </c>
      <c r="B22" s="61" t="s">
        <v>348</v>
      </c>
      <c r="C22" s="221">
        <v>40935</v>
      </c>
      <c r="D22" s="64" t="s">
        <v>12</v>
      </c>
      <c r="E22" s="266">
        <v>352</v>
      </c>
      <c r="F22" s="431">
        <v>5</v>
      </c>
      <c r="G22" s="821">
        <v>780803</v>
      </c>
      <c r="H22" s="822">
        <v>90515</v>
      </c>
      <c r="I22" s="270">
        <v>17735281</v>
      </c>
      <c r="J22" s="272">
        <v>1915492</v>
      </c>
      <c r="K22" s="218">
        <v>40963</v>
      </c>
    </row>
    <row r="23" spans="1:11" ht="15.75">
      <c r="A23" s="302" t="s">
        <v>151</v>
      </c>
      <c r="B23" s="61" t="s">
        <v>218</v>
      </c>
      <c r="C23" s="220">
        <v>40900</v>
      </c>
      <c r="D23" s="64" t="s">
        <v>68</v>
      </c>
      <c r="E23" s="258">
        <v>197</v>
      </c>
      <c r="F23" s="259">
        <v>2</v>
      </c>
      <c r="G23" s="714">
        <v>656291</v>
      </c>
      <c r="H23" s="715">
        <v>73110</v>
      </c>
      <c r="I23" s="270">
        <f>985836.5+656291</f>
        <v>1642127.5</v>
      </c>
      <c r="J23" s="272">
        <f>106718+73110</f>
        <v>179828</v>
      </c>
      <c r="K23" s="218">
        <v>40907</v>
      </c>
    </row>
    <row r="24" spans="1:11" ht="15.75">
      <c r="A24" s="290" t="s">
        <v>347</v>
      </c>
      <c r="B24" s="61" t="s">
        <v>348</v>
      </c>
      <c r="C24" s="220">
        <v>40914</v>
      </c>
      <c r="D24" s="64" t="s">
        <v>12</v>
      </c>
      <c r="E24" s="258">
        <v>204</v>
      </c>
      <c r="F24" s="259">
        <v>4</v>
      </c>
      <c r="G24" s="709">
        <v>641449</v>
      </c>
      <c r="H24" s="710">
        <v>67679</v>
      </c>
      <c r="I24" s="261">
        <v>4923160</v>
      </c>
      <c r="J24" s="262">
        <v>524082</v>
      </c>
      <c r="K24" s="265">
        <v>40935</v>
      </c>
    </row>
    <row r="25" spans="1:11" ht="15.75">
      <c r="A25" s="288" t="s">
        <v>141</v>
      </c>
      <c r="B25" s="61" t="s">
        <v>142</v>
      </c>
      <c r="C25" s="221">
        <v>40893</v>
      </c>
      <c r="D25" s="64" t="s">
        <v>8</v>
      </c>
      <c r="E25" s="266">
        <v>131</v>
      </c>
      <c r="F25" s="267">
        <v>8</v>
      </c>
      <c r="G25" s="714">
        <v>546513</v>
      </c>
      <c r="H25" s="715">
        <v>61901</v>
      </c>
      <c r="I25" s="270">
        <v>14970343</v>
      </c>
      <c r="J25" s="361">
        <v>1671694</v>
      </c>
      <c r="K25" s="218">
        <v>40942</v>
      </c>
    </row>
    <row r="26" spans="1:11" ht="15.75">
      <c r="A26" s="302" t="s">
        <v>151</v>
      </c>
      <c r="B26" s="61" t="s">
        <v>218</v>
      </c>
      <c r="C26" s="220">
        <v>40900</v>
      </c>
      <c r="D26" s="64" t="s">
        <v>68</v>
      </c>
      <c r="E26" s="254">
        <v>197</v>
      </c>
      <c r="F26" s="294">
        <v>3</v>
      </c>
      <c r="G26" s="714">
        <v>454728.5</v>
      </c>
      <c r="H26" s="715">
        <v>50608</v>
      </c>
      <c r="I26" s="458">
        <f>985836.5+657011.5+454728.5</f>
        <v>2097576.5</v>
      </c>
      <c r="J26" s="459">
        <f>106718+73176+50608</f>
        <v>230502</v>
      </c>
      <c r="K26" s="218">
        <v>40914</v>
      </c>
    </row>
    <row r="27" spans="1:11" ht="15.75">
      <c r="A27" s="304" t="s">
        <v>104</v>
      </c>
      <c r="B27" s="61" t="s">
        <v>105</v>
      </c>
      <c r="C27" s="221">
        <v>40872</v>
      </c>
      <c r="D27" s="64" t="s">
        <v>10</v>
      </c>
      <c r="E27" s="258">
        <v>277</v>
      </c>
      <c r="F27" s="271">
        <v>6</v>
      </c>
      <c r="G27" s="714">
        <v>441941</v>
      </c>
      <c r="H27" s="715">
        <v>49345</v>
      </c>
      <c r="I27" s="270">
        <v>10697295</v>
      </c>
      <c r="J27" s="272">
        <v>1139680</v>
      </c>
      <c r="K27" s="218">
        <v>40907</v>
      </c>
    </row>
    <row r="28" spans="1:11" ht="15.75">
      <c r="A28" s="288" t="s">
        <v>141</v>
      </c>
      <c r="B28" s="61" t="s">
        <v>142</v>
      </c>
      <c r="C28" s="407">
        <v>40893</v>
      </c>
      <c r="D28" s="64" t="s">
        <v>8</v>
      </c>
      <c r="E28" s="266">
        <v>131</v>
      </c>
      <c r="F28" s="267">
        <v>9</v>
      </c>
      <c r="G28" s="714">
        <v>387361</v>
      </c>
      <c r="H28" s="715">
        <v>45227</v>
      </c>
      <c r="I28" s="270">
        <v>15357703</v>
      </c>
      <c r="J28" s="272">
        <v>1716921</v>
      </c>
      <c r="K28" s="218">
        <v>40949</v>
      </c>
    </row>
    <row r="29" spans="1:11" ht="15.75">
      <c r="A29" s="288" t="s">
        <v>564</v>
      </c>
      <c r="B29" s="61" t="s">
        <v>348</v>
      </c>
      <c r="C29" s="221">
        <v>40935</v>
      </c>
      <c r="D29" s="64" t="s">
        <v>12</v>
      </c>
      <c r="E29" s="541">
        <v>352</v>
      </c>
      <c r="F29" s="215">
        <v>6</v>
      </c>
      <c r="G29" s="709">
        <v>367131</v>
      </c>
      <c r="H29" s="710">
        <v>43107</v>
      </c>
      <c r="I29" s="261">
        <v>18102412</v>
      </c>
      <c r="J29" s="262">
        <v>1958599</v>
      </c>
      <c r="K29" s="218">
        <v>40970</v>
      </c>
    </row>
    <row r="30" spans="1:11" ht="15.75">
      <c r="A30" s="289" t="s">
        <v>381</v>
      </c>
      <c r="B30" s="64" t="s">
        <v>382</v>
      </c>
      <c r="C30" s="220">
        <v>40921</v>
      </c>
      <c r="D30" s="64" t="s">
        <v>52</v>
      </c>
      <c r="E30" s="258">
        <v>49</v>
      </c>
      <c r="F30" s="271">
        <v>1</v>
      </c>
      <c r="G30" s="827">
        <v>357713</v>
      </c>
      <c r="H30" s="828">
        <v>33400</v>
      </c>
      <c r="I30" s="273">
        <v>357713</v>
      </c>
      <c r="J30" s="262">
        <v>33400</v>
      </c>
      <c r="K30" s="265">
        <v>40921</v>
      </c>
    </row>
    <row r="31" spans="1:11" ht="15.75">
      <c r="A31" s="289" t="s">
        <v>381</v>
      </c>
      <c r="B31" s="64" t="s">
        <v>382</v>
      </c>
      <c r="C31" s="220">
        <v>40921</v>
      </c>
      <c r="D31" s="64" t="s">
        <v>52</v>
      </c>
      <c r="E31" s="258">
        <v>49</v>
      </c>
      <c r="F31" s="271">
        <v>2</v>
      </c>
      <c r="G31" s="713">
        <v>343246.5</v>
      </c>
      <c r="H31" s="829">
        <v>31498</v>
      </c>
      <c r="I31" s="329">
        <f>357713+343246.5</f>
        <v>700959.5</v>
      </c>
      <c r="J31" s="262">
        <f>33400+31498</f>
        <v>64898</v>
      </c>
      <c r="K31" s="218">
        <v>40928</v>
      </c>
    </row>
    <row r="32" spans="1:11" ht="15.75">
      <c r="A32" s="302" t="s">
        <v>107</v>
      </c>
      <c r="B32" s="63" t="s">
        <v>123</v>
      </c>
      <c r="C32" s="220">
        <v>40879</v>
      </c>
      <c r="D32" s="64" t="s">
        <v>68</v>
      </c>
      <c r="E32" s="258">
        <v>202</v>
      </c>
      <c r="F32" s="259">
        <v>5</v>
      </c>
      <c r="G32" s="714">
        <v>299977</v>
      </c>
      <c r="H32" s="715">
        <v>39696</v>
      </c>
      <c r="I32" s="270">
        <f>1080241.5+1088121+871543+502064+299977</f>
        <v>3841946.5</v>
      </c>
      <c r="J32" s="272">
        <f>121812+123965+100674+61096+39696</f>
        <v>447243</v>
      </c>
      <c r="K32" s="218">
        <v>40907</v>
      </c>
    </row>
    <row r="33" spans="1:11" ht="15.75">
      <c r="A33" s="290" t="s">
        <v>347</v>
      </c>
      <c r="B33" s="61" t="s">
        <v>348</v>
      </c>
      <c r="C33" s="220">
        <v>40914</v>
      </c>
      <c r="D33" s="64" t="s">
        <v>12</v>
      </c>
      <c r="E33" s="258">
        <v>204</v>
      </c>
      <c r="F33" s="259">
        <v>5</v>
      </c>
      <c r="G33" s="709">
        <v>291172</v>
      </c>
      <c r="H33" s="710">
        <v>35020</v>
      </c>
      <c r="I33" s="261">
        <v>5214332</v>
      </c>
      <c r="J33" s="262">
        <v>559102</v>
      </c>
      <c r="K33" s="218">
        <v>40942</v>
      </c>
    </row>
    <row r="34" spans="1:11" ht="15.75">
      <c r="A34" s="288" t="s">
        <v>337</v>
      </c>
      <c r="B34" s="66" t="s">
        <v>339</v>
      </c>
      <c r="C34" s="220">
        <v>40914</v>
      </c>
      <c r="D34" s="64" t="s">
        <v>53</v>
      </c>
      <c r="E34" s="256">
        <v>97</v>
      </c>
      <c r="F34" s="300">
        <v>1</v>
      </c>
      <c r="G34" s="830">
        <v>216520</v>
      </c>
      <c r="H34" s="824">
        <v>26831</v>
      </c>
      <c r="I34" s="500">
        <f>216520</f>
        <v>216520</v>
      </c>
      <c r="J34" s="498">
        <f>26831</f>
        <v>26831</v>
      </c>
      <c r="K34" s="218">
        <v>40914</v>
      </c>
    </row>
    <row r="35" spans="1:11" ht="15.75">
      <c r="A35" s="302" t="s">
        <v>151</v>
      </c>
      <c r="B35" s="61" t="s">
        <v>218</v>
      </c>
      <c r="C35" s="220">
        <v>40900</v>
      </c>
      <c r="D35" s="64" t="s">
        <v>68</v>
      </c>
      <c r="E35" s="258">
        <v>197</v>
      </c>
      <c r="F35" s="259">
        <v>4</v>
      </c>
      <c r="G35" s="714">
        <v>206447</v>
      </c>
      <c r="H35" s="715">
        <v>29112</v>
      </c>
      <c r="I35" s="270">
        <f>985836.5+657011.5+454728.5+206447</f>
        <v>2304023.5</v>
      </c>
      <c r="J35" s="272">
        <f>106718+73176+50608+29112</f>
        <v>259614</v>
      </c>
      <c r="K35" s="218">
        <v>40921</v>
      </c>
    </row>
    <row r="36" spans="1:11" ht="15.75">
      <c r="A36" s="288" t="s">
        <v>337</v>
      </c>
      <c r="B36" s="66" t="s">
        <v>339</v>
      </c>
      <c r="C36" s="220">
        <v>40914</v>
      </c>
      <c r="D36" s="64" t="s">
        <v>53</v>
      </c>
      <c r="E36" s="274">
        <v>97</v>
      </c>
      <c r="F36" s="275">
        <v>2</v>
      </c>
      <c r="G36" s="709">
        <v>198358.5</v>
      </c>
      <c r="H36" s="710">
        <v>25025</v>
      </c>
      <c r="I36" s="261">
        <f>216520+198358.5</f>
        <v>414878.5</v>
      </c>
      <c r="J36" s="262">
        <f>26831+25025</f>
        <v>51856</v>
      </c>
      <c r="K36" s="218">
        <v>40921</v>
      </c>
    </row>
    <row r="37" spans="1:11" ht="15.75">
      <c r="A37" s="306" t="s">
        <v>110</v>
      </c>
      <c r="B37" s="61" t="s">
        <v>113</v>
      </c>
      <c r="C37" s="220">
        <v>40879</v>
      </c>
      <c r="D37" s="64" t="s">
        <v>53</v>
      </c>
      <c r="E37" s="258">
        <v>135</v>
      </c>
      <c r="F37" s="275">
        <v>5</v>
      </c>
      <c r="G37" s="709">
        <v>197271.5</v>
      </c>
      <c r="H37" s="710">
        <v>25625</v>
      </c>
      <c r="I37" s="261">
        <f>1709882.25+1194489.75+708906.5+376327+70+197271.5</f>
        <v>4186947</v>
      </c>
      <c r="J37" s="262">
        <f>195314+135261+80447+45395+10+25625</f>
        <v>482052</v>
      </c>
      <c r="K37" s="218">
        <v>40907</v>
      </c>
    </row>
    <row r="38" spans="1:11" ht="15.75">
      <c r="A38" s="299" t="s">
        <v>74</v>
      </c>
      <c r="B38" s="67" t="s">
        <v>80</v>
      </c>
      <c r="C38" s="220">
        <v>40851</v>
      </c>
      <c r="D38" s="64" t="s">
        <v>53</v>
      </c>
      <c r="E38" s="266">
        <v>247</v>
      </c>
      <c r="F38" s="275">
        <v>9</v>
      </c>
      <c r="G38" s="709">
        <v>184428</v>
      </c>
      <c r="H38" s="710">
        <v>33224</v>
      </c>
      <c r="I38" s="261">
        <f>2260223+2366876.75+3859638+3137342+1906742.5+252.25+1189485.5+474275+250512+184428</f>
        <v>15629775</v>
      </c>
      <c r="J38" s="262">
        <f>286038+329194+554088+452220+278080+42+178270+68355+40409+33224</f>
        <v>2219920</v>
      </c>
      <c r="K38" s="218">
        <v>40907</v>
      </c>
    </row>
    <row r="39" spans="1:11" ht="15.75">
      <c r="A39" s="299" t="s">
        <v>601</v>
      </c>
      <c r="B39" s="61" t="s">
        <v>588</v>
      </c>
      <c r="C39" s="220">
        <v>40942</v>
      </c>
      <c r="D39" s="64" t="s">
        <v>53</v>
      </c>
      <c r="E39" s="274">
        <v>95</v>
      </c>
      <c r="F39" s="275">
        <v>1</v>
      </c>
      <c r="G39" s="831">
        <v>167178.1</v>
      </c>
      <c r="H39" s="710">
        <v>18839</v>
      </c>
      <c r="I39" s="388">
        <f>167178.1</f>
        <v>167178.1</v>
      </c>
      <c r="J39" s="262">
        <f>18839</f>
        <v>18839</v>
      </c>
      <c r="K39" s="218">
        <v>40942</v>
      </c>
    </row>
    <row r="40" spans="1:11" ht="15.75">
      <c r="A40" s="304" t="s">
        <v>579</v>
      </c>
      <c r="B40" s="61" t="s">
        <v>587</v>
      </c>
      <c r="C40" s="220">
        <v>40942</v>
      </c>
      <c r="D40" s="64" t="s">
        <v>52</v>
      </c>
      <c r="E40" s="387">
        <v>42</v>
      </c>
      <c r="F40" s="386">
        <v>1</v>
      </c>
      <c r="G40" s="832">
        <v>162020.35</v>
      </c>
      <c r="H40" s="833">
        <v>16152</v>
      </c>
      <c r="I40" s="389">
        <v>162020.35</v>
      </c>
      <c r="J40" s="390">
        <v>16152</v>
      </c>
      <c r="K40" s="218">
        <v>40942</v>
      </c>
    </row>
    <row r="41" spans="1:11" ht="15.75">
      <c r="A41" s="288" t="s">
        <v>337</v>
      </c>
      <c r="B41" s="66" t="s">
        <v>339</v>
      </c>
      <c r="C41" s="220">
        <v>40914</v>
      </c>
      <c r="D41" s="64" t="s">
        <v>53</v>
      </c>
      <c r="E41" s="274">
        <v>97</v>
      </c>
      <c r="F41" s="330">
        <v>3</v>
      </c>
      <c r="G41" s="723">
        <v>149589.5</v>
      </c>
      <c r="H41" s="724">
        <v>19383</v>
      </c>
      <c r="I41" s="261">
        <f>216520+198358.5+149589.5</f>
        <v>564468</v>
      </c>
      <c r="J41" s="262">
        <f>26831+25025+19383</f>
        <v>71239</v>
      </c>
      <c r="K41" s="218">
        <v>40928</v>
      </c>
    </row>
    <row r="42" spans="1:11" ht="15.75">
      <c r="A42" s="290" t="s">
        <v>347</v>
      </c>
      <c r="B42" s="61" t="s">
        <v>348</v>
      </c>
      <c r="C42" s="406">
        <v>40914</v>
      </c>
      <c r="D42" s="64" t="s">
        <v>12</v>
      </c>
      <c r="E42" s="258">
        <v>204</v>
      </c>
      <c r="F42" s="259">
        <v>6</v>
      </c>
      <c r="G42" s="723">
        <v>139126</v>
      </c>
      <c r="H42" s="724">
        <v>18433</v>
      </c>
      <c r="I42" s="261">
        <v>5353458</v>
      </c>
      <c r="J42" s="262">
        <v>577535</v>
      </c>
      <c r="K42" s="218">
        <v>40949</v>
      </c>
    </row>
    <row r="43" spans="1:11" ht="15.75">
      <c r="A43" s="302" t="s">
        <v>107</v>
      </c>
      <c r="B43" s="63" t="s">
        <v>123</v>
      </c>
      <c r="C43" s="220">
        <v>40879</v>
      </c>
      <c r="D43" s="64" t="s">
        <v>68</v>
      </c>
      <c r="E43" s="254">
        <v>202</v>
      </c>
      <c r="F43" s="294">
        <v>6</v>
      </c>
      <c r="G43" s="714">
        <v>131358.5</v>
      </c>
      <c r="H43" s="715">
        <v>19116</v>
      </c>
      <c r="I43" s="458">
        <f>1080241.5+1088121+871543+502064+300294.5+131358.5</f>
        <v>3973622.5</v>
      </c>
      <c r="J43" s="459">
        <f>121812+123965+100674+61096+39726+19116</f>
        <v>466389</v>
      </c>
      <c r="K43" s="218">
        <v>40914</v>
      </c>
    </row>
    <row r="44" spans="1:11" ht="15.75">
      <c r="A44" s="290" t="s">
        <v>104</v>
      </c>
      <c r="B44" s="61" t="s">
        <v>105</v>
      </c>
      <c r="C44" s="221">
        <v>40872</v>
      </c>
      <c r="D44" s="64" t="s">
        <v>10</v>
      </c>
      <c r="E44" s="254">
        <v>277</v>
      </c>
      <c r="F44" s="216">
        <v>7</v>
      </c>
      <c r="G44" s="714">
        <f>129529+680</f>
        <v>130209</v>
      </c>
      <c r="H44" s="715">
        <f>15613+55</f>
        <v>15668</v>
      </c>
      <c r="I44" s="458">
        <f>10697295+129529+680</f>
        <v>10827504</v>
      </c>
      <c r="J44" s="459">
        <f>1139680+15613+55</f>
        <v>1155348</v>
      </c>
      <c r="K44" s="218">
        <v>40914</v>
      </c>
    </row>
    <row r="45" spans="1:11" ht="15.75">
      <c r="A45" s="299" t="s">
        <v>601</v>
      </c>
      <c r="B45" s="61" t="s">
        <v>588</v>
      </c>
      <c r="C45" s="406">
        <v>40942</v>
      </c>
      <c r="D45" s="64" t="s">
        <v>53</v>
      </c>
      <c r="E45" s="274">
        <v>95</v>
      </c>
      <c r="F45" s="275">
        <v>2</v>
      </c>
      <c r="G45" s="723">
        <v>124753.91</v>
      </c>
      <c r="H45" s="724">
        <v>14893</v>
      </c>
      <c r="I45" s="261">
        <f>166893.1+124753.91</f>
        <v>291647.01</v>
      </c>
      <c r="J45" s="262">
        <f>18839+14893</f>
        <v>33732</v>
      </c>
      <c r="K45" s="218">
        <v>40949</v>
      </c>
    </row>
    <row r="46" spans="1:11" ht="15.75">
      <c r="A46" s="289" t="s">
        <v>381</v>
      </c>
      <c r="B46" s="64" t="s">
        <v>382</v>
      </c>
      <c r="C46" s="220">
        <v>40921</v>
      </c>
      <c r="D46" s="64" t="s">
        <v>52</v>
      </c>
      <c r="E46" s="258">
        <v>49</v>
      </c>
      <c r="F46" s="271">
        <v>3</v>
      </c>
      <c r="G46" s="834">
        <v>115529.5</v>
      </c>
      <c r="H46" s="835">
        <v>10192</v>
      </c>
      <c r="I46" s="363">
        <v>816489</v>
      </c>
      <c r="J46" s="364">
        <v>75090</v>
      </c>
      <c r="K46" s="265">
        <v>40935</v>
      </c>
    </row>
    <row r="47" spans="1:11" ht="15.75">
      <c r="A47" s="302" t="s">
        <v>107</v>
      </c>
      <c r="B47" s="63" t="s">
        <v>123</v>
      </c>
      <c r="C47" s="220">
        <v>40879</v>
      </c>
      <c r="D47" s="64" t="s">
        <v>68</v>
      </c>
      <c r="E47" s="258">
        <v>202</v>
      </c>
      <c r="F47" s="259">
        <v>7</v>
      </c>
      <c r="G47" s="719">
        <v>96969.5</v>
      </c>
      <c r="H47" s="720">
        <v>14898</v>
      </c>
      <c r="I47" s="270">
        <f>1080241.5+1088121+871543+502064+300294.5+131358.5+96969.5</f>
        <v>4070592</v>
      </c>
      <c r="J47" s="272">
        <f>121812+123965+100674+61096+39726+19116+14898</f>
        <v>481287</v>
      </c>
      <c r="K47" s="218">
        <v>40921</v>
      </c>
    </row>
    <row r="48" spans="1:11" ht="15.75">
      <c r="A48" s="306" t="s">
        <v>110</v>
      </c>
      <c r="B48" s="61" t="s">
        <v>113</v>
      </c>
      <c r="C48" s="220">
        <v>40879</v>
      </c>
      <c r="D48" s="64" t="s">
        <v>53</v>
      </c>
      <c r="E48" s="254">
        <v>135</v>
      </c>
      <c r="F48" s="300">
        <v>6</v>
      </c>
      <c r="G48" s="830">
        <v>73341.5</v>
      </c>
      <c r="H48" s="824">
        <v>10302</v>
      </c>
      <c r="I48" s="500">
        <f>1709882.25+1194489.75+708906.5+376327+70+197271.5+73341.5</f>
        <v>4260288.5</v>
      </c>
      <c r="J48" s="498">
        <f>195314+135261+80447+45395+10+25625+10302</f>
        <v>492354</v>
      </c>
      <c r="K48" s="218">
        <v>40914</v>
      </c>
    </row>
    <row r="49" spans="1:11" ht="15.75">
      <c r="A49" s="302" t="s">
        <v>151</v>
      </c>
      <c r="B49" s="61" t="s">
        <v>218</v>
      </c>
      <c r="C49" s="220">
        <v>40900</v>
      </c>
      <c r="D49" s="64" t="s">
        <v>68</v>
      </c>
      <c r="E49" s="258">
        <v>197</v>
      </c>
      <c r="F49" s="259">
        <v>5</v>
      </c>
      <c r="G49" s="719">
        <v>72029</v>
      </c>
      <c r="H49" s="720">
        <v>10776</v>
      </c>
      <c r="I49" s="270">
        <f>985836.5+657011.5+454728.5+206461+72029</f>
        <v>2376066.5</v>
      </c>
      <c r="J49" s="272">
        <f>106718+73176+50608+29114+10776</f>
        <v>270392</v>
      </c>
      <c r="K49" s="218">
        <v>40928</v>
      </c>
    </row>
    <row r="50" spans="1:11" ht="15.75">
      <c r="A50" s="288" t="s">
        <v>141</v>
      </c>
      <c r="B50" s="61" t="s">
        <v>142</v>
      </c>
      <c r="C50" s="221">
        <v>40893</v>
      </c>
      <c r="D50" s="64" t="s">
        <v>8</v>
      </c>
      <c r="E50" s="266">
        <v>131</v>
      </c>
      <c r="F50" s="267">
        <v>10</v>
      </c>
      <c r="G50" s="719">
        <v>71809</v>
      </c>
      <c r="H50" s="720">
        <v>8523</v>
      </c>
      <c r="I50" s="270">
        <v>15429512</v>
      </c>
      <c r="J50" s="272">
        <v>1725444</v>
      </c>
      <c r="K50" s="218">
        <v>40956</v>
      </c>
    </row>
    <row r="51" spans="1:11" ht="15.75">
      <c r="A51" s="306" t="s">
        <v>110</v>
      </c>
      <c r="B51" s="61" t="s">
        <v>113</v>
      </c>
      <c r="C51" s="220">
        <v>40879</v>
      </c>
      <c r="D51" s="64" t="s">
        <v>53</v>
      </c>
      <c r="E51" s="258">
        <v>135</v>
      </c>
      <c r="F51" s="275">
        <v>7</v>
      </c>
      <c r="G51" s="723">
        <v>70692.5</v>
      </c>
      <c r="H51" s="724">
        <v>10950</v>
      </c>
      <c r="I51" s="261">
        <f>1709882.25+1194489.75+708906.5+376327+70+197271.5+73341.5+70692.5</f>
        <v>4330981</v>
      </c>
      <c r="J51" s="262">
        <f>195314+135261+80447+45395+10+25625+10302+10950</f>
        <v>503304</v>
      </c>
      <c r="K51" s="218">
        <v>40921</v>
      </c>
    </row>
    <row r="52" spans="1:11" ht="15.75">
      <c r="A52" s="304" t="s">
        <v>721</v>
      </c>
      <c r="B52" s="465" t="s">
        <v>724</v>
      </c>
      <c r="C52" s="221">
        <v>40977</v>
      </c>
      <c r="D52" s="64" t="s">
        <v>53</v>
      </c>
      <c r="E52" s="258">
        <v>85</v>
      </c>
      <c r="F52" s="275">
        <v>1</v>
      </c>
      <c r="G52" s="723">
        <v>70303.72</v>
      </c>
      <c r="H52" s="724">
        <v>9206</v>
      </c>
      <c r="I52" s="276">
        <f>70303.72</f>
        <v>70303.72</v>
      </c>
      <c r="J52" s="277">
        <f>9206</f>
        <v>9206</v>
      </c>
      <c r="K52" s="716">
        <v>40977</v>
      </c>
    </row>
    <row r="53" spans="1:11" ht="15.75">
      <c r="A53" s="304" t="s">
        <v>579</v>
      </c>
      <c r="B53" s="61" t="s">
        <v>587</v>
      </c>
      <c r="C53" s="406">
        <v>40942</v>
      </c>
      <c r="D53" s="64" t="s">
        <v>52</v>
      </c>
      <c r="E53" s="258">
        <v>42</v>
      </c>
      <c r="F53" s="259">
        <v>2</v>
      </c>
      <c r="G53" s="723">
        <v>70285.95</v>
      </c>
      <c r="H53" s="724">
        <v>7535</v>
      </c>
      <c r="I53" s="261">
        <f>162020.35+70285.95</f>
        <v>232306.3</v>
      </c>
      <c r="J53" s="262">
        <f>16152+7535</f>
        <v>23687</v>
      </c>
      <c r="K53" s="218">
        <v>40949</v>
      </c>
    </row>
    <row r="54" spans="1:11" ht="15.75">
      <c r="A54" s="302" t="s">
        <v>107</v>
      </c>
      <c r="B54" s="63" t="s">
        <v>123</v>
      </c>
      <c r="C54" s="220">
        <v>40879</v>
      </c>
      <c r="D54" s="64" t="s">
        <v>68</v>
      </c>
      <c r="E54" s="258">
        <v>202</v>
      </c>
      <c r="F54" s="259">
        <v>8</v>
      </c>
      <c r="G54" s="719">
        <v>68985</v>
      </c>
      <c r="H54" s="720">
        <v>10338</v>
      </c>
      <c r="I54" s="270">
        <f>1080241.5+1088121+871543+502064+300294.5+131358.5+96969.5+68985</f>
        <v>4139577</v>
      </c>
      <c r="J54" s="272">
        <f>121812+123965+100674+61096+39726+19116+14898+10338</f>
        <v>491625</v>
      </c>
      <c r="K54" s="218">
        <v>40928</v>
      </c>
    </row>
    <row r="55" spans="1:11" ht="15.75">
      <c r="A55" s="290" t="s">
        <v>104</v>
      </c>
      <c r="B55" s="61" t="s">
        <v>105</v>
      </c>
      <c r="C55" s="221">
        <v>40872</v>
      </c>
      <c r="D55" s="64" t="s">
        <v>10</v>
      </c>
      <c r="E55" s="258">
        <v>277</v>
      </c>
      <c r="F55" s="271">
        <v>8</v>
      </c>
      <c r="G55" s="719">
        <v>64482</v>
      </c>
      <c r="H55" s="720">
        <v>7909</v>
      </c>
      <c r="I55" s="270">
        <v>10891986</v>
      </c>
      <c r="J55" s="272">
        <v>1163257</v>
      </c>
      <c r="K55" s="218">
        <v>40921</v>
      </c>
    </row>
    <row r="56" spans="1:11" ht="15.75">
      <c r="A56" s="289" t="s">
        <v>381</v>
      </c>
      <c r="B56" s="64" t="s">
        <v>382</v>
      </c>
      <c r="C56" s="220">
        <v>40921</v>
      </c>
      <c r="D56" s="64" t="s">
        <v>52</v>
      </c>
      <c r="E56" s="258">
        <v>49</v>
      </c>
      <c r="F56" s="386">
        <v>4</v>
      </c>
      <c r="G56" s="832">
        <v>51137</v>
      </c>
      <c r="H56" s="833">
        <v>4818</v>
      </c>
      <c r="I56" s="389">
        <f>357713+343246.5+115529.5+51137</f>
        <v>867626</v>
      </c>
      <c r="J56" s="390">
        <f>33400+31498+10192+4818</f>
        <v>79908</v>
      </c>
      <c r="K56" s="218">
        <v>40942</v>
      </c>
    </row>
    <row r="57" spans="1:11" ht="15.75">
      <c r="A57" s="306" t="s">
        <v>110</v>
      </c>
      <c r="B57" s="61" t="s">
        <v>113</v>
      </c>
      <c r="C57" s="220">
        <v>40879</v>
      </c>
      <c r="D57" s="64" t="s">
        <v>53</v>
      </c>
      <c r="E57" s="258">
        <v>135</v>
      </c>
      <c r="F57" s="330">
        <v>8</v>
      </c>
      <c r="G57" s="723">
        <v>50480.5</v>
      </c>
      <c r="H57" s="724">
        <v>7727</v>
      </c>
      <c r="I57" s="261">
        <f>1709882.25+1194489.75+708906.5+376327+70+197271.5+73341.5+70692.5+50480.5</f>
        <v>4381461.5</v>
      </c>
      <c r="J57" s="262">
        <f>195314+135261+80447+45395+10+25625+10302+10950+7727</f>
        <v>511031</v>
      </c>
      <c r="K57" s="218">
        <v>40928</v>
      </c>
    </row>
    <row r="58" spans="1:11" ht="15.75">
      <c r="A58" s="290" t="s">
        <v>104</v>
      </c>
      <c r="B58" s="61" t="s">
        <v>105</v>
      </c>
      <c r="C58" s="221">
        <v>40872</v>
      </c>
      <c r="D58" s="64" t="s">
        <v>10</v>
      </c>
      <c r="E58" s="258">
        <v>277</v>
      </c>
      <c r="F58" s="271">
        <v>9</v>
      </c>
      <c r="G58" s="721">
        <v>39245</v>
      </c>
      <c r="H58" s="722">
        <v>5888</v>
      </c>
      <c r="I58" s="268">
        <v>10931231</v>
      </c>
      <c r="J58" s="269">
        <v>1169145</v>
      </c>
      <c r="K58" s="218">
        <v>40928</v>
      </c>
    </row>
    <row r="59" spans="1:11" ht="15.75">
      <c r="A59" s="288" t="s">
        <v>141</v>
      </c>
      <c r="B59" s="61" t="s">
        <v>142</v>
      </c>
      <c r="C59" s="221">
        <v>40893</v>
      </c>
      <c r="D59" s="64" t="s">
        <v>8</v>
      </c>
      <c r="E59" s="266">
        <v>131</v>
      </c>
      <c r="F59" s="213">
        <v>11</v>
      </c>
      <c r="G59" s="836">
        <v>33707</v>
      </c>
      <c r="H59" s="837">
        <v>4300</v>
      </c>
      <c r="I59" s="270">
        <v>15464802</v>
      </c>
      <c r="J59" s="272">
        <v>1729952</v>
      </c>
      <c r="K59" s="218">
        <v>40963</v>
      </c>
    </row>
    <row r="60" spans="1:11" ht="15.75">
      <c r="A60" s="304" t="s">
        <v>120</v>
      </c>
      <c r="B60" s="61" t="s">
        <v>122</v>
      </c>
      <c r="C60" s="220">
        <v>40886</v>
      </c>
      <c r="D60" s="64" t="s">
        <v>121</v>
      </c>
      <c r="E60" s="258">
        <v>82</v>
      </c>
      <c r="F60" s="271">
        <v>4</v>
      </c>
      <c r="G60" s="725">
        <v>27702.5</v>
      </c>
      <c r="H60" s="726">
        <v>3949</v>
      </c>
      <c r="I60" s="279">
        <v>629561</v>
      </c>
      <c r="J60" s="280">
        <v>71923</v>
      </c>
      <c r="K60" s="218">
        <v>40907</v>
      </c>
    </row>
    <row r="61" spans="1:11" ht="15.75">
      <c r="A61" s="299" t="s">
        <v>601</v>
      </c>
      <c r="B61" s="61" t="s">
        <v>588</v>
      </c>
      <c r="C61" s="220">
        <v>40942</v>
      </c>
      <c r="D61" s="64" t="s">
        <v>53</v>
      </c>
      <c r="E61" s="274">
        <v>95</v>
      </c>
      <c r="F61" s="275">
        <v>3</v>
      </c>
      <c r="G61" s="723">
        <v>25288.04</v>
      </c>
      <c r="H61" s="724">
        <v>3105</v>
      </c>
      <c r="I61" s="261">
        <f>166893.1+124753.91+25288.04</f>
        <v>316935.05</v>
      </c>
      <c r="J61" s="262">
        <f>18839+14893+3105</f>
        <v>36837</v>
      </c>
      <c r="K61" s="218">
        <v>40956</v>
      </c>
    </row>
    <row r="62" spans="1:11" ht="15.75">
      <c r="A62" s="289" t="s">
        <v>381</v>
      </c>
      <c r="B62" s="64" t="s">
        <v>382</v>
      </c>
      <c r="C62" s="406">
        <v>40921</v>
      </c>
      <c r="D62" s="64" t="s">
        <v>52</v>
      </c>
      <c r="E62" s="258">
        <v>49</v>
      </c>
      <c r="F62" s="259">
        <v>5</v>
      </c>
      <c r="G62" s="723">
        <v>24830.5</v>
      </c>
      <c r="H62" s="724">
        <v>3004</v>
      </c>
      <c r="I62" s="261">
        <f>357713+343246.5+115529.5+51137+24830.5</f>
        <v>892456.5</v>
      </c>
      <c r="J62" s="262">
        <f>33400+31498+10192+4818+3004</f>
        <v>82912</v>
      </c>
      <c r="K62" s="218">
        <v>40949</v>
      </c>
    </row>
    <row r="63" spans="1:11" ht="15.75">
      <c r="A63" s="302" t="s">
        <v>115</v>
      </c>
      <c r="B63" s="61" t="s">
        <v>116</v>
      </c>
      <c r="C63" s="220">
        <v>40886</v>
      </c>
      <c r="D63" s="64" t="s">
        <v>12</v>
      </c>
      <c r="E63" s="258">
        <v>161</v>
      </c>
      <c r="F63" s="259">
        <v>4</v>
      </c>
      <c r="G63" s="723">
        <v>23157</v>
      </c>
      <c r="H63" s="724">
        <v>3682</v>
      </c>
      <c r="I63" s="261">
        <v>853031</v>
      </c>
      <c r="J63" s="262">
        <v>102752</v>
      </c>
      <c r="K63" s="218">
        <v>40907</v>
      </c>
    </row>
    <row r="64" spans="1:11" ht="15.75">
      <c r="A64" s="288" t="s">
        <v>564</v>
      </c>
      <c r="B64" s="462" t="s">
        <v>348</v>
      </c>
      <c r="C64" s="221">
        <v>40935</v>
      </c>
      <c r="D64" s="64" t="s">
        <v>12</v>
      </c>
      <c r="E64" s="266">
        <v>352</v>
      </c>
      <c r="F64" s="259">
        <v>7</v>
      </c>
      <c r="G64" s="723">
        <v>21582</v>
      </c>
      <c r="H64" s="724">
        <v>3600</v>
      </c>
      <c r="I64" s="263">
        <v>18123994</v>
      </c>
      <c r="J64" s="264">
        <v>1962199</v>
      </c>
      <c r="K64" s="716">
        <v>40977</v>
      </c>
    </row>
    <row r="65" spans="1:11" ht="15.75">
      <c r="A65" s="302" t="s">
        <v>107</v>
      </c>
      <c r="B65" s="466" t="s">
        <v>123</v>
      </c>
      <c r="C65" s="220">
        <v>40879</v>
      </c>
      <c r="D65" s="64" t="s">
        <v>68</v>
      </c>
      <c r="E65" s="258">
        <v>202</v>
      </c>
      <c r="F65" s="259">
        <v>14</v>
      </c>
      <c r="G65" s="719">
        <v>21051.01</v>
      </c>
      <c r="H65" s="720">
        <v>5321</v>
      </c>
      <c r="I65" s="270">
        <f>1080241.5+1088121+871543+502064+300294.5+131358.5+96969.5+68985+9253.5+5204.5+1760.5+2732.5+950.5+21051.01</f>
        <v>4180529.51</v>
      </c>
      <c r="J65" s="272">
        <f>121812+123965+100674+61096+39726+19116+14898+10338+1416+922+322+523+190+5321</f>
        <v>500319</v>
      </c>
      <c r="K65" s="716">
        <v>40977</v>
      </c>
    </row>
    <row r="66" spans="1:11" ht="15.75">
      <c r="A66" s="302" t="s">
        <v>143</v>
      </c>
      <c r="B66" s="61" t="s">
        <v>127</v>
      </c>
      <c r="C66" s="220">
        <v>40893</v>
      </c>
      <c r="D66" s="64" t="s">
        <v>68</v>
      </c>
      <c r="E66" s="258">
        <v>23</v>
      </c>
      <c r="F66" s="259">
        <v>3</v>
      </c>
      <c r="G66" s="719">
        <v>20298.5</v>
      </c>
      <c r="H66" s="720">
        <v>2691</v>
      </c>
      <c r="I66" s="270">
        <f>53228.5+28585+20298.5</f>
        <v>102112</v>
      </c>
      <c r="J66" s="272">
        <f>6440+3537+2691</f>
        <v>12668</v>
      </c>
      <c r="K66" s="218">
        <v>40907</v>
      </c>
    </row>
    <row r="67" spans="1:11" ht="15.75">
      <c r="A67" s="299" t="s">
        <v>148</v>
      </c>
      <c r="B67" s="64" t="s">
        <v>112</v>
      </c>
      <c r="C67" s="220">
        <v>40900</v>
      </c>
      <c r="D67" s="64" t="s">
        <v>52</v>
      </c>
      <c r="E67" s="278">
        <v>14</v>
      </c>
      <c r="F67" s="271">
        <v>2</v>
      </c>
      <c r="G67" s="838">
        <v>19458.5</v>
      </c>
      <c r="H67" s="839">
        <v>1850</v>
      </c>
      <c r="I67" s="260">
        <f>43848.5+19458.5</f>
        <v>63307</v>
      </c>
      <c r="J67" s="262">
        <f>3764+1850</f>
        <v>5614</v>
      </c>
      <c r="K67" s="218">
        <v>40907</v>
      </c>
    </row>
    <row r="68" spans="1:11" ht="15.75">
      <c r="A68" s="288" t="s">
        <v>337</v>
      </c>
      <c r="B68" s="66" t="s">
        <v>339</v>
      </c>
      <c r="C68" s="220">
        <v>40914</v>
      </c>
      <c r="D68" s="64" t="s">
        <v>53</v>
      </c>
      <c r="E68" s="274">
        <v>97</v>
      </c>
      <c r="F68" s="275">
        <v>4</v>
      </c>
      <c r="G68" s="723">
        <v>18051.79</v>
      </c>
      <c r="H68" s="724">
        <v>2440</v>
      </c>
      <c r="I68" s="261">
        <f>216520+198358.5+149589.5+18051.79</f>
        <v>582519.79</v>
      </c>
      <c r="J68" s="262">
        <f>26831+25025+19383+2440</f>
        <v>73679</v>
      </c>
      <c r="K68" s="265">
        <v>40935</v>
      </c>
    </row>
    <row r="69" spans="1:11" ht="15.75">
      <c r="A69" s="302" t="s">
        <v>67</v>
      </c>
      <c r="B69" s="63" t="s">
        <v>85</v>
      </c>
      <c r="C69" s="220">
        <v>40844</v>
      </c>
      <c r="D69" s="64" t="s">
        <v>68</v>
      </c>
      <c r="E69" s="258">
        <v>278</v>
      </c>
      <c r="F69" s="259">
        <v>13</v>
      </c>
      <c r="G69" s="719">
        <v>17226.5</v>
      </c>
      <c r="H69" s="720">
        <v>2090</v>
      </c>
      <c r="I69" s="270">
        <f>2021467.25+4147826.75+1641146.5+1086471.5+837723.5+353523.5+115157+12431.5+1554+13261.5+3397.5+17222.5+17226.5</f>
        <v>10268409.5</v>
      </c>
      <c r="J69" s="272">
        <f>231121+459388+190384+130345+104513+46481+14878+1830+250+1860+737+1888+2090</f>
        <v>1185765</v>
      </c>
      <c r="K69" s="218">
        <v>40928</v>
      </c>
    </row>
    <row r="70" spans="1:11" ht="15.75">
      <c r="A70" s="302" t="s">
        <v>67</v>
      </c>
      <c r="B70" s="63" t="s">
        <v>85</v>
      </c>
      <c r="C70" s="220">
        <v>40844</v>
      </c>
      <c r="D70" s="64" t="s">
        <v>68</v>
      </c>
      <c r="E70" s="258">
        <v>278</v>
      </c>
      <c r="F70" s="259">
        <v>12</v>
      </c>
      <c r="G70" s="719">
        <v>17222.5</v>
      </c>
      <c r="H70" s="720">
        <v>1888</v>
      </c>
      <c r="I70" s="270">
        <f>2021467.25+4147826.75+1641146.5+1086471.5+837723.5+353523.5+115157+12431.5+1554+13261.5+3397.5+17222.5</f>
        <v>10251183</v>
      </c>
      <c r="J70" s="272">
        <f>231121+459388+190384+130345+104513+46481+14878+1830+250+1860+737+1888</f>
        <v>1183675</v>
      </c>
      <c r="K70" s="218">
        <v>40921</v>
      </c>
    </row>
    <row r="71" spans="1:11" ht="15.75">
      <c r="A71" s="302" t="s">
        <v>151</v>
      </c>
      <c r="B71" s="61" t="s">
        <v>218</v>
      </c>
      <c r="C71" s="220">
        <v>40900</v>
      </c>
      <c r="D71" s="64" t="s">
        <v>68</v>
      </c>
      <c r="E71" s="258">
        <v>197</v>
      </c>
      <c r="F71" s="259">
        <v>6</v>
      </c>
      <c r="G71" s="719">
        <v>16105.51</v>
      </c>
      <c r="H71" s="720">
        <v>3413</v>
      </c>
      <c r="I71" s="270">
        <f>985836.5+657011.5+454728.5+206461+72029+16105.51</f>
        <v>2392172.01</v>
      </c>
      <c r="J71" s="272">
        <f>106718+73176+50608+29114+10776+3413</f>
        <v>273805</v>
      </c>
      <c r="K71" s="265">
        <v>40935</v>
      </c>
    </row>
    <row r="72" spans="1:11" ht="15.75">
      <c r="A72" s="302" t="s">
        <v>67</v>
      </c>
      <c r="B72" s="63" t="s">
        <v>85</v>
      </c>
      <c r="C72" s="220">
        <v>40844</v>
      </c>
      <c r="D72" s="64" t="s">
        <v>68</v>
      </c>
      <c r="E72" s="258">
        <v>278</v>
      </c>
      <c r="F72" s="259">
        <v>10</v>
      </c>
      <c r="G72" s="719">
        <v>13261.5</v>
      </c>
      <c r="H72" s="720">
        <v>1860</v>
      </c>
      <c r="I72" s="270">
        <f>2021467.25+4147826.75+1641146.5+1086471.5+837723.5+353523.5+115157+12431.5+1554+13261.5</f>
        <v>10230563</v>
      </c>
      <c r="J72" s="272">
        <f>231121+459388+190384+130345+104513+46481+14878+1830+250+1860</f>
        <v>1181050</v>
      </c>
      <c r="K72" s="218">
        <v>40907</v>
      </c>
    </row>
    <row r="73" spans="1:11" ht="15.75">
      <c r="A73" s="299" t="s">
        <v>74</v>
      </c>
      <c r="B73" s="67" t="s">
        <v>80</v>
      </c>
      <c r="C73" s="220">
        <v>40851</v>
      </c>
      <c r="D73" s="64" t="s">
        <v>53</v>
      </c>
      <c r="E73" s="257">
        <v>247</v>
      </c>
      <c r="F73" s="300">
        <v>10</v>
      </c>
      <c r="G73" s="830">
        <v>13126</v>
      </c>
      <c r="H73" s="824">
        <v>1975</v>
      </c>
      <c r="I73" s="500">
        <f>2260223+2366876.75+3859638+3137342+1906742.5+252.25+1189485.5+474275+250512+184428+13126</f>
        <v>15642901</v>
      </c>
      <c r="J73" s="498">
        <f>286038+329194+554088+452220+278080+42+178270+68355+40409+33224+1975</f>
        <v>2221895</v>
      </c>
      <c r="K73" s="218">
        <v>40914</v>
      </c>
    </row>
    <row r="74" spans="1:11" ht="15.75">
      <c r="A74" s="304" t="s">
        <v>579</v>
      </c>
      <c r="B74" s="61" t="s">
        <v>587</v>
      </c>
      <c r="C74" s="220">
        <v>40942</v>
      </c>
      <c r="D74" s="64" t="s">
        <v>52</v>
      </c>
      <c r="E74" s="258">
        <v>42</v>
      </c>
      <c r="F74" s="432">
        <v>4</v>
      </c>
      <c r="G74" s="836">
        <v>12368</v>
      </c>
      <c r="H74" s="837">
        <v>1836</v>
      </c>
      <c r="I74" s="270">
        <f>162020.35+70285.95+11139.41+12368</f>
        <v>255813.71</v>
      </c>
      <c r="J74" s="272">
        <f>16152+7535+1434+1836</f>
        <v>26957</v>
      </c>
      <c r="K74" s="218">
        <v>40963</v>
      </c>
    </row>
    <row r="75" spans="1:11" ht="15.75">
      <c r="A75" s="289" t="s">
        <v>381</v>
      </c>
      <c r="B75" s="64" t="s">
        <v>382</v>
      </c>
      <c r="C75" s="220">
        <v>40921</v>
      </c>
      <c r="D75" s="64" t="s">
        <v>52</v>
      </c>
      <c r="E75" s="258">
        <v>49</v>
      </c>
      <c r="F75" s="259">
        <v>6</v>
      </c>
      <c r="G75" s="723">
        <v>11883</v>
      </c>
      <c r="H75" s="724">
        <v>1638</v>
      </c>
      <c r="I75" s="261">
        <f>357713+343246.5+115529.5+51137+24830.5+11883</f>
        <v>904339.5</v>
      </c>
      <c r="J75" s="262">
        <f>33400+31498+10192+4818+3004+1638</f>
        <v>84550</v>
      </c>
      <c r="K75" s="218">
        <v>40956</v>
      </c>
    </row>
    <row r="76" spans="1:11" ht="15.75">
      <c r="A76" s="302" t="s">
        <v>115</v>
      </c>
      <c r="B76" s="61" t="s">
        <v>116</v>
      </c>
      <c r="C76" s="220">
        <v>40886</v>
      </c>
      <c r="D76" s="64" t="s">
        <v>12</v>
      </c>
      <c r="E76" s="254">
        <v>161</v>
      </c>
      <c r="F76" s="215">
        <v>5</v>
      </c>
      <c r="G76" s="823">
        <v>11189</v>
      </c>
      <c r="H76" s="824">
        <v>1816</v>
      </c>
      <c r="I76" s="497">
        <v>864220</v>
      </c>
      <c r="J76" s="498">
        <v>104568</v>
      </c>
      <c r="K76" s="218">
        <v>40914</v>
      </c>
    </row>
    <row r="77" spans="1:11" ht="15.75">
      <c r="A77" s="304" t="s">
        <v>579</v>
      </c>
      <c r="B77" s="61" t="s">
        <v>587</v>
      </c>
      <c r="C77" s="220">
        <v>40942</v>
      </c>
      <c r="D77" s="64" t="s">
        <v>52</v>
      </c>
      <c r="E77" s="258">
        <v>42</v>
      </c>
      <c r="F77" s="259">
        <v>3</v>
      </c>
      <c r="G77" s="723">
        <v>11139.41</v>
      </c>
      <c r="H77" s="724">
        <v>1434</v>
      </c>
      <c r="I77" s="261">
        <f>162020.35+70285.95+11139.41</f>
        <v>243445.71</v>
      </c>
      <c r="J77" s="262">
        <f>16152+7535+1434</f>
        <v>25121</v>
      </c>
      <c r="K77" s="218">
        <v>40956</v>
      </c>
    </row>
    <row r="78" spans="1:11" ht="15.75">
      <c r="A78" s="306" t="s">
        <v>110</v>
      </c>
      <c r="B78" s="61" t="s">
        <v>113</v>
      </c>
      <c r="C78" s="220">
        <v>40879</v>
      </c>
      <c r="D78" s="64" t="s">
        <v>53</v>
      </c>
      <c r="E78" s="258">
        <v>135</v>
      </c>
      <c r="F78" s="275">
        <v>9</v>
      </c>
      <c r="G78" s="723">
        <v>9953.5</v>
      </c>
      <c r="H78" s="724">
        <v>1402</v>
      </c>
      <c r="I78" s="261">
        <f>1709882.25+1194489.75+708906.5+376327+70+197271.5+73341.5+70692.5+50480.5+9953.5</f>
        <v>4391415</v>
      </c>
      <c r="J78" s="262">
        <f>195314+135261+80447+45395+10+25625+10302+10950+7727+1402</f>
        <v>512433</v>
      </c>
      <c r="K78" s="265">
        <v>40935</v>
      </c>
    </row>
    <row r="79" spans="1:11" ht="15.75">
      <c r="A79" s="302" t="s">
        <v>115</v>
      </c>
      <c r="B79" s="61" t="s">
        <v>116</v>
      </c>
      <c r="C79" s="220">
        <v>40886</v>
      </c>
      <c r="D79" s="64" t="s">
        <v>12</v>
      </c>
      <c r="E79" s="258">
        <v>161</v>
      </c>
      <c r="F79" s="259">
        <v>6</v>
      </c>
      <c r="G79" s="723">
        <v>9906</v>
      </c>
      <c r="H79" s="724">
        <v>1845</v>
      </c>
      <c r="I79" s="261">
        <v>874126</v>
      </c>
      <c r="J79" s="262">
        <v>106413</v>
      </c>
      <c r="K79" s="218">
        <v>40921</v>
      </c>
    </row>
    <row r="80" spans="1:11" ht="15.75">
      <c r="A80" s="302" t="s">
        <v>107</v>
      </c>
      <c r="B80" s="63" t="s">
        <v>123</v>
      </c>
      <c r="C80" s="220">
        <v>40879</v>
      </c>
      <c r="D80" s="64" t="s">
        <v>68</v>
      </c>
      <c r="E80" s="258">
        <v>202</v>
      </c>
      <c r="F80" s="259">
        <v>9</v>
      </c>
      <c r="G80" s="719">
        <v>9253.5</v>
      </c>
      <c r="H80" s="720">
        <v>1416</v>
      </c>
      <c r="I80" s="270">
        <f>1080241.5+1088121+871543+502064+300294.5+131358.5+96969.5+68985+9253.5</f>
        <v>4148830.5</v>
      </c>
      <c r="J80" s="272">
        <f>121812+123965+100674+61096+39726+19116+14898+10338+1416</f>
        <v>493041</v>
      </c>
      <c r="K80" s="265">
        <v>40935</v>
      </c>
    </row>
    <row r="81" spans="1:11" ht="15.75">
      <c r="A81" s="306" t="s">
        <v>71</v>
      </c>
      <c r="B81" s="61" t="s">
        <v>82</v>
      </c>
      <c r="C81" s="221">
        <v>40858</v>
      </c>
      <c r="D81" s="64" t="s">
        <v>53</v>
      </c>
      <c r="E81" s="258">
        <v>130</v>
      </c>
      <c r="F81" s="275">
        <v>8</v>
      </c>
      <c r="G81" s="723">
        <v>8754</v>
      </c>
      <c r="H81" s="724">
        <v>1547</v>
      </c>
      <c r="I81" s="261">
        <f>665902+436506+215139.5+18371+13790+6539+18719+8754</f>
        <v>1383720.5</v>
      </c>
      <c r="J81" s="262">
        <f>66262+44749+24699+2311+1764+1135+3015+1547</f>
        <v>145482</v>
      </c>
      <c r="K81" s="218">
        <v>40907</v>
      </c>
    </row>
    <row r="82" spans="1:11" ht="15.75">
      <c r="A82" s="302" t="s">
        <v>143</v>
      </c>
      <c r="B82" s="61" t="s">
        <v>127</v>
      </c>
      <c r="C82" s="220">
        <v>40893</v>
      </c>
      <c r="D82" s="64" t="s">
        <v>68</v>
      </c>
      <c r="E82" s="254">
        <v>23</v>
      </c>
      <c r="F82" s="294">
        <v>4</v>
      </c>
      <c r="G82" s="714">
        <v>8299</v>
      </c>
      <c r="H82" s="715">
        <v>1237</v>
      </c>
      <c r="I82" s="458">
        <f>53228.5+28585+20298.5+8299</f>
        <v>110411</v>
      </c>
      <c r="J82" s="459">
        <f>6440+3537+2691+1237</f>
        <v>13905</v>
      </c>
      <c r="K82" s="218">
        <v>40914</v>
      </c>
    </row>
    <row r="83" spans="1:11" ht="15.75">
      <c r="A83" s="289" t="s">
        <v>381</v>
      </c>
      <c r="B83" s="64" t="s">
        <v>382</v>
      </c>
      <c r="C83" s="220">
        <v>40921</v>
      </c>
      <c r="D83" s="64" t="s">
        <v>52</v>
      </c>
      <c r="E83" s="258">
        <v>49</v>
      </c>
      <c r="F83" s="432">
        <v>7</v>
      </c>
      <c r="G83" s="836">
        <v>8256</v>
      </c>
      <c r="H83" s="837">
        <v>1139</v>
      </c>
      <c r="I83" s="270">
        <f>357713+343246.5+115529.5+51137+24830.5+11883+8256</f>
        <v>912595.5</v>
      </c>
      <c r="J83" s="272">
        <f>33400+31498+10192+4818+3004+1638+1139</f>
        <v>85689</v>
      </c>
      <c r="K83" s="218">
        <v>40963</v>
      </c>
    </row>
    <row r="84" spans="1:11" ht="15.75">
      <c r="A84" s="304" t="s">
        <v>120</v>
      </c>
      <c r="B84" s="61" t="s">
        <v>122</v>
      </c>
      <c r="C84" s="220">
        <v>40886</v>
      </c>
      <c r="D84" s="64" t="s">
        <v>121</v>
      </c>
      <c r="E84" s="254">
        <v>82</v>
      </c>
      <c r="F84" s="216">
        <v>5</v>
      </c>
      <c r="G84" s="840">
        <v>8167.5</v>
      </c>
      <c r="H84" s="841">
        <v>1300</v>
      </c>
      <c r="I84" s="507">
        <v>637877</v>
      </c>
      <c r="J84" s="508">
        <v>73245</v>
      </c>
      <c r="K84" s="218">
        <v>40914</v>
      </c>
    </row>
    <row r="85" spans="1:11" ht="15.75">
      <c r="A85" s="290" t="s">
        <v>104</v>
      </c>
      <c r="B85" s="61" t="s">
        <v>105</v>
      </c>
      <c r="C85" s="221">
        <v>40872</v>
      </c>
      <c r="D85" s="64" t="s">
        <v>10</v>
      </c>
      <c r="E85" s="258">
        <v>277</v>
      </c>
      <c r="F85" s="271">
        <v>13</v>
      </c>
      <c r="G85" s="719">
        <v>7140</v>
      </c>
      <c r="H85" s="720">
        <v>1666</v>
      </c>
      <c r="I85" s="270">
        <v>10945899</v>
      </c>
      <c r="J85" s="272">
        <v>1172189</v>
      </c>
      <c r="K85" s="218">
        <v>40956</v>
      </c>
    </row>
    <row r="86" spans="1:11" ht="15.75">
      <c r="A86" s="306" t="s">
        <v>106</v>
      </c>
      <c r="B86" s="61" t="s">
        <v>114</v>
      </c>
      <c r="C86" s="220">
        <v>40879</v>
      </c>
      <c r="D86" s="64" t="s">
        <v>8</v>
      </c>
      <c r="E86" s="258">
        <v>39</v>
      </c>
      <c r="F86" s="267">
        <v>5</v>
      </c>
      <c r="G86" s="719">
        <v>6888</v>
      </c>
      <c r="H86" s="720">
        <v>1032</v>
      </c>
      <c r="I86" s="270">
        <v>207860</v>
      </c>
      <c r="J86" s="272">
        <v>22859</v>
      </c>
      <c r="K86" s="218">
        <v>40907</v>
      </c>
    </row>
    <row r="87" spans="1:11" ht="15.75">
      <c r="A87" s="302" t="s">
        <v>143</v>
      </c>
      <c r="B87" s="61" t="s">
        <v>127</v>
      </c>
      <c r="C87" s="220">
        <v>40893</v>
      </c>
      <c r="D87" s="64" t="s">
        <v>68</v>
      </c>
      <c r="E87" s="258">
        <v>23</v>
      </c>
      <c r="F87" s="259">
        <v>6</v>
      </c>
      <c r="G87" s="719">
        <v>6463</v>
      </c>
      <c r="H87" s="720">
        <v>1419</v>
      </c>
      <c r="I87" s="270">
        <f>53228.5+28585+20298.5+8299+5922+6463</f>
        <v>122796</v>
      </c>
      <c r="J87" s="272">
        <f>6440+3537+2691+1237+891+1419</f>
        <v>16215</v>
      </c>
      <c r="K87" s="218">
        <v>40928</v>
      </c>
    </row>
    <row r="88" spans="1:11" ht="15.75">
      <c r="A88" s="290" t="s">
        <v>347</v>
      </c>
      <c r="B88" s="61" t="s">
        <v>348</v>
      </c>
      <c r="C88" s="220">
        <v>40914</v>
      </c>
      <c r="D88" s="64" t="s">
        <v>12</v>
      </c>
      <c r="E88" s="258">
        <v>204</v>
      </c>
      <c r="F88" s="431">
        <v>8</v>
      </c>
      <c r="G88" s="836">
        <v>5976</v>
      </c>
      <c r="H88" s="837">
        <v>1120</v>
      </c>
      <c r="I88" s="270">
        <v>5363327</v>
      </c>
      <c r="J88" s="272">
        <v>579180</v>
      </c>
      <c r="K88" s="218">
        <v>40963</v>
      </c>
    </row>
    <row r="89" spans="1:11" ht="15.75">
      <c r="A89" s="302" t="s">
        <v>143</v>
      </c>
      <c r="B89" s="61" t="s">
        <v>127</v>
      </c>
      <c r="C89" s="220">
        <v>40893</v>
      </c>
      <c r="D89" s="64" t="s">
        <v>68</v>
      </c>
      <c r="E89" s="258">
        <v>23</v>
      </c>
      <c r="F89" s="259">
        <v>5</v>
      </c>
      <c r="G89" s="719">
        <v>5922</v>
      </c>
      <c r="H89" s="720">
        <v>891</v>
      </c>
      <c r="I89" s="270">
        <f>53228.5+28585+20298.5+8299+5922</f>
        <v>116333</v>
      </c>
      <c r="J89" s="272">
        <f>6440+3537+2691+1237+891</f>
        <v>14796</v>
      </c>
      <c r="K89" s="218">
        <v>40921</v>
      </c>
    </row>
    <row r="90" spans="1:11" ht="15.75">
      <c r="A90" s="306" t="s">
        <v>71</v>
      </c>
      <c r="B90" s="61" t="s">
        <v>82</v>
      </c>
      <c r="C90" s="221">
        <v>40858</v>
      </c>
      <c r="D90" s="64" t="s">
        <v>53</v>
      </c>
      <c r="E90" s="258">
        <v>130</v>
      </c>
      <c r="F90" s="330">
        <v>11</v>
      </c>
      <c r="G90" s="723">
        <v>5914</v>
      </c>
      <c r="H90" s="724">
        <v>595</v>
      </c>
      <c r="I90" s="261">
        <f>665902+436506+215139.5+18371+13790+6539+18719+8754+1085+753+5914</f>
        <v>1391472.5</v>
      </c>
      <c r="J90" s="262">
        <f>66262+44749+24699+2311+1764+1135+3015+1547+179+111+595</f>
        <v>146367</v>
      </c>
      <c r="K90" s="218">
        <v>40928</v>
      </c>
    </row>
    <row r="91" spans="1:11" ht="15.75">
      <c r="A91" s="302" t="s">
        <v>151</v>
      </c>
      <c r="B91" s="61" t="s">
        <v>218</v>
      </c>
      <c r="C91" s="220">
        <v>40900</v>
      </c>
      <c r="D91" s="64" t="s">
        <v>68</v>
      </c>
      <c r="E91" s="258">
        <v>197</v>
      </c>
      <c r="F91" s="386">
        <v>7</v>
      </c>
      <c r="G91" s="719">
        <v>5902</v>
      </c>
      <c r="H91" s="720">
        <v>1375</v>
      </c>
      <c r="I91" s="270">
        <f>985836.5+657011.5+454728.5+206461+72029+16105.51+5902</f>
        <v>2398074.01</v>
      </c>
      <c r="J91" s="272">
        <f>106718+73176+50608+29114+10776+3413+1375</f>
        <v>275180</v>
      </c>
      <c r="K91" s="218">
        <v>40942</v>
      </c>
    </row>
    <row r="92" spans="1:11" ht="15.75">
      <c r="A92" s="304" t="s">
        <v>579</v>
      </c>
      <c r="B92" s="462" t="s">
        <v>587</v>
      </c>
      <c r="C92" s="220">
        <v>40942</v>
      </c>
      <c r="D92" s="64" t="s">
        <v>52</v>
      </c>
      <c r="E92" s="258">
        <v>42</v>
      </c>
      <c r="F92" s="259">
        <v>6</v>
      </c>
      <c r="G92" s="723">
        <v>5840</v>
      </c>
      <c r="H92" s="724">
        <v>977</v>
      </c>
      <c r="I92" s="276">
        <f>162020.35+70285.95+11139.41+12368+4963+5840</f>
        <v>266616.70999999996</v>
      </c>
      <c r="J92" s="277">
        <f>16152+7535+1434+1836+857+977</f>
        <v>28791</v>
      </c>
      <c r="K92" s="716">
        <v>40977</v>
      </c>
    </row>
    <row r="93" spans="1:11" ht="15.75">
      <c r="A93" s="302" t="s">
        <v>67</v>
      </c>
      <c r="B93" s="63" t="s">
        <v>85</v>
      </c>
      <c r="C93" s="220">
        <v>40844</v>
      </c>
      <c r="D93" s="64" t="s">
        <v>68</v>
      </c>
      <c r="E93" s="258">
        <v>278</v>
      </c>
      <c r="F93" s="259">
        <v>14</v>
      </c>
      <c r="G93" s="719">
        <v>5821</v>
      </c>
      <c r="H93" s="720">
        <v>661</v>
      </c>
      <c r="I93" s="270">
        <f>2021467.25+4147826.75+1641146.5+1086471.5+837723.5+353523.5+115157+12431.5+1554+13261.5+3397.5+17222.5+17226.5+5821</f>
        <v>10274230.5</v>
      </c>
      <c r="J93" s="272">
        <f>231121+459388+190384+130345+104513+46481+14878+1830+250+1860+737+1888+2090+661</f>
        <v>1186426</v>
      </c>
      <c r="K93" s="265">
        <v>40935</v>
      </c>
    </row>
    <row r="94" spans="1:11" ht="15.75">
      <c r="A94" s="302" t="s">
        <v>73</v>
      </c>
      <c r="B94" s="63" t="s">
        <v>87</v>
      </c>
      <c r="C94" s="220">
        <v>40858</v>
      </c>
      <c r="D94" s="64" t="s">
        <v>68</v>
      </c>
      <c r="E94" s="258">
        <v>32</v>
      </c>
      <c r="F94" s="259">
        <v>8</v>
      </c>
      <c r="G94" s="719">
        <v>5519</v>
      </c>
      <c r="H94" s="720">
        <v>782</v>
      </c>
      <c r="I94" s="270">
        <f>119417+74006.5+30939.5+15734+17682+7740+3814.5+5519</f>
        <v>274852.5</v>
      </c>
      <c r="J94" s="272">
        <f>12383+8559+4204+1986+2778+1301+707+782</f>
        <v>32700</v>
      </c>
      <c r="K94" s="218">
        <v>40907</v>
      </c>
    </row>
    <row r="95" spans="1:11" ht="15.75">
      <c r="A95" s="306" t="s">
        <v>106</v>
      </c>
      <c r="B95" s="61" t="s">
        <v>114</v>
      </c>
      <c r="C95" s="220">
        <v>40879</v>
      </c>
      <c r="D95" s="64" t="s">
        <v>8</v>
      </c>
      <c r="E95" s="254">
        <v>39</v>
      </c>
      <c r="F95" s="213">
        <v>6</v>
      </c>
      <c r="G95" s="714">
        <v>5509</v>
      </c>
      <c r="H95" s="715">
        <v>890</v>
      </c>
      <c r="I95" s="458">
        <v>213369</v>
      </c>
      <c r="J95" s="459">
        <v>23749</v>
      </c>
      <c r="K95" s="218">
        <v>40914</v>
      </c>
    </row>
    <row r="96" spans="1:11" ht="15.75">
      <c r="A96" s="302" t="s">
        <v>115</v>
      </c>
      <c r="B96" s="61" t="s">
        <v>116</v>
      </c>
      <c r="C96" s="220">
        <v>40886</v>
      </c>
      <c r="D96" s="64" t="s">
        <v>12</v>
      </c>
      <c r="E96" s="258">
        <v>161</v>
      </c>
      <c r="F96" s="259">
        <v>7</v>
      </c>
      <c r="G96" s="723">
        <v>5488</v>
      </c>
      <c r="H96" s="724">
        <v>871</v>
      </c>
      <c r="I96" s="261">
        <v>879619</v>
      </c>
      <c r="J96" s="262">
        <v>107284</v>
      </c>
      <c r="K96" s="218">
        <v>40928</v>
      </c>
    </row>
    <row r="97" spans="1:11" ht="15.75">
      <c r="A97" s="299" t="s">
        <v>148</v>
      </c>
      <c r="B97" s="64" t="s">
        <v>112</v>
      </c>
      <c r="C97" s="220">
        <v>40900</v>
      </c>
      <c r="D97" s="64" t="s">
        <v>52</v>
      </c>
      <c r="E97" s="278">
        <v>14</v>
      </c>
      <c r="F97" s="271">
        <v>5</v>
      </c>
      <c r="G97" s="842">
        <v>5447</v>
      </c>
      <c r="H97" s="843">
        <v>752</v>
      </c>
      <c r="I97" s="329">
        <f>43848.5+19458.5+4777+1091+5447</f>
        <v>74622</v>
      </c>
      <c r="J97" s="262">
        <f>3764+1850+439+142+752</f>
        <v>6947</v>
      </c>
      <c r="K97" s="218">
        <v>40928</v>
      </c>
    </row>
    <row r="98" spans="1:11" ht="15.75">
      <c r="A98" s="288" t="s">
        <v>337</v>
      </c>
      <c r="B98" s="66" t="s">
        <v>339</v>
      </c>
      <c r="C98" s="220">
        <v>40914</v>
      </c>
      <c r="D98" s="64" t="s">
        <v>53</v>
      </c>
      <c r="E98" s="274">
        <v>97</v>
      </c>
      <c r="F98" s="275">
        <v>5</v>
      </c>
      <c r="G98" s="844">
        <v>5443</v>
      </c>
      <c r="H98" s="724">
        <v>733</v>
      </c>
      <c r="I98" s="388">
        <f>216520+198358.5+149589.5+18051.79+5443</f>
        <v>587962.79</v>
      </c>
      <c r="J98" s="262">
        <f>26831+25025+19383+2440+733</f>
        <v>74412</v>
      </c>
      <c r="K98" s="218">
        <v>40942</v>
      </c>
    </row>
    <row r="99" spans="1:11" ht="15.75">
      <c r="A99" s="306" t="s">
        <v>106</v>
      </c>
      <c r="B99" s="61" t="s">
        <v>114</v>
      </c>
      <c r="C99" s="220">
        <v>40879</v>
      </c>
      <c r="D99" s="64" t="s">
        <v>8</v>
      </c>
      <c r="E99" s="258">
        <v>39</v>
      </c>
      <c r="F99" s="267">
        <v>8</v>
      </c>
      <c r="G99" s="721">
        <v>5216</v>
      </c>
      <c r="H99" s="722">
        <v>689</v>
      </c>
      <c r="I99" s="268">
        <v>223515</v>
      </c>
      <c r="J99" s="269">
        <v>25285</v>
      </c>
      <c r="K99" s="218">
        <v>40928</v>
      </c>
    </row>
    <row r="100" spans="1:11" ht="15.75">
      <c r="A100" s="302" t="s">
        <v>107</v>
      </c>
      <c r="B100" s="63" t="s">
        <v>123</v>
      </c>
      <c r="C100" s="220">
        <v>40879</v>
      </c>
      <c r="D100" s="64" t="s">
        <v>68</v>
      </c>
      <c r="E100" s="258">
        <v>202</v>
      </c>
      <c r="F100" s="386">
        <v>10</v>
      </c>
      <c r="G100" s="719">
        <v>5204.5</v>
      </c>
      <c r="H100" s="720">
        <v>922</v>
      </c>
      <c r="I100" s="270">
        <f>1080241.5+1088121+871543+502064+300294.5+131358.5+96969.5+68985+9253.5+5204.5</f>
        <v>4154035</v>
      </c>
      <c r="J100" s="272">
        <f>121812+123965+100674+61096+39726+19116+14898+10338+1416+922</f>
        <v>493963</v>
      </c>
      <c r="K100" s="218">
        <v>40942</v>
      </c>
    </row>
    <row r="101" spans="1:11" ht="15.75">
      <c r="A101" s="299" t="s">
        <v>74</v>
      </c>
      <c r="B101" s="67" t="s">
        <v>80</v>
      </c>
      <c r="C101" s="220">
        <v>40851</v>
      </c>
      <c r="D101" s="64" t="s">
        <v>53</v>
      </c>
      <c r="E101" s="266">
        <v>247</v>
      </c>
      <c r="F101" s="330">
        <v>12</v>
      </c>
      <c r="G101" s="723">
        <v>5006</v>
      </c>
      <c r="H101" s="724">
        <v>988</v>
      </c>
      <c r="I101" s="261">
        <f>2260223+2366876.75+3859638+3137342+1906742.5+252.25+1189485.5+474275+250512+184428+13126+754+5006</f>
        <v>15648661</v>
      </c>
      <c r="J101" s="262">
        <f>286038+329194+554088+452220+278080+42+178270+68355+40409+33224+1975+104+988</f>
        <v>2222987</v>
      </c>
      <c r="K101" s="218">
        <v>40928</v>
      </c>
    </row>
    <row r="102" spans="1:11" ht="15.75">
      <c r="A102" s="304" t="s">
        <v>579</v>
      </c>
      <c r="B102" s="61" t="s">
        <v>587</v>
      </c>
      <c r="C102" s="220">
        <v>40942</v>
      </c>
      <c r="D102" s="64" t="s">
        <v>52</v>
      </c>
      <c r="E102" s="542">
        <v>42</v>
      </c>
      <c r="F102" s="215">
        <v>5</v>
      </c>
      <c r="G102" s="723">
        <v>4963</v>
      </c>
      <c r="H102" s="724">
        <v>857</v>
      </c>
      <c r="I102" s="261">
        <f>162020.35+70285.95+11139.41+12368+4963</f>
        <v>260776.71</v>
      </c>
      <c r="J102" s="262">
        <f>16152+7535+1434+1836+857</f>
        <v>27814</v>
      </c>
      <c r="K102" s="218">
        <v>40970</v>
      </c>
    </row>
    <row r="103" spans="1:11" ht="15.75">
      <c r="A103" s="306" t="s">
        <v>106</v>
      </c>
      <c r="B103" s="61" t="s">
        <v>114</v>
      </c>
      <c r="C103" s="220">
        <v>40879</v>
      </c>
      <c r="D103" s="64" t="s">
        <v>8</v>
      </c>
      <c r="E103" s="258">
        <v>39</v>
      </c>
      <c r="F103" s="267">
        <v>7</v>
      </c>
      <c r="G103" s="845">
        <v>4931</v>
      </c>
      <c r="H103" s="846">
        <v>847</v>
      </c>
      <c r="I103" s="270">
        <v>216338</v>
      </c>
      <c r="J103" s="272">
        <v>24246</v>
      </c>
      <c r="K103" s="218">
        <v>40921</v>
      </c>
    </row>
    <row r="104" spans="1:11" ht="15.75">
      <c r="A104" s="302" t="s">
        <v>67</v>
      </c>
      <c r="B104" s="63" t="s">
        <v>85</v>
      </c>
      <c r="C104" s="220">
        <v>40844</v>
      </c>
      <c r="D104" s="64" t="s">
        <v>68</v>
      </c>
      <c r="E104" s="542">
        <v>278</v>
      </c>
      <c r="F104" s="215">
        <v>19</v>
      </c>
      <c r="G104" s="719">
        <v>4832</v>
      </c>
      <c r="H104" s="720">
        <v>673</v>
      </c>
      <c r="I104" s="270">
        <f>2021467.25+4147826.75+1641146.5+1086471.5+837723.5+353523.5+115157+12431.5+1554+13261.5+3397.5+17222.5+17226.5+5821+1188+2851+2851+2530+4832</f>
        <v>10288482.5</v>
      </c>
      <c r="J104" s="272">
        <f>231121+459388+190384+130345+104513+46481+14878+1830+250+1860+737+1888+2090+661+238+570+284+543+673</f>
        <v>1188734</v>
      </c>
      <c r="K104" s="218">
        <v>40970</v>
      </c>
    </row>
    <row r="105" spans="1:11" ht="15.75">
      <c r="A105" s="299" t="s">
        <v>74</v>
      </c>
      <c r="B105" s="67" t="s">
        <v>80</v>
      </c>
      <c r="C105" s="406">
        <v>40851</v>
      </c>
      <c r="D105" s="64" t="s">
        <v>53</v>
      </c>
      <c r="E105" s="266">
        <v>247</v>
      </c>
      <c r="F105" s="275">
        <v>15</v>
      </c>
      <c r="G105" s="723">
        <v>4804</v>
      </c>
      <c r="H105" s="724">
        <v>960</v>
      </c>
      <c r="I105" s="261">
        <f>2260223+2366876.75+3859638+3137342+1906742.5+252.25+1189485.5+474275+250512+184428+13126+754+5006+188+4804</f>
        <v>15653653</v>
      </c>
      <c r="J105" s="262">
        <f>286038+329194+554088+452220+278080+42+178270+68355+40409+33224+1975+104+988+22+960</f>
        <v>2223969</v>
      </c>
      <c r="K105" s="218">
        <v>40949</v>
      </c>
    </row>
    <row r="106" spans="1:11" ht="15.75">
      <c r="A106" s="299" t="s">
        <v>148</v>
      </c>
      <c r="B106" s="64" t="s">
        <v>112</v>
      </c>
      <c r="C106" s="220">
        <v>40900</v>
      </c>
      <c r="D106" s="64" t="s">
        <v>52</v>
      </c>
      <c r="E106" s="255">
        <v>14</v>
      </c>
      <c r="F106" s="216">
        <v>3</v>
      </c>
      <c r="G106" s="847">
        <v>4777</v>
      </c>
      <c r="H106" s="848">
        <v>439</v>
      </c>
      <c r="I106" s="512">
        <f>43848.5+19458.5+4777</f>
        <v>68084</v>
      </c>
      <c r="J106" s="217">
        <f>3764+1850+439</f>
        <v>6053</v>
      </c>
      <c r="K106" s="218">
        <v>40914</v>
      </c>
    </row>
    <row r="107" spans="1:11" ht="15.75">
      <c r="A107" s="304" t="s">
        <v>120</v>
      </c>
      <c r="B107" s="61" t="s">
        <v>122</v>
      </c>
      <c r="C107" s="220">
        <v>40886</v>
      </c>
      <c r="D107" s="64" t="s">
        <v>121</v>
      </c>
      <c r="E107" s="258">
        <v>82</v>
      </c>
      <c r="F107" s="271">
        <v>6</v>
      </c>
      <c r="G107" s="725">
        <v>4728</v>
      </c>
      <c r="H107" s="726">
        <v>758</v>
      </c>
      <c r="I107" s="279">
        <v>642785</v>
      </c>
      <c r="J107" s="280">
        <v>74003</v>
      </c>
      <c r="K107" s="218">
        <v>40921</v>
      </c>
    </row>
    <row r="108" spans="1:11" ht="15.75">
      <c r="A108" s="302" t="s">
        <v>269</v>
      </c>
      <c r="B108" s="61" t="s">
        <v>284</v>
      </c>
      <c r="C108" s="220">
        <v>40809</v>
      </c>
      <c r="D108" s="64" t="s">
        <v>68</v>
      </c>
      <c r="E108" s="254">
        <v>66</v>
      </c>
      <c r="F108" s="294">
        <v>16</v>
      </c>
      <c r="G108" s="714">
        <v>4669.5</v>
      </c>
      <c r="H108" s="715">
        <v>1220</v>
      </c>
      <c r="I108" s="458">
        <f>382290+386122+344313.5+244996+104138.75+43618.5+27632+12528+6812+832+1782+2257+1782+5477.5+2138.5+4669.5</f>
        <v>1571389.25</v>
      </c>
      <c r="J108" s="459">
        <f>34863+36137+32260+23896+12188+5940+2894+1417+1234+90+446+565+446+1293+535+1220</f>
        <v>155424</v>
      </c>
      <c r="K108" s="218">
        <v>40914</v>
      </c>
    </row>
    <row r="109" spans="1:11" ht="15.75">
      <c r="A109" s="304" t="s">
        <v>120</v>
      </c>
      <c r="B109" s="462" t="s">
        <v>122</v>
      </c>
      <c r="C109" s="220">
        <v>40886</v>
      </c>
      <c r="D109" s="64" t="s">
        <v>121</v>
      </c>
      <c r="E109" s="258">
        <v>82</v>
      </c>
      <c r="F109" s="271">
        <v>14</v>
      </c>
      <c r="G109" s="725">
        <v>4327</v>
      </c>
      <c r="H109" s="726">
        <v>819</v>
      </c>
      <c r="I109" s="279">
        <v>651438.9</v>
      </c>
      <c r="J109" s="280">
        <v>75523</v>
      </c>
      <c r="K109" s="716">
        <v>40977</v>
      </c>
    </row>
    <row r="110" spans="1:11" ht="15.75">
      <c r="A110" s="299" t="s">
        <v>601</v>
      </c>
      <c r="B110" s="61" t="s">
        <v>588</v>
      </c>
      <c r="C110" s="220">
        <v>40942</v>
      </c>
      <c r="D110" s="64" t="s">
        <v>53</v>
      </c>
      <c r="E110" s="274">
        <v>95</v>
      </c>
      <c r="F110" s="434">
        <v>4</v>
      </c>
      <c r="G110" s="836">
        <v>4237</v>
      </c>
      <c r="H110" s="837">
        <v>518</v>
      </c>
      <c r="I110" s="270">
        <f>166893.1+124753.91+25288.04+4237</f>
        <v>321172.05</v>
      </c>
      <c r="J110" s="272">
        <f>18839+14893+3105+518</f>
        <v>37355</v>
      </c>
      <c r="K110" s="218">
        <v>40963</v>
      </c>
    </row>
    <row r="111" spans="1:11" ht="15.75">
      <c r="A111" s="290" t="s">
        <v>104</v>
      </c>
      <c r="B111" s="61" t="s">
        <v>105</v>
      </c>
      <c r="C111" s="407">
        <v>40872</v>
      </c>
      <c r="D111" s="64" t="s">
        <v>10</v>
      </c>
      <c r="E111" s="258">
        <v>277</v>
      </c>
      <c r="F111" s="271">
        <v>12</v>
      </c>
      <c r="G111" s="719">
        <v>3968</v>
      </c>
      <c r="H111" s="720">
        <v>738</v>
      </c>
      <c r="I111" s="270">
        <v>10938759</v>
      </c>
      <c r="J111" s="272">
        <v>1170523</v>
      </c>
      <c r="K111" s="218">
        <v>40949</v>
      </c>
    </row>
    <row r="112" spans="1:11" ht="15.75">
      <c r="A112" s="290" t="s">
        <v>347</v>
      </c>
      <c r="B112" s="61" t="s">
        <v>348</v>
      </c>
      <c r="C112" s="220">
        <v>40914</v>
      </c>
      <c r="D112" s="64" t="s">
        <v>12</v>
      </c>
      <c r="E112" s="258">
        <v>204</v>
      </c>
      <c r="F112" s="259">
        <v>7</v>
      </c>
      <c r="G112" s="723">
        <v>3893</v>
      </c>
      <c r="H112" s="724">
        <v>525</v>
      </c>
      <c r="I112" s="261">
        <v>5357351</v>
      </c>
      <c r="J112" s="262">
        <v>578060</v>
      </c>
      <c r="K112" s="218">
        <v>40956</v>
      </c>
    </row>
    <row r="113" spans="1:11" ht="15.75">
      <c r="A113" s="288" t="s">
        <v>337</v>
      </c>
      <c r="B113" s="66" t="s">
        <v>339</v>
      </c>
      <c r="C113" s="220">
        <v>40914</v>
      </c>
      <c r="D113" s="64" t="s">
        <v>53</v>
      </c>
      <c r="E113" s="544">
        <v>97</v>
      </c>
      <c r="F113" s="433">
        <v>8</v>
      </c>
      <c r="G113" s="723">
        <v>3842</v>
      </c>
      <c r="H113" s="724">
        <v>635</v>
      </c>
      <c r="I113" s="261">
        <f>216520+198358.5+149589.5+18051.79+5443+2220+114+3842</f>
        <v>594138.79</v>
      </c>
      <c r="J113" s="262">
        <f>26831+25025+19383+2440+733+337+19+635</f>
        <v>75403</v>
      </c>
      <c r="K113" s="218">
        <v>40970</v>
      </c>
    </row>
    <row r="114" spans="1:11" ht="15.75">
      <c r="A114" s="302" t="s">
        <v>353</v>
      </c>
      <c r="B114" s="63" t="s">
        <v>364</v>
      </c>
      <c r="C114" s="220">
        <v>40676</v>
      </c>
      <c r="D114" s="64" t="s">
        <v>68</v>
      </c>
      <c r="E114" s="254">
        <v>10</v>
      </c>
      <c r="F114" s="294">
        <v>20</v>
      </c>
      <c r="G114" s="714">
        <v>3801.5</v>
      </c>
      <c r="H114" s="715">
        <v>950</v>
      </c>
      <c r="I114" s="458">
        <f>19776.5+5289.5+3941.5+4149+6030.5+491+2263+886+669+235+576+182+578+116+1188+1782+1782+1782+1782+3801.5</f>
        <v>57300.5</v>
      </c>
      <c r="J114" s="459">
        <f>2214+710+772+646+1024+103+434+139+105+46+100+16+62+13+297+446+446+446+446+950</f>
        <v>9415</v>
      </c>
      <c r="K114" s="218">
        <v>40914</v>
      </c>
    </row>
    <row r="115" spans="1:11" ht="15.75">
      <c r="A115" s="302" t="s">
        <v>398</v>
      </c>
      <c r="B115" s="63" t="s">
        <v>218</v>
      </c>
      <c r="C115" s="220">
        <v>40627</v>
      </c>
      <c r="D115" s="64" t="s">
        <v>68</v>
      </c>
      <c r="E115" s="258">
        <v>137</v>
      </c>
      <c r="F115" s="259">
        <v>25</v>
      </c>
      <c r="G115" s="719">
        <v>3801.5</v>
      </c>
      <c r="H115" s="720">
        <v>950</v>
      </c>
      <c r="I115" s="270">
        <f>1066061.5+1061275+813239.75+606216+468367.5+266511+137274.5+89937.5+9478+4671.5+2215.5+593.5+2273.5+2234+1858+10514.5+2603+2122+2001+349+713+2613.5+475.5+3801.5</f>
        <v>4557399.75</v>
      </c>
      <c r="J115" s="272">
        <f>110278+106719+82858+62672+50883+32012+17904+13463+1427+637+352+91+261+268+240+2410+402+325+272+26+178+653+109+950</f>
        <v>485390</v>
      </c>
      <c r="K115" s="218">
        <v>40921</v>
      </c>
    </row>
    <row r="116" spans="1:11" ht="15.75">
      <c r="A116" s="302" t="s">
        <v>143</v>
      </c>
      <c r="B116" s="61" t="s">
        <v>127</v>
      </c>
      <c r="C116" s="220">
        <v>40893</v>
      </c>
      <c r="D116" s="64" t="s">
        <v>68</v>
      </c>
      <c r="E116" s="258">
        <v>23</v>
      </c>
      <c r="F116" s="259">
        <v>10</v>
      </c>
      <c r="G116" s="719">
        <v>3801.5</v>
      </c>
      <c r="H116" s="720">
        <v>760</v>
      </c>
      <c r="I116" s="270">
        <f>53228.5+28585+20298.5+8299+5922+6463+2186.5+3291+2777+3801.5</f>
        <v>134852</v>
      </c>
      <c r="J116" s="272">
        <f>6440+3537+2691+1237+891+1419+633+570+423+760</f>
        <v>18601</v>
      </c>
      <c r="K116" s="218">
        <v>40956</v>
      </c>
    </row>
    <row r="117" spans="1:11" ht="15.75">
      <c r="A117" s="302" t="s">
        <v>546</v>
      </c>
      <c r="B117" s="63" t="s">
        <v>547</v>
      </c>
      <c r="C117" s="220">
        <v>40648</v>
      </c>
      <c r="D117" s="64" t="s">
        <v>68</v>
      </c>
      <c r="E117" s="258">
        <v>28</v>
      </c>
      <c r="F117" s="259">
        <v>26</v>
      </c>
      <c r="G117" s="836">
        <v>3801.5</v>
      </c>
      <c r="H117" s="837">
        <v>760</v>
      </c>
      <c r="I117" s="270">
        <f>67573+47761.5+14206.5+4949+3617+1080.5+492+714+1413.5+3743.5+735+1502.5+825+1147+1818+154+295+2263+179+160+3326.5+950.5+1782+1425.5+594+40+3801.5</f>
        <v>166549</v>
      </c>
      <c r="J117" s="272">
        <f>6695+4901+2068+559+504+215+178+122+205+836+119+235+131+174+400+22+45+527+35+28+831+237+446+356+149+8+760</f>
        <v>20786</v>
      </c>
      <c r="K117" s="218">
        <v>40963</v>
      </c>
    </row>
    <row r="118" spans="1:11" ht="15.75">
      <c r="A118" s="299" t="s">
        <v>74</v>
      </c>
      <c r="B118" s="67" t="s">
        <v>80</v>
      </c>
      <c r="C118" s="220">
        <v>40851</v>
      </c>
      <c r="D118" s="64" t="s">
        <v>53</v>
      </c>
      <c r="E118" s="266">
        <v>247</v>
      </c>
      <c r="F118" s="275">
        <v>16</v>
      </c>
      <c r="G118" s="723">
        <v>3604</v>
      </c>
      <c r="H118" s="724">
        <v>721</v>
      </c>
      <c r="I118" s="261">
        <f>2260223+2366876.75+3859638+3137342+1906742.5+252.25+1189485.5+474275+250512+184428+13126+754+5006+188+4804+3604</f>
        <v>15657257</v>
      </c>
      <c r="J118" s="262">
        <f>286038+329194+554088+452220+278080+42+178270+68355+40409+33224+1975+104+988+22+960+721</f>
        <v>2224690</v>
      </c>
      <c r="K118" s="218">
        <v>40956</v>
      </c>
    </row>
    <row r="119" spans="1:11" ht="15.75">
      <c r="A119" s="302" t="s">
        <v>151</v>
      </c>
      <c r="B119" s="61" t="s">
        <v>218</v>
      </c>
      <c r="C119" s="406">
        <v>40900</v>
      </c>
      <c r="D119" s="64" t="s">
        <v>68</v>
      </c>
      <c r="E119" s="258">
        <v>197</v>
      </c>
      <c r="F119" s="259">
        <v>8</v>
      </c>
      <c r="G119" s="719">
        <v>3599</v>
      </c>
      <c r="H119" s="720">
        <v>639</v>
      </c>
      <c r="I119" s="270">
        <f>985836.5+657011.5+454728.5+206461+72029+16105.51+5902+3599</f>
        <v>2401673.01</v>
      </c>
      <c r="J119" s="272">
        <f>106718+73176+50608+29114+10776+3413+1375+639</f>
        <v>275819</v>
      </c>
      <c r="K119" s="218">
        <v>40949</v>
      </c>
    </row>
    <row r="120" spans="1:11" ht="15.75">
      <c r="A120" s="304" t="s">
        <v>745</v>
      </c>
      <c r="B120" s="462" t="s">
        <v>746</v>
      </c>
      <c r="C120" s="220">
        <v>40620</v>
      </c>
      <c r="D120" s="64" t="s">
        <v>52</v>
      </c>
      <c r="E120" s="278">
        <v>218</v>
      </c>
      <c r="F120" s="259">
        <v>27</v>
      </c>
      <c r="G120" s="723">
        <v>3564</v>
      </c>
      <c r="H120" s="724">
        <v>713</v>
      </c>
      <c r="I120" s="276">
        <f>868723.5+629960.75+471670+272432+164061+97109.5+34971.5+29195+10591.5+4973+1214+25859.5+8228+5222+126+1321+161+8414+5940+170+7722+2970+242+249+16632+18847+2376+3564</f>
        <v>2692945.25</v>
      </c>
      <c r="J120" s="277">
        <f>93361+70981+54177+33865+22657+14644+6278+5343+1965+923+199+3609+1160+736+18+257+23+1598+1188+23+1386+594+42+42+3326+3498+339+713</f>
        <v>322945</v>
      </c>
      <c r="K120" s="716">
        <v>40977</v>
      </c>
    </row>
    <row r="121" spans="1:11" ht="15.75">
      <c r="A121" s="299" t="s">
        <v>77</v>
      </c>
      <c r="B121" s="64" t="s">
        <v>188</v>
      </c>
      <c r="C121" s="406">
        <v>40865</v>
      </c>
      <c r="D121" s="64" t="s">
        <v>52</v>
      </c>
      <c r="E121" s="278">
        <v>64</v>
      </c>
      <c r="F121" s="271">
        <v>10</v>
      </c>
      <c r="G121" s="723">
        <v>3564</v>
      </c>
      <c r="H121" s="724">
        <v>712</v>
      </c>
      <c r="I121" s="261">
        <f>256046+137037.5+20115+5099+3542+3484.5+1302+1985+195+659+3564</f>
        <v>433029</v>
      </c>
      <c r="J121" s="262">
        <f>25390+13650+2140+705+587+707+246+352+31+92+712</f>
        <v>44612</v>
      </c>
      <c r="K121" s="218">
        <v>40949</v>
      </c>
    </row>
    <row r="122" spans="1:11" ht="15.75">
      <c r="A122" s="289" t="s">
        <v>381</v>
      </c>
      <c r="B122" s="64" t="s">
        <v>382</v>
      </c>
      <c r="C122" s="220">
        <v>40921</v>
      </c>
      <c r="D122" s="64" t="s">
        <v>52</v>
      </c>
      <c r="E122" s="542">
        <v>49</v>
      </c>
      <c r="F122" s="215">
        <v>8</v>
      </c>
      <c r="G122" s="723">
        <v>3443</v>
      </c>
      <c r="H122" s="724">
        <v>561</v>
      </c>
      <c r="I122" s="261">
        <f>357713+343246.5+115529.5+51137+24830.5+11883+8256+3443</f>
        <v>916038.5</v>
      </c>
      <c r="J122" s="262">
        <f>33400+31498+10192+4818+3004+1638+1139+561</f>
        <v>86250</v>
      </c>
      <c r="K122" s="218">
        <v>40970</v>
      </c>
    </row>
    <row r="123" spans="1:11" ht="15.75">
      <c r="A123" s="302" t="s">
        <v>67</v>
      </c>
      <c r="B123" s="63" t="s">
        <v>85</v>
      </c>
      <c r="C123" s="220">
        <v>40844</v>
      </c>
      <c r="D123" s="64" t="s">
        <v>68</v>
      </c>
      <c r="E123" s="254">
        <v>278</v>
      </c>
      <c r="F123" s="294">
        <v>11</v>
      </c>
      <c r="G123" s="714">
        <v>3397.5</v>
      </c>
      <c r="H123" s="715">
        <v>737</v>
      </c>
      <c r="I123" s="458">
        <f>2021467.25+4147826.75+1641146.5+1086471.5+837723.5+353523.5+115157+12431.5+1554+13261.5+3397.5</f>
        <v>10233960.5</v>
      </c>
      <c r="J123" s="459">
        <f>231121+459388+190384+130345+104513+46481+14878+1830+250+1860+737</f>
        <v>1181787</v>
      </c>
      <c r="K123" s="218">
        <v>40914</v>
      </c>
    </row>
    <row r="124" spans="1:11" ht="15.75">
      <c r="A124" s="302" t="s">
        <v>143</v>
      </c>
      <c r="B124" s="61" t="s">
        <v>127</v>
      </c>
      <c r="C124" s="220">
        <v>40893</v>
      </c>
      <c r="D124" s="64" t="s">
        <v>68</v>
      </c>
      <c r="E124" s="258">
        <v>23</v>
      </c>
      <c r="F124" s="386">
        <v>8</v>
      </c>
      <c r="G124" s="719">
        <v>3291</v>
      </c>
      <c r="H124" s="720">
        <v>570</v>
      </c>
      <c r="I124" s="270">
        <f>53228.5+28585+20298.5+8299+5922+6463+2186.5+3291</f>
        <v>128273.5</v>
      </c>
      <c r="J124" s="272">
        <f>6440+3537+2691+1237+891+1419+633+570</f>
        <v>17418</v>
      </c>
      <c r="K124" s="218">
        <v>40942</v>
      </c>
    </row>
    <row r="125" spans="1:11" ht="15.75">
      <c r="A125" s="306" t="s">
        <v>110</v>
      </c>
      <c r="B125" s="61" t="s">
        <v>113</v>
      </c>
      <c r="C125" s="220">
        <v>40879</v>
      </c>
      <c r="D125" s="64" t="s">
        <v>53</v>
      </c>
      <c r="E125" s="258">
        <v>135</v>
      </c>
      <c r="F125" s="275">
        <v>10</v>
      </c>
      <c r="G125" s="844">
        <v>3058</v>
      </c>
      <c r="H125" s="724">
        <v>435</v>
      </c>
      <c r="I125" s="388">
        <f>1709882.25+1194489.75+708906.5+376327+70+197271.5+73341.5+70692.5+50480.5+9953.5+3058</f>
        <v>4394473</v>
      </c>
      <c r="J125" s="262">
        <f>195314+135261+80447+45395+10+25625+10302+10950+7727+1402+435</f>
        <v>512868</v>
      </c>
      <c r="K125" s="218">
        <v>40942</v>
      </c>
    </row>
    <row r="126" spans="1:11" ht="15.75">
      <c r="A126" s="299" t="s">
        <v>648</v>
      </c>
      <c r="B126" s="64" t="s">
        <v>653</v>
      </c>
      <c r="C126" s="220">
        <v>40606</v>
      </c>
      <c r="D126" s="64" t="s">
        <v>52</v>
      </c>
      <c r="E126" s="278">
        <v>152</v>
      </c>
      <c r="F126" s="259">
        <v>19</v>
      </c>
      <c r="G126" s="723">
        <v>2970</v>
      </c>
      <c r="H126" s="724">
        <v>594</v>
      </c>
      <c r="I126" s="261">
        <f>1064857.25+602581.25+269086.5+86552+70688+40243.5+15124.5+5534.5+5248.5+1364+305+140+147+994+250+240+70+55+2970</f>
        <v>2166451</v>
      </c>
      <c r="J126" s="262">
        <f>118954+67997+33243+12973+11521+6623+2561+922+800+239+45+20+21+199+36+34+14+11+594</f>
        <v>256807</v>
      </c>
      <c r="K126" s="218">
        <v>40956</v>
      </c>
    </row>
    <row r="127" spans="1:11" ht="15.75">
      <c r="A127" s="304" t="s">
        <v>120</v>
      </c>
      <c r="B127" s="61" t="s">
        <v>122</v>
      </c>
      <c r="C127" s="220">
        <v>40886</v>
      </c>
      <c r="D127" s="64" t="s">
        <v>121</v>
      </c>
      <c r="E127" s="258">
        <v>82</v>
      </c>
      <c r="F127" s="271">
        <v>7</v>
      </c>
      <c r="G127" s="725">
        <v>2957.9</v>
      </c>
      <c r="H127" s="726">
        <v>493</v>
      </c>
      <c r="I127" s="279">
        <v>645699.9</v>
      </c>
      <c r="J127" s="280">
        <v>74489</v>
      </c>
      <c r="K127" s="218">
        <v>40928</v>
      </c>
    </row>
    <row r="128" spans="1:11" ht="15.75">
      <c r="A128" s="302" t="s">
        <v>269</v>
      </c>
      <c r="B128" s="61" t="s">
        <v>284</v>
      </c>
      <c r="C128" s="406">
        <v>40809</v>
      </c>
      <c r="D128" s="64" t="s">
        <v>68</v>
      </c>
      <c r="E128" s="258">
        <v>66</v>
      </c>
      <c r="F128" s="259">
        <v>17</v>
      </c>
      <c r="G128" s="719">
        <v>2851.5</v>
      </c>
      <c r="H128" s="720">
        <v>571</v>
      </c>
      <c r="I128" s="270">
        <f>382290+386122+344313.5+244996+104138.75+43618.5+27632+12528+6812+832+1782+2257+1782+5477.5+2138.5+4669.5+970+2851.5</f>
        <v>1575210.75</v>
      </c>
      <c r="J128" s="272">
        <f>34863+36137+32260+23896+12188+5940+2894+1417+1234+90+446+565+446+1293+535+1220+404+571</f>
        <v>156399</v>
      </c>
      <c r="K128" s="218">
        <v>40949</v>
      </c>
    </row>
    <row r="129" spans="1:11" ht="15.75">
      <c r="A129" s="302" t="s">
        <v>67</v>
      </c>
      <c r="B129" s="63" t="s">
        <v>85</v>
      </c>
      <c r="C129" s="406">
        <v>40844</v>
      </c>
      <c r="D129" s="64" t="s">
        <v>68</v>
      </c>
      <c r="E129" s="258">
        <v>278</v>
      </c>
      <c r="F129" s="259">
        <v>15</v>
      </c>
      <c r="G129" s="719">
        <v>2851</v>
      </c>
      <c r="H129" s="720">
        <v>570</v>
      </c>
      <c r="I129" s="270">
        <f>2021467.25+4147826.75+1641146.5+1086471.5+837723.5+353523.5+115157+12431.5+1554+13261.5+3397.5+17222.5+17226.5+5821+1188+2851</f>
        <v>10278269.5</v>
      </c>
      <c r="J129" s="272">
        <f>231121+459388+190384+130345+104513+46481+14878+1830+250+1860+737+1888+2090+661+238+570</f>
        <v>1187234</v>
      </c>
      <c r="K129" s="218">
        <v>40949</v>
      </c>
    </row>
    <row r="130" spans="1:11" ht="15.75">
      <c r="A130" s="302" t="s">
        <v>143</v>
      </c>
      <c r="B130" s="61" t="s">
        <v>127</v>
      </c>
      <c r="C130" s="406">
        <v>40893</v>
      </c>
      <c r="D130" s="64" t="s">
        <v>68</v>
      </c>
      <c r="E130" s="258">
        <v>23</v>
      </c>
      <c r="F130" s="259">
        <v>9</v>
      </c>
      <c r="G130" s="719">
        <v>2777</v>
      </c>
      <c r="H130" s="720">
        <v>423</v>
      </c>
      <c r="I130" s="270">
        <f>53228.5+28585+20298.5+8299+5922+6463+2186.5+3291+2777</f>
        <v>131050.5</v>
      </c>
      <c r="J130" s="272">
        <f>6440+3537+2691+1237+891+1419+633+570+423</f>
        <v>17841</v>
      </c>
      <c r="K130" s="218">
        <v>40949</v>
      </c>
    </row>
    <row r="131" spans="1:11" ht="15.75">
      <c r="A131" s="302" t="s">
        <v>269</v>
      </c>
      <c r="B131" s="462" t="s">
        <v>284</v>
      </c>
      <c r="C131" s="220">
        <v>40809</v>
      </c>
      <c r="D131" s="64" t="s">
        <v>68</v>
      </c>
      <c r="E131" s="258">
        <v>66</v>
      </c>
      <c r="F131" s="259">
        <v>20</v>
      </c>
      <c r="G131" s="719">
        <v>2732.5</v>
      </c>
      <c r="H131" s="720">
        <v>546</v>
      </c>
      <c r="I131" s="270">
        <f>382290+386122+344313.5+244996+104138.75+43618.5+27632+12528+6812+832+1782+2257+1782+5477.5+2138.5+4669.5+970+2851.5+950.5+2732.5</f>
        <v>1578893.75</v>
      </c>
      <c r="J131" s="272">
        <f>34863+36137+32260+23896+12188+5940+2894+1417+1234+90+446+565+446+1293+535+1220+404+571+190+546</f>
        <v>157135</v>
      </c>
      <c r="K131" s="716">
        <v>40977</v>
      </c>
    </row>
    <row r="132" spans="1:11" ht="15.75">
      <c r="A132" s="302" t="s">
        <v>107</v>
      </c>
      <c r="B132" s="63" t="s">
        <v>123</v>
      </c>
      <c r="C132" s="220">
        <v>40879</v>
      </c>
      <c r="D132" s="64" t="s">
        <v>68</v>
      </c>
      <c r="E132" s="258">
        <v>202</v>
      </c>
      <c r="F132" s="259">
        <v>11</v>
      </c>
      <c r="G132" s="836">
        <v>2732.5</v>
      </c>
      <c r="H132" s="837">
        <v>523</v>
      </c>
      <c r="I132" s="270">
        <f>1080241.5+1088121+871543+502064+300294.5+131358.5+96969.5+68985+9253.5+5204.5+1760.5+2732.5</f>
        <v>4158528</v>
      </c>
      <c r="J132" s="272">
        <f>121812+123965+100674+61096+39726+19116+14898+10338+1416+922+322+523</f>
        <v>494808</v>
      </c>
      <c r="K132" s="218">
        <v>40963</v>
      </c>
    </row>
    <row r="133" spans="1:11" ht="15.75">
      <c r="A133" s="299" t="s">
        <v>148</v>
      </c>
      <c r="B133" s="64" t="s">
        <v>112</v>
      </c>
      <c r="C133" s="220">
        <v>40900</v>
      </c>
      <c r="D133" s="64" t="s">
        <v>52</v>
      </c>
      <c r="E133" s="278">
        <v>14</v>
      </c>
      <c r="F133" s="271">
        <v>6</v>
      </c>
      <c r="G133" s="834">
        <v>2629</v>
      </c>
      <c r="H133" s="835">
        <v>413</v>
      </c>
      <c r="I133" s="363">
        <v>77251</v>
      </c>
      <c r="J133" s="364">
        <v>7360</v>
      </c>
      <c r="K133" s="265">
        <v>40935</v>
      </c>
    </row>
    <row r="134" spans="1:11" ht="15.75">
      <c r="A134" s="302" t="s">
        <v>67</v>
      </c>
      <c r="B134" s="63" t="s">
        <v>85</v>
      </c>
      <c r="C134" s="220">
        <v>40844</v>
      </c>
      <c r="D134" s="64" t="s">
        <v>68</v>
      </c>
      <c r="E134" s="258">
        <v>278</v>
      </c>
      <c r="F134" s="259">
        <v>15</v>
      </c>
      <c r="G134" s="836">
        <v>2530</v>
      </c>
      <c r="H134" s="837">
        <v>543</v>
      </c>
      <c r="I134" s="270">
        <f>2021467.25+4147826.75+1641146.5+1086471.5+837723.5+353523.5+115157+12431.5+1554+13261.5+3397.5+17222.5+17226.5+5821+1188+2851+2851+2530</f>
        <v>10283650.5</v>
      </c>
      <c r="J134" s="272">
        <f>231121+459388+190384+130345+104513+46481+14878+1830+250+1860+737+1888+2090+661+238+570+284+543</f>
        <v>1188061</v>
      </c>
      <c r="K134" s="218">
        <v>40963</v>
      </c>
    </row>
    <row r="135" spans="1:11" ht="15.75">
      <c r="A135" s="288" t="s">
        <v>335</v>
      </c>
      <c r="B135" s="66" t="s">
        <v>338</v>
      </c>
      <c r="C135" s="220">
        <v>40830</v>
      </c>
      <c r="D135" s="64" t="s">
        <v>53</v>
      </c>
      <c r="E135" s="256">
        <v>142</v>
      </c>
      <c r="F135" s="300">
        <v>12</v>
      </c>
      <c r="G135" s="830">
        <v>2402</v>
      </c>
      <c r="H135" s="824">
        <v>480</v>
      </c>
      <c r="I135" s="500">
        <f>248732+139942.5+41015.5+4968+2270+1973+10279+6007+1097+295+261+2402</f>
        <v>459242</v>
      </c>
      <c r="J135" s="498">
        <f>33636+19210+5940+800+378+422+1552+983+159+45+36+480</f>
        <v>63641</v>
      </c>
      <c r="K135" s="218">
        <v>40914</v>
      </c>
    </row>
    <row r="136" spans="1:11" ht="15.75">
      <c r="A136" s="299" t="s">
        <v>74</v>
      </c>
      <c r="B136" s="67" t="s">
        <v>80</v>
      </c>
      <c r="C136" s="220">
        <v>40851</v>
      </c>
      <c r="D136" s="64" t="s">
        <v>53</v>
      </c>
      <c r="E136" s="66">
        <v>247</v>
      </c>
      <c r="F136" s="433">
        <v>18</v>
      </c>
      <c r="G136" s="723">
        <v>2402</v>
      </c>
      <c r="H136" s="724">
        <v>480</v>
      </c>
      <c r="I136" s="261">
        <f>2260223+2366876.75+3859638+3137342+1906742.5+252.25+1189485.5+474275+250512+184428+13126+754+5006+188+4804+3604+350+2402</f>
        <v>15660009</v>
      </c>
      <c r="J136" s="262">
        <f>286038+329194+554088+452220+278080+42+178270+68355+40409+33224+1975+104+988+22+960+721+70+480</f>
        <v>2225240</v>
      </c>
      <c r="K136" s="218">
        <v>40970</v>
      </c>
    </row>
    <row r="137" spans="1:11" ht="15.75">
      <c r="A137" s="306" t="s">
        <v>110</v>
      </c>
      <c r="B137" s="462" t="s">
        <v>113</v>
      </c>
      <c r="C137" s="220">
        <v>40879</v>
      </c>
      <c r="D137" s="64" t="s">
        <v>53</v>
      </c>
      <c r="E137" s="258">
        <v>135</v>
      </c>
      <c r="F137" s="275">
        <v>15</v>
      </c>
      <c r="G137" s="723">
        <v>2402</v>
      </c>
      <c r="H137" s="724">
        <v>480</v>
      </c>
      <c r="I137" s="276">
        <f>1709882.25+1194489.75+708906.5+376327+70+197271.5+73341.5+70692.5+50480.5+9953.5+3058+838+28+63+74+2402</f>
        <v>4397878</v>
      </c>
      <c r="J137" s="277">
        <f>195314+135261+80447+45395+10+25625+10302+10950+7727+1402+435+131+4+9+10+480</f>
        <v>513502</v>
      </c>
      <c r="K137" s="716">
        <v>40977</v>
      </c>
    </row>
    <row r="138" spans="1:11" ht="15.75">
      <c r="A138" s="290" t="s">
        <v>104</v>
      </c>
      <c r="B138" s="61" t="s">
        <v>105</v>
      </c>
      <c r="C138" s="221">
        <v>40872</v>
      </c>
      <c r="D138" s="64" t="s">
        <v>10</v>
      </c>
      <c r="E138" s="542">
        <v>277</v>
      </c>
      <c r="F138" s="216">
        <v>15</v>
      </c>
      <c r="G138" s="719">
        <v>2380</v>
      </c>
      <c r="H138" s="720">
        <v>605</v>
      </c>
      <c r="I138" s="270">
        <v>10950659</v>
      </c>
      <c r="J138" s="272">
        <v>1173389</v>
      </c>
      <c r="K138" s="218">
        <v>40970</v>
      </c>
    </row>
    <row r="139" spans="1:11" ht="15.75">
      <c r="A139" s="290" t="s">
        <v>104</v>
      </c>
      <c r="B139" s="61" t="s">
        <v>105</v>
      </c>
      <c r="C139" s="221">
        <v>40872</v>
      </c>
      <c r="D139" s="64" t="s">
        <v>10</v>
      </c>
      <c r="E139" s="258">
        <v>277</v>
      </c>
      <c r="F139" s="216">
        <v>14</v>
      </c>
      <c r="G139" s="836">
        <v>2380</v>
      </c>
      <c r="H139" s="837">
        <v>595</v>
      </c>
      <c r="I139" s="270">
        <f>10945899+2380</f>
        <v>10948279</v>
      </c>
      <c r="J139" s="272">
        <f>1172189+595</f>
        <v>1172784</v>
      </c>
      <c r="K139" s="218">
        <v>40963</v>
      </c>
    </row>
    <row r="140" spans="1:11" ht="15.75">
      <c r="A140" s="290" t="s">
        <v>104</v>
      </c>
      <c r="B140" s="462" t="s">
        <v>105</v>
      </c>
      <c r="C140" s="221">
        <v>40872</v>
      </c>
      <c r="D140" s="64" t="s">
        <v>10</v>
      </c>
      <c r="E140" s="258">
        <v>277</v>
      </c>
      <c r="F140" s="271">
        <v>16</v>
      </c>
      <c r="G140" s="719">
        <v>2380</v>
      </c>
      <c r="H140" s="720">
        <v>476</v>
      </c>
      <c r="I140" s="270">
        <v>10953039</v>
      </c>
      <c r="J140" s="272">
        <v>1173865</v>
      </c>
      <c r="K140" s="716">
        <v>40977</v>
      </c>
    </row>
    <row r="141" spans="1:11" ht="15.75">
      <c r="A141" s="290" t="s">
        <v>104</v>
      </c>
      <c r="B141" s="61" t="s">
        <v>105</v>
      </c>
      <c r="C141" s="221">
        <v>40872</v>
      </c>
      <c r="D141" s="64" t="s">
        <v>10</v>
      </c>
      <c r="E141" s="258">
        <v>277</v>
      </c>
      <c r="F141" s="271">
        <v>10</v>
      </c>
      <c r="G141" s="719">
        <v>2354</v>
      </c>
      <c r="H141" s="720">
        <v>410</v>
      </c>
      <c r="I141" s="270">
        <v>10933585</v>
      </c>
      <c r="J141" s="272">
        <v>1169555</v>
      </c>
      <c r="K141" s="265">
        <v>40935</v>
      </c>
    </row>
    <row r="142" spans="1:11" ht="15.75">
      <c r="A142" s="288" t="s">
        <v>337</v>
      </c>
      <c r="B142" s="66" t="s">
        <v>339</v>
      </c>
      <c r="C142" s="406">
        <v>40914</v>
      </c>
      <c r="D142" s="64" t="s">
        <v>53</v>
      </c>
      <c r="E142" s="274">
        <v>97</v>
      </c>
      <c r="F142" s="275">
        <v>6</v>
      </c>
      <c r="G142" s="723">
        <v>2220</v>
      </c>
      <c r="H142" s="724">
        <v>337</v>
      </c>
      <c r="I142" s="261">
        <f>216520+198358.5+149589.5+18051.79+5443+2220</f>
        <v>590182.79</v>
      </c>
      <c r="J142" s="262">
        <f>26831+25025+19383+2440+733+337</f>
        <v>74749</v>
      </c>
      <c r="K142" s="218">
        <v>40949</v>
      </c>
    </row>
    <row r="143" spans="1:11" ht="15.75">
      <c r="A143" s="302" t="s">
        <v>143</v>
      </c>
      <c r="B143" s="61" t="s">
        <v>127</v>
      </c>
      <c r="C143" s="220">
        <v>40893</v>
      </c>
      <c r="D143" s="64" t="s">
        <v>68</v>
      </c>
      <c r="E143" s="258">
        <v>23</v>
      </c>
      <c r="F143" s="259">
        <v>7</v>
      </c>
      <c r="G143" s="719">
        <v>2186.5</v>
      </c>
      <c r="H143" s="720">
        <v>633</v>
      </c>
      <c r="I143" s="270">
        <f>53228.5+28585+20298.5+8299+5922+6463+2186.5</f>
        <v>124982.5</v>
      </c>
      <c r="J143" s="272">
        <f>6440+3537+2691+1237+891+1419+633</f>
        <v>16848</v>
      </c>
      <c r="K143" s="265">
        <v>40935</v>
      </c>
    </row>
    <row r="144" spans="1:11" ht="15.75">
      <c r="A144" s="302" t="s">
        <v>269</v>
      </c>
      <c r="B144" s="61" t="s">
        <v>284</v>
      </c>
      <c r="C144" s="220">
        <v>40809</v>
      </c>
      <c r="D144" s="64" t="s">
        <v>68</v>
      </c>
      <c r="E144" s="258">
        <v>66</v>
      </c>
      <c r="F144" s="301">
        <v>15</v>
      </c>
      <c r="G144" s="719">
        <v>2138.5</v>
      </c>
      <c r="H144" s="720">
        <v>535</v>
      </c>
      <c r="I144" s="270">
        <f>382290+386122+344313.5+244996+104138.75+43618.5+27632+12528+6812+832+1782+2257+1782+5477.5+2138.5</f>
        <v>1566719.75</v>
      </c>
      <c r="J144" s="272">
        <f>34863+36137+32260+23896+12188+5940+2894+1417+1234+90+446+565+446+1293+535</f>
        <v>154204</v>
      </c>
      <c r="K144" s="218">
        <v>40907</v>
      </c>
    </row>
    <row r="145" spans="1:11" ht="15.75">
      <c r="A145" s="302" t="s">
        <v>353</v>
      </c>
      <c r="B145" s="63" t="s">
        <v>364</v>
      </c>
      <c r="C145" s="220">
        <v>40676</v>
      </c>
      <c r="D145" s="64" t="s">
        <v>68</v>
      </c>
      <c r="E145" s="258">
        <v>10</v>
      </c>
      <c r="F145" s="259">
        <v>21</v>
      </c>
      <c r="G145" s="719">
        <v>2138.5</v>
      </c>
      <c r="H145" s="720">
        <v>535</v>
      </c>
      <c r="I145" s="270">
        <f>19776.5+5289.5+3941.5+4149+6030.5+491+2263+886+669+235+576+182+578+116+1188+1782+1782+1782+1782+3801.5+2138.5</f>
        <v>59439</v>
      </c>
      <c r="J145" s="272">
        <f>2214+710+772+646+1024+103+434+139+105+46+100+16+62+13+297+446+446+446+446+950+535</f>
        <v>9950</v>
      </c>
      <c r="K145" s="218">
        <v>40921</v>
      </c>
    </row>
    <row r="146" spans="1:11" ht="15.75">
      <c r="A146" s="290" t="s">
        <v>347</v>
      </c>
      <c r="B146" s="462" t="s">
        <v>348</v>
      </c>
      <c r="C146" s="220">
        <v>40914</v>
      </c>
      <c r="D146" s="64" t="s">
        <v>12</v>
      </c>
      <c r="E146" s="258">
        <v>204</v>
      </c>
      <c r="F146" s="259">
        <v>10</v>
      </c>
      <c r="G146" s="723">
        <v>2048</v>
      </c>
      <c r="H146" s="724">
        <v>384</v>
      </c>
      <c r="I146" s="263">
        <v>5366813</v>
      </c>
      <c r="J146" s="264">
        <v>579842</v>
      </c>
      <c r="K146" s="716">
        <v>40977</v>
      </c>
    </row>
    <row r="147" spans="1:11" ht="15.75">
      <c r="A147" s="299" t="s">
        <v>77</v>
      </c>
      <c r="B147" s="64" t="s">
        <v>188</v>
      </c>
      <c r="C147" s="220">
        <v>40865</v>
      </c>
      <c r="D147" s="64" t="s">
        <v>52</v>
      </c>
      <c r="E147" s="255">
        <v>64</v>
      </c>
      <c r="F147" s="216">
        <v>8</v>
      </c>
      <c r="G147" s="847">
        <v>1985</v>
      </c>
      <c r="H147" s="848">
        <v>352</v>
      </c>
      <c r="I147" s="512">
        <f>256046+137037.5+20115+5099+3542+3484.5+1302+1985</f>
        <v>428611</v>
      </c>
      <c r="J147" s="217">
        <f>25390+13650+2140+705+587+707+246+352</f>
        <v>43777</v>
      </c>
      <c r="K147" s="218">
        <v>40914</v>
      </c>
    </row>
    <row r="148" spans="1:11" ht="15.75">
      <c r="A148" s="306" t="s">
        <v>304</v>
      </c>
      <c r="B148" s="61" t="s">
        <v>112</v>
      </c>
      <c r="C148" s="220">
        <v>40886</v>
      </c>
      <c r="D148" s="64" t="s">
        <v>52</v>
      </c>
      <c r="E148" s="281">
        <v>8</v>
      </c>
      <c r="F148" s="271">
        <v>5</v>
      </c>
      <c r="G148" s="849">
        <v>1920</v>
      </c>
      <c r="H148" s="850">
        <v>379</v>
      </c>
      <c r="I148" s="273">
        <f>11392+5145+695+1862+1920</f>
        <v>21014</v>
      </c>
      <c r="J148" s="262">
        <f>1392+701+109+241+379</f>
        <v>2822</v>
      </c>
      <c r="K148" s="218">
        <v>40921</v>
      </c>
    </row>
    <row r="149" spans="1:11" ht="15.75">
      <c r="A149" s="306" t="s">
        <v>304</v>
      </c>
      <c r="B149" s="61" t="s">
        <v>112</v>
      </c>
      <c r="C149" s="220">
        <v>40886</v>
      </c>
      <c r="D149" s="64" t="s">
        <v>52</v>
      </c>
      <c r="E149" s="281">
        <v>8</v>
      </c>
      <c r="F149" s="271">
        <v>4</v>
      </c>
      <c r="G149" s="838">
        <v>1862</v>
      </c>
      <c r="H149" s="839">
        <v>241</v>
      </c>
      <c r="I149" s="260">
        <f>11392+5145+695+1862</f>
        <v>19094</v>
      </c>
      <c r="J149" s="262">
        <f>1392+701+109+241</f>
        <v>2443</v>
      </c>
      <c r="K149" s="218">
        <v>40907</v>
      </c>
    </row>
    <row r="150" spans="1:11" ht="15.75">
      <c r="A150" s="288" t="s">
        <v>141</v>
      </c>
      <c r="B150" s="61" t="s">
        <v>142</v>
      </c>
      <c r="C150" s="221">
        <v>40893</v>
      </c>
      <c r="D150" s="64" t="s">
        <v>8</v>
      </c>
      <c r="E150" s="541">
        <v>131</v>
      </c>
      <c r="F150" s="213">
        <v>12</v>
      </c>
      <c r="G150" s="719">
        <v>1843</v>
      </c>
      <c r="H150" s="720">
        <v>250</v>
      </c>
      <c r="I150" s="270">
        <v>15466645</v>
      </c>
      <c r="J150" s="272">
        <v>1730202</v>
      </c>
      <c r="K150" s="218">
        <v>40970</v>
      </c>
    </row>
    <row r="151" spans="1:11" ht="15.75">
      <c r="A151" s="288" t="s">
        <v>337</v>
      </c>
      <c r="B151" s="463" t="s">
        <v>339</v>
      </c>
      <c r="C151" s="220">
        <v>40914</v>
      </c>
      <c r="D151" s="64" t="s">
        <v>53</v>
      </c>
      <c r="E151" s="274">
        <v>97</v>
      </c>
      <c r="F151" s="275">
        <v>9</v>
      </c>
      <c r="G151" s="723">
        <v>1835</v>
      </c>
      <c r="H151" s="724">
        <v>538</v>
      </c>
      <c r="I151" s="276">
        <f>216520+198358.5+149589.5+18051.79+5443+2220+114+4171+1835</f>
        <v>596302.79</v>
      </c>
      <c r="J151" s="277">
        <f>26831+25025+19383+2440+733+337+19+682+538</f>
        <v>75988</v>
      </c>
      <c r="K151" s="716">
        <v>40977</v>
      </c>
    </row>
    <row r="152" spans="1:11" ht="15.75">
      <c r="A152" s="302" t="s">
        <v>356</v>
      </c>
      <c r="B152" s="63" t="s">
        <v>366</v>
      </c>
      <c r="C152" s="220">
        <v>40795</v>
      </c>
      <c r="D152" s="64" t="s">
        <v>68</v>
      </c>
      <c r="E152" s="254">
        <v>3</v>
      </c>
      <c r="F152" s="294">
        <v>8</v>
      </c>
      <c r="G152" s="714">
        <v>1782</v>
      </c>
      <c r="H152" s="715">
        <v>446</v>
      </c>
      <c r="I152" s="458">
        <f>4125+2511+398+1048+854+482+594+1782</f>
        <v>11794</v>
      </c>
      <c r="J152" s="459">
        <f>422+287+52+100+134+61+149+446</f>
        <v>1651</v>
      </c>
      <c r="K152" s="218">
        <v>40914</v>
      </c>
    </row>
    <row r="153" spans="1:11" ht="15.75">
      <c r="A153" s="302" t="s">
        <v>597</v>
      </c>
      <c r="B153" s="466" t="s">
        <v>598</v>
      </c>
      <c r="C153" s="220">
        <v>40662</v>
      </c>
      <c r="D153" s="64" t="s">
        <v>68</v>
      </c>
      <c r="E153" s="258">
        <v>10</v>
      </c>
      <c r="F153" s="259">
        <v>20</v>
      </c>
      <c r="G153" s="719">
        <v>1782</v>
      </c>
      <c r="H153" s="720">
        <v>398</v>
      </c>
      <c r="I153" s="270">
        <f>12563.75+2983.5+2680+354+641+412+470+299+1405.5+1335+741+1188+1188+2138.5+2851+594+430+950.5+950.5+1782</f>
        <v>35957.25</v>
      </c>
      <c r="J153" s="272">
        <f>1693+350+279+68+81+51+66+35+228+169+92+297+297+535+715+149+188+190+190+398</f>
        <v>6071</v>
      </c>
      <c r="K153" s="716">
        <v>40977</v>
      </c>
    </row>
    <row r="154" spans="1:11" ht="15.75">
      <c r="A154" s="306" t="s">
        <v>304</v>
      </c>
      <c r="B154" s="61" t="s">
        <v>112</v>
      </c>
      <c r="C154" s="406">
        <v>40886</v>
      </c>
      <c r="D154" s="64" t="s">
        <v>52</v>
      </c>
      <c r="E154" s="281">
        <v>8</v>
      </c>
      <c r="F154" s="259">
        <v>6</v>
      </c>
      <c r="G154" s="723">
        <v>1782</v>
      </c>
      <c r="H154" s="724">
        <v>356</v>
      </c>
      <c r="I154" s="261">
        <f>11392+5145+695+1862+1920+1782</f>
        <v>22796</v>
      </c>
      <c r="J154" s="262">
        <f>1392+701+109+241+379+356</f>
        <v>3178</v>
      </c>
      <c r="K154" s="218">
        <v>40949</v>
      </c>
    </row>
    <row r="155" spans="1:11" ht="15.75">
      <c r="A155" s="302" t="s">
        <v>73</v>
      </c>
      <c r="B155" s="63" t="s">
        <v>87</v>
      </c>
      <c r="C155" s="220">
        <v>40858</v>
      </c>
      <c r="D155" s="64" t="s">
        <v>68</v>
      </c>
      <c r="E155" s="258">
        <v>32</v>
      </c>
      <c r="F155" s="259">
        <v>10</v>
      </c>
      <c r="G155" s="719">
        <v>1782</v>
      </c>
      <c r="H155" s="720">
        <v>325</v>
      </c>
      <c r="I155" s="270">
        <f>119417+74006.5+30939.5+15734+17682+7740+3814.5+5519+937+732+479+1782</f>
        <v>278782.5</v>
      </c>
      <c r="J155" s="272">
        <f>12383+8559+4204+1986+2778+1301+707+782+165+115+82+325</f>
        <v>33387</v>
      </c>
      <c r="K155" s="265">
        <v>40935</v>
      </c>
    </row>
    <row r="156" spans="1:11" ht="15.75">
      <c r="A156" s="302" t="s">
        <v>710</v>
      </c>
      <c r="B156" s="61"/>
      <c r="C156" s="220">
        <v>39836</v>
      </c>
      <c r="D156" s="64" t="s">
        <v>68</v>
      </c>
      <c r="E156" s="542">
        <v>13</v>
      </c>
      <c r="F156" s="215">
        <v>30</v>
      </c>
      <c r="G156" s="719">
        <v>1780</v>
      </c>
      <c r="H156" s="720">
        <v>356</v>
      </c>
      <c r="I156" s="270">
        <f>57133.5+23554+18557+9186+29743.5+13631.5+13446+7072+7029+8018.5+7220.5+2856.5+1828+102+3517+635+324+30+2146+1842+376+154+799+463.52+415.64+339.28+4160+712+230+1780</f>
        <v>217301.44</v>
      </c>
      <c r="J156" s="272">
        <f>5405+2651+2356+1389+3583+1713+1661+1216+1174+1324+1425+542+453+16+757+96+108+10+508+436+35+14+67+102+95+80+1040+178+60+356</f>
        <v>28850</v>
      </c>
      <c r="K156" s="218">
        <v>40970</v>
      </c>
    </row>
    <row r="157" spans="1:11" ht="15.75">
      <c r="A157" s="302" t="s">
        <v>107</v>
      </c>
      <c r="B157" s="63" t="s">
        <v>123</v>
      </c>
      <c r="C157" s="406">
        <v>40879</v>
      </c>
      <c r="D157" s="64" t="s">
        <v>68</v>
      </c>
      <c r="E157" s="258">
        <v>202</v>
      </c>
      <c r="F157" s="259">
        <v>11</v>
      </c>
      <c r="G157" s="719">
        <v>1760.5</v>
      </c>
      <c r="H157" s="720">
        <v>322</v>
      </c>
      <c r="I157" s="270">
        <f>1080241.5+1088121+871543+502064+300294.5+131358.5+96969.5+68985+9253.5+5204.5+1760.5</f>
        <v>4155795.5</v>
      </c>
      <c r="J157" s="272">
        <f>121812+123965+100674+61096+39726+19116+14898+10338+1416+922+322</f>
        <v>494285</v>
      </c>
      <c r="K157" s="218">
        <v>40949</v>
      </c>
    </row>
    <row r="158" spans="1:11" ht="15.75">
      <c r="A158" s="288" t="s">
        <v>66</v>
      </c>
      <c r="B158" s="66" t="s">
        <v>81</v>
      </c>
      <c r="C158" s="220">
        <v>40844</v>
      </c>
      <c r="D158" s="64" t="s">
        <v>53</v>
      </c>
      <c r="E158" s="266">
        <v>245</v>
      </c>
      <c r="F158" s="275">
        <v>10</v>
      </c>
      <c r="G158" s="723">
        <v>1680</v>
      </c>
      <c r="H158" s="724">
        <v>262</v>
      </c>
      <c r="I158" s="261">
        <f>2095427.5+1865707+650031+295029.5+57559.5+69427+8354+22014.5+2923+1680</f>
        <v>5068153</v>
      </c>
      <c r="J158" s="262">
        <f>212522+189875+68849+32548+6112+10910+1695+4739+564+262</f>
        <v>528076</v>
      </c>
      <c r="K158" s="218">
        <v>40907</v>
      </c>
    </row>
    <row r="159" spans="1:11" ht="15.75">
      <c r="A159" s="302" t="s">
        <v>711</v>
      </c>
      <c r="B159" s="61"/>
      <c r="C159" s="220">
        <v>40613</v>
      </c>
      <c r="D159" s="64" t="s">
        <v>68</v>
      </c>
      <c r="E159" s="542">
        <v>25</v>
      </c>
      <c r="F159" s="215">
        <v>27</v>
      </c>
      <c r="G159" s="719">
        <v>1632</v>
      </c>
      <c r="H159" s="720">
        <v>204</v>
      </c>
      <c r="I159" s="270">
        <f>75934+53479.5+29060+17465+26762+20460.5+20847+12710+19039+8622+2147+3636+459+653+4560+770+4752+402+297+502+464+1127+1384+88+276+1188+1632</f>
        <v>308716</v>
      </c>
      <c r="J159" s="272">
        <f>9554+7103+4053+2490+4055+3124+3295+2389+2957+1767+459+626+92+107+609+124+1188+40+48+86+74+161+193+16+46+297+204</f>
        <v>45157</v>
      </c>
      <c r="K159" s="218">
        <v>40970</v>
      </c>
    </row>
    <row r="160" spans="1:11" ht="15.75">
      <c r="A160" s="299" t="s">
        <v>601</v>
      </c>
      <c r="B160" s="61" t="s">
        <v>588</v>
      </c>
      <c r="C160" s="220">
        <v>40942</v>
      </c>
      <c r="D160" s="64" t="s">
        <v>53</v>
      </c>
      <c r="E160" s="543">
        <v>95</v>
      </c>
      <c r="F160" s="433">
        <v>5</v>
      </c>
      <c r="G160" s="723">
        <v>1396</v>
      </c>
      <c r="H160" s="724">
        <v>139</v>
      </c>
      <c r="I160" s="261">
        <f>166893.1+124753.91+25288.04+4237+1396</f>
        <v>322568.05</v>
      </c>
      <c r="J160" s="262">
        <f>18839+14893+3105+518+139</f>
        <v>37494</v>
      </c>
      <c r="K160" s="218">
        <v>40970</v>
      </c>
    </row>
    <row r="161" spans="1:11" ht="15.75">
      <c r="A161" s="302" t="s">
        <v>115</v>
      </c>
      <c r="B161" s="61" t="s">
        <v>116</v>
      </c>
      <c r="C161" s="220">
        <v>40886</v>
      </c>
      <c r="D161" s="64" t="s">
        <v>12</v>
      </c>
      <c r="E161" s="61">
        <v>161</v>
      </c>
      <c r="F161" s="215">
        <v>13</v>
      </c>
      <c r="G161" s="723">
        <v>1310</v>
      </c>
      <c r="H161" s="724">
        <v>210</v>
      </c>
      <c r="I161" s="261">
        <v>882324</v>
      </c>
      <c r="J161" s="262">
        <v>107710</v>
      </c>
      <c r="K161" s="218">
        <v>40970</v>
      </c>
    </row>
    <row r="162" spans="1:11" ht="15.75">
      <c r="A162" s="299" t="s">
        <v>77</v>
      </c>
      <c r="B162" s="64" t="s">
        <v>188</v>
      </c>
      <c r="C162" s="220">
        <v>40865</v>
      </c>
      <c r="D162" s="64" t="s">
        <v>52</v>
      </c>
      <c r="E162" s="278">
        <v>64</v>
      </c>
      <c r="F162" s="271">
        <v>7</v>
      </c>
      <c r="G162" s="838">
        <v>1302</v>
      </c>
      <c r="H162" s="839">
        <v>246</v>
      </c>
      <c r="I162" s="260">
        <f>256046+137037.5+20115+5099+3542+3484.5+1302</f>
        <v>426626</v>
      </c>
      <c r="J162" s="262">
        <f>25390+13650+2140+705+587+707+246</f>
        <v>43425</v>
      </c>
      <c r="K162" s="218">
        <v>40907</v>
      </c>
    </row>
    <row r="163" spans="1:11" ht="15.75">
      <c r="A163" s="288" t="s">
        <v>141</v>
      </c>
      <c r="B163" s="462" t="s">
        <v>142</v>
      </c>
      <c r="C163" s="221">
        <v>40893</v>
      </c>
      <c r="D163" s="64" t="s">
        <v>8</v>
      </c>
      <c r="E163" s="266">
        <v>131</v>
      </c>
      <c r="F163" s="267">
        <v>13</v>
      </c>
      <c r="G163" s="719">
        <v>1295</v>
      </c>
      <c r="H163" s="720">
        <v>205</v>
      </c>
      <c r="I163" s="270">
        <v>15467940</v>
      </c>
      <c r="J163" s="272">
        <v>1730407</v>
      </c>
      <c r="K163" s="716">
        <v>40977</v>
      </c>
    </row>
    <row r="164" spans="1:11" ht="15.75">
      <c r="A164" s="290" t="s">
        <v>104</v>
      </c>
      <c r="B164" s="61" t="s">
        <v>105</v>
      </c>
      <c r="C164" s="221">
        <v>40872</v>
      </c>
      <c r="D164" s="64" t="s">
        <v>10</v>
      </c>
      <c r="E164" s="258">
        <v>277</v>
      </c>
      <c r="F164" s="271">
        <v>11</v>
      </c>
      <c r="G164" s="719">
        <v>1206</v>
      </c>
      <c r="H164" s="720">
        <v>230</v>
      </c>
      <c r="I164" s="270">
        <v>10934791</v>
      </c>
      <c r="J164" s="272">
        <v>1169785</v>
      </c>
      <c r="K164" s="218">
        <v>40942</v>
      </c>
    </row>
    <row r="165" spans="1:11" ht="15.75">
      <c r="A165" s="552">
        <v>120</v>
      </c>
      <c r="B165" s="549" t="s">
        <v>690</v>
      </c>
      <c r="C165" s="221">
        <v>39488</v>
      </c>
      <c r="D165" s="64" t="s">
        <v>53</v>
      </c>
      <c r="E165" s="61">
        <v>179</v>
      </c>
      <c r="F165" s="433">
        <v>50</v>
      </c>
      <c r="G165" s="723">
        <v>1201</v>
      </c>
      <c r="H165" s="724">
        <v>240</v>
      </c>
      <c r="I165" s="261">
        <f>5039812.5+1919+2402+2402+1201</f>
        <v>5047736.5</v>
      </c>
      <c r="J165" s="262">
        <f>1038442+320+480+480+240</f>
        <v>1039962</v>
      </c>
      <c r="K165" s="218">
        <v>40970</v>
      </c>
    </row>
    <row r="166" spans="1:11" ht="15.75">
      <c r="A166" s="302" t="s">
        <v>115</v>
      </c>
      <c r="B166" s="61" t="s">
        <v>116</v>
      </c>
      <c r="C166" s="406">
        <v>40886</v>
      </c>
      <c r="D166" s="64" t="s">
        <v>12</v>
      </c>
      <c r="E166" s="258">
        <v>161</v>
      </c>
      <c r="F166" s="259">
        <v>8</v>
      </c>
      <c r="G166" s="723">
        <v>1197</v>
      </c>
      <c r="H166" s="724">
        <v>189</v>
      </c>
      <c r="I166" s="261">
        <v>881014</v>
      </c>
      <c r="J166" s="262">
        <v>107500</v>
      </c>
      <c r="K166" s="218">
        <v>40949</v>
      </c>
    </row>
    <row r="167" spans="1:11" ht="15.75">
      <c r="A167" s="290" t="s">
        <v>717</v>
      </c>
      <c r="B167" s="61" t="s">
        <v>716</v>
      </c>
      <c r="C167" s="221">
        <v>40682</v>
      </c>
      <c r="D167" s="64" t="s">
        <v>10</v>
      </c>
      <c r="E167" s="542">
        <v>164</v>
      </c>
      <c r="F167" s="216">
        <v>12</v>
      </c>
      <c r="G167" s="719">
        <v>1188</v>
      </c>
      <c r="H167" s="720">
        <v>297</v>
      </c>
      <c r="I167" s="270">
        <v>578668</v>
      </c>
      <c r="J167" s="272">
        <v>63763</v>
      </c>
      <c r="K167" s="218">
        <v>40970</v>
      </c>
    </row>
    <row r="168" spans="1:11" ht="15.75">
      <c r="A168" s="302" t="s">
        <v>67</v>
      </c>
      <c r="B168" s="63" t="s">
        <v>85</v>
      </c>
      <c r="C168" s="220">
        <v>40844</v>
      </c>
      <c r="D168" s="64" t="s">
        <v>68</v>
      </c>
      <c r="E168" s="258">
        <v>278</v>
      </c>
      <c r="F168" s="259">
        <v>15</v>
      </c>
      <c r="G168" s="719">
        <v>1188</v>
      </c>
      <c r="H168" s="720">
        <v>238</v>
      </c>
      <c r="I168" s="270">
        <f>2021467.25+4147826.75+1641146.5+1086471.5+837723.5+353523.5+115157+12431.5+1554+13261.5+3397.5+17222.5+17226.5+5821+1188</f>
        <v>10275418.5</v>
      </c>
      <c r="J168" s="272">
        <f>231121+459388+190384+130345+104513+46481+14878+1830+250+1860+737+1888+2090+661+238</f>
        <v>1186664</v>
      </c>
      <c r="K168" s="218">
        <v>40942</v>
      </c>
    </row>
    <row r="169" spans="1:11" ht="15.75">
      <c r="A169" s="299" t="s">
        <v>650</v>
      </c>
      <c r="B169" s="64" t="s">
        <v>652</v>
      </c>
      <c r="C169" s="220">
        <v>40165</v>
      </c>
      <c r="D169" s="64" t="s">
        <v>52</v>
      </c>
      <c r="E169" s="278">
        <v>38</v>
      </c>
      <c r="F169" s="259">
        <v>37</v>
      </c>
      <c r="G169" s="723">
        <v>1188</v>
      </c>
      <c r="H169" s="724">
        <v>238</v>
      </c>
      <c r="I169" s="261">
        <f>1139387+1188</f>
        <v>1140575</v>
      </c>
      <c r="J169" s="262">
        <f>139628+238</f>
        <v>139866</v>
      </c>
      <c r="K169" s="218">
        <v>40956</v>
      </c>
    </row>
    <row r="170" spans="1:11" ht="15.75">
      <c r="A170" s="302" t="s">
        <v>73</v>
      </c>
      <c r="B170" s="63" t="s">
        <v>87</v>
      </c>
      <c r="C170" s="220">
        <v>40858</v>
      </c>
      <c r="D170" s="64" t="s">
        <v>68</v>
      </c>
      <c r="E170" s="258">
        <v>32</v>
      </c>
      <c r="F170" s="259">
        <v>13</v>
      </c>
      <c r="G170" s="719">
        <v>1188</v>
      </c>
      <c r="H170" s="720">
        <v>238</v>
      </c>
      <c r="I170" s="270">
        <f>119417+74006.5+30939.5+15734+17682+7740+3814.5+5519+937+732+479+1782+1188</f>
        <v>279970.5</v>
      </c>
      <c r="J170" s="272">
        <f>12383+8559+4204+1986+2778+1301+707+782+165+115+82+325+238</f>
        <v>33625</v>
      </c>
      <c r="K170" s="218">
        <v>40942</v>
      </c>
    </row>
    <row r="171" spans="1:11" ht="15.75">
      <c r="A171" s="299" t="s">
        <v>148</v>
      </c>
      <c r="B171" s="64" t="s">
        <v>112</v>
      </c>
      <c r="C171" s="406">
        <v>40900</v>
      </c>
      <c r="D171" s="64" t="s">
        <v>52</v>
      </c>
      <c r="E171" s="278">
        <v>14</v>
      </c>
      <c r="F171" s="259">
        <v>7</v>
      </c>
      <c r="G171" s="723">
        <v>1105</v>
      </c>
      <c r="H171" s="724">
        <v>159</v>
      </c>
      <c r="I171" s="261">
        <f>43848.5+19458.5+4777+1091+5447+2629+1105</f>
        <v>78356</v>
      </c>
      <c r="J171" s="262">
        <f>3764+1850+439+142+752+413+159</f>
        <v>7519</v>
      </c>
      <c r="K171" s="218">
        <v>40949</v>
      </c>
    </row>
    <row r="172" spans="1:11" ht="15.75">
      <c r="A172" s="299" t="s">
        <v>148</v>
      </c>
      <c r="B172" s="64" t="s">
        <v>112</v>
      </c>
      <c r="C172" s="220">
        <v>40900</v>
      </c>
      <c r="D172" s="64" t="s">
        <v>52</v>
      </c>
      <c r="E172" s="278">
        <v>14</v>
      </c>
      <c r="F172" s="271">
        <v>4</v>
      </c>
      <c r="G172" s="849">
        <v>1091</v>
      </c>
      <c r="H172" s="850">
        <v>142</v>
      </c>
      <c r="I172" s="273">
        <f>43848.5+19458.5+4777+1091</f>
        <v>69175</v>
      </c>
      <c r="J172" s="262">
        <f>3764+1850+439+142</f>
        <v>6195</v>
      </c>
      <c r="K172" s="218">
        <v>40921</v>
      </c>
    </row>
    <row r="173" spans="1:11" ht="15.75">
      <c r="A173" s="306" t="s">
        <v>71</v>
      </c>
      <c r="B173" s="61" t="s">
        <v>82</v>
      </c>
      <c r="C173" s="221">
        <v>40858</v>
      </c>
      <c r="D173" s="64" t="s">
        <v>53</v>
      </c>
      <c r="E173" s="254">
        <v>130</v>
      </c>
      <c r="F173" s="300">
        <v>2</v>
      </c>
      <c r="G173" s="830">
        <v>1085</v>
      </c>
      <c r="H173" s="824">
        <v>179</v>
      </c>
      <c r="I173" s="500">
        <f>665902+436506+215139.5+18371+13790+6539+18719+8754+1085</f>
        <v>1384805.5</v>
      </c>
      <c r="J173" s="498">
        <f>66262+44749+24699+2311+1764+1135+3015+1547+179</f>
        <v>145661</v>
      </c>
      <c r="K173" s="218">
        <v>40914</v>
      </c>
    </row>
    <row r="174" spans="1:11" ht="15.75">
      <c r="A174" s="302" t="s">
        <v>269</v>
      </c>
      <c r="B174" s="61" t="s">
        <v>284</v>
      </c>
      <c r="C174" s="220">
        <v>40809</v>
      </c>
      <c r="D174" s="64" t="s">
        <v>68</v>
      </c>
      <c r="E174" s="258">
        <v>66</v>
      </c>
      <c r="F174" s="259">
        <v>17</v>
      </c>
      <c r="G174" s="719">
        <v>970</v>
      </c>
      <c r="H174" s="720">
        <v>404</v>
      </c>
      <c r="I174" s="270">
        <f>382290+386122+344313.5+244996+104138.75+43618.5+27632+12528+6812+832+1782+2257+1782+5477.5+2138.5+4669.5+970</f>
        <v>1572359.25</v>
      </c>
      <c r="J174" s="272">
        <f>34863+36137+32260+23896+12188+5940+2894+1417+1234+90+446+565+446+1293+535+1220+404</f>
        <v>155828</v>
      </c>
      <c r="K174" s="218">
        <v>40921</v>
      </c>
    </row>
    <row r="175" spans="1:11" ht="15.75">
      <c r="A175" s="302" t="s">
        <v>270</v>
      </c>
      <c r="B175" s="61" t="s">
        <v>283</v>
      </c>
      <c r="C175" s="221">
        <v>40095</v>
      </c>
      <c r="D175" s="64" t="s">
        <v>68</v>
      </c>
      <c r="E175" s="258">
        <v>52</v>
      </c>
      <c r="F175" s="259">
        <v>16</v>
      </c>
      <c r="G175" s="719">
        <v>952</v>
      </c>
      <c r="H175" s="720">
        <v>238</v>
      </c>
      <c r="I175" s="270">
        <f>108013.25+68864+27976+10214+2402+2209+1188+2968+1780+1780+2427.4+364.82+248.58+1780+1188+952</f>
        <v>234355.05</v>
      </c>
      <c r="J175" s="272">
        <f>12202+8144+4339+1841+481+460+297+742+445+445+599+87+57+445+297+238</f>
        <v>31119</v>
      </c>
      <c r="K175" s="218">
        <v>40907</v>
      </c>
    </row>
    <row r="176" spans="1:11" ht="15.75">
      <c r="A176" s="302" t="s">
        <v>269</v>
      </c>
      <c r="B176" s="61" t="s">
        <v>284</v>
      </c>
      <c r="C176" s="220">
        <v>40809</v>
      </c>
      <c r="D176" s="64" t="s">
        <v>68</v>
      </c>
      <c r="E176" s="258">
        <v>66</v>
      </c>
      <c r="F176" s="259">
        <v>17</v>
      </c>
      <c r="G176" s="836">
        <v>950.5</v>
      </c>
      <c r="H176" s="837">
        <v>190</v>
      </c>
      <c r="I176" s="270">
        <f>382290+386122+344313.5+244996+104138.75+43618.5+27632+12528+6812+832+1782+2257+1782+5477.5+2138.5+4669.5+970+2851.5+950.5</f>
        <v>1576161.25</v>
      </c>
      <c r="J176" s="272">
        <f>34863+36137+32260+23896+12188+5940+2894+1417+1234+90+446+565+446+1293+535+1220+404+571+190</f>
        <v>156589</v>
      </c>
      <c r="K176" s="218">
        <v>40963</v>
      </c>
    </row>
    <row r="177" spans="1:11" ht="15.75">
      <c r="A177" s="302" t="s">
        <v>680</v>
      </c>
      <c r="B177" s="63" t="s">
        <v>686</v>
      </c>
      <c r="C177" s="220">
        <v>40669</v>
      </c>
      <c r="D177" s="64" t="s">
        <v>68</v>
      </c>
      <c r="E177" s="258">
        <v>31</v>
      </c>
      <c r="F177" s="259">
        <v>18</v>
      </c>
      <c r="G177" s="836">
        <v>950.5</v>
      </c>
      <c r="H177" s="837">
        <v>190</v>
      </c>
      <c r="I177" s="270">
        <f>175019+105176.5+33821+39610.5+24959.5+21794.5+6227+4449+362+706+2230+1369.5+1342.5+950.5+240+2366+3801.5+950.5</f>
        <v>425375.5</v>
      </c>
      <c r="J177" s="272">
        <f>19673+11998+4200+5352+3807+3790+1054+773+55+128+469+229+219+157+30+429+950+190</f>
        <v>53503</v>
      </c>
      <c r="K177" s="218">
        <v>40963</v>
      </c>
    </row>
    <row r="178" spans="1:11" ht="15.75">
      <c r="A178" s="302" t="s">
        <v>574</v>
      </c>
      <c r="B178" s="61" t="s">
        <v>575</v>
      </c>
      <c r="C178" s="220">
        <v>40585</v>
      </c>
      <c r="D178" s="64" t="s">
        <v>68</v>
      </c>
      <c r="E178" s="266">
        <v>58</v>
      </c>
      <c r="F178" s="259">
        <v>36</v>
      </c>
      <c r="G178" s="719">
        <v>950.5</v>
      </c>
      <c r="H178" s="720">
        <v>190</v>
      </c>
      <c r="I178" s="270">
        <f>236018+209847.25+105622+138051.5+64189.5+34454+20202.5+27754+16946+8179.5+9672.5+8494+21812+25095+12109+8066+3824+4092+15394+226700+172575.5+127465+93972+96529+77366.5+63475.5+48505.5+31769.5+29482+10986+6164+59+1093.5+1386+279+950.5</f>
        <v>1958581.25</v>
      </c>
      <c r="J178" s="272">
        <f>25731+24506+13184+19079+9581+4996+3067+4392+3122+1175+1530+1410+3175+3587+1436+923+420+447+1629+25969+20073+15455+11876+13635+10490+9269+7265+5116+4049+1598+1517+8+257+323+37+190</f>
        <v>250517</v>
      </c>
      <c r="K178" s="265">
        <v>40935</v>
      </c>
    </row>
    <row r="179" spans="1:11" ht="15.75">
      <c r="A179" s="302" t="s">
        <v>574</v>
      </c>
      <c r="B179" s="61" t="s">
        <v>575</v>
      </c>
      <c r="C179" s="220">
        <v>40585</v>
      </c>
      <c r="D179" s="64" t="s">
        <v>68</v>
      </c>
      <c r="E179" s="266">
        <v>58</v>
      </c>
      <c r="F179" s="259">
        <v>37</v>
      </c>
      <c r="G179" s="719">
        <v>950.5</v>
      </c>
      <c r="H179" s="720">
        <v>190</v>
      </c>
      <c r="I179" s="270">
        <f>236018+209847.25+105622+138051.5+64189.5+34454+20202.5+27754+16946+8179.5+9672.5+8494+21812+25095+12109+8066+3824+4092+15394+226700+172575.5+127465+93972+96529+77366.5+63475.5+48505.5+31769.5+29482+10986+6164+59+1093.5+1386+279+950.5+950.5</f>
        <v>1959531.75</v>
      </c>
      <c r="J179" s="272">
        <f>25731+24506+13184+19079+9581+4996+3067+4392+3122+1175+1530+1410+3175+3587+1436+923+420+447+1629+25969+20073+15455+11876+13635+10490+9269+7265+5116+4049+1598+1517+8+257+323+37+190+190</f>
        <v>250707</v>
      </c>
      <c r="K179" s="218">
        <v>40942</v>
      </c>
    </row>
    <row r="180" spans="1:11" ht="15.75">
      <c r="A180" s="302" t="s">
        <v>597</v>
      </c>
      <c r="B180" s="63" t="s">
        <v>598</v>
      </c>
      <c r="C180" s="406">
        <v>40662</v>
      </c>
      <c r="D180" s="64" t="s">
        <v>68</v>
      </c>
      <c r="E180" s="258">
        <v>10</v>
      </c>
      <c r="F180" s="259">
        <v>17</v>
      </c>
      <c r="G180" s="719">
        <v>950.5</v>
      </c>
      <c r="H180" s="720">
        <v>190</v>
      </c>
      <c r="I180" s="270">
        <f>12563.75+2983.5+2680+354+641+412+470+299+1405.5+1335+741+1188+1188+2138.5+2851+594+430+950.5</f>
        <v>33224.75</v>
      </c>
      <c r="J180" s="272">
        <f>1693+350+279+68+81+51+66+35+228+169+92+297+297+535+715+149+188+190</f>
        <v>5483</v>
      </c>
      <c r="K180" s="218">
        <v>40949</v>
      </c>
    </row>
    <row r="181" spans="1:11" ht="15.75">
      <c r="A181" s="302" t="s">
        <v>597</v>
      </c>
      <c r="B181" s="63" t="s">
        <v>598</v>
      </c>
      <c r="C181" s="220">
        <v>40662</v>
      </c>
      <c r="D181" s="64" t="s">
        <v>68</v>
      </c>
      <c r="E181" s="258">
        <v>10</v>
      </c>
      <c r="F181" s="259">
        <v>17</v>
      </c>
      <c r="G181" s="836">
        <v>950.5</v>
      </c>
      <c r="H181" s="837">
        <v>190</v>
      </c>
      <c r="I181" s="270">
        <f>12563.75+2983.5+2680+354+641+412+470+299+1405.5+1335+741+1188+1188+2138.5+2851+594+430+950.5+950.5</f>
        <v>34175.25</v>
      </c>
      <c r="J181" s="272">
        <f>1693+350+279+68+81+51+66+35+228+169+92+297+297+535+715+149+188+190+190</f>
        <v>5673</v>
      </c>
      <c r="K181" s="218">
        <v>40963</v>
      </c>
    </row>
    <row r="182" spans="1:11" ht="15.75">
      <c r="A182" s="302" t="s">
        <v>107</v>
      </c>
      <c r="B182" s="63" t="s">
        <v>123</v>
      </c>
      <c r="C182" s="220">
        <v>40879</v>
      </c>
      <c r="D182" s="64" t="s">
        <v>68</v>
      </c>
      <c r="E182" s="542">
        <v>202</v>
      </c>
      <c r="F182" s="215">
        <v>13</v>
      </c>
      <c r="G182" s="719">
        <v>950.5</v>
      </c>
      <c r="H182" s="720">
        <v>190</v>
      </c>
      <c r="I182" s="270">
        <f>1080241.5+1088121+871543+502064+300294.5+131358.5+96969.5+68985+9253.5+5204.5+1760.5+2732.5+950.5</f>
        <v>4159478.5</v>
      </c>
      <c r="J182" s="272">
        <f>121812+123965+100674+61096+39726+19116+14898+10338+1416+922+322+523+190</f>
        <v>494998</v>
      </c>
      <c r="K182" s="218">
        <v>40970</v>
      </c>
    </row>
    <row r="183" spans="1:11" ht="15.75">
      <c r="A183" s="302" t="s">
        <v>356</v>
      </c>
      <c r="B183" s="466" t="s">
        <v>366</v>
      </c>
      <c r="C183" s="220">
        <v>40795</v>
      </c>
      <c r="D183" s="64" t="s">
        <v>68</v>
      </c>
      <c r="E183" s="258">
        <v>3</v>
      </c>
      <c r="F183" s="259">
        <v>10</v>
      </c>
      <c r="G183" s="719">
        <v>950.5</v>
      </c>
      <c r="H183" s="720">
        <v>190</v>
      </c>
      <c r="I183" s="270">
        <f>4125+2511+398+1048+854+482+594+1782+713+950.5</f>
        <v>13457.5</v>
      </c>
      <c r="J183" s="272">
        <f>422+287+52+100+134+61+149+446+143+190</f>
        <v>1984</v>
      </c>
      <c r="K183" s="716">
        <v>40977</v>
      </c>
    </row>
    <row r="184" spans="1:11" ht="15.75">
      <c r="A184" s="302" t="s">
        <v>398</v>
      </c>
      <c r="B184" s="63" t="s">
        <v>218</v>
      </c>
      <c r="C184" s="406">
        <v>40627</v>
      </c>
      <c r="D184" s="64" t="s">
        <v>68</v>
      </c>
      <c r="E184" s="258">
        <v>137</v>
      </c>
      <c r="F184" s="259">
        <v>25</v>
      </c>
      <c r="G184" s="719">
        <v>950</v>
      </c>
      <c r="H184" s="720">
        <v>190</v>
      </c>
      <c r="I184" s="270">
        <f>1066061.5+1061275+813239.75+606216+468367.5+266511+137274.5+89937.5+9478+4671.5+2215.5+593.5+2273.5+2234+1858+10514.5+2603+2122+2001+349+713+2613.5+475.5+3801.5+950</f>
        <v>4558349.75</v>
      </c>
      <c r="J184" s="272">
        <f>110278+106719+82858+62672+50883+32012+17904+13463+1427+637+352+91+261+268+240+2410+402+325+272+26+178+653+109+950+190</f>
        <v>485580</v>
      </c>
      <c r="K184" s="218">
        <v>40949</v>
      </c>
    </row>
    <row r="185" spans="1:11" ht="15.75">
      <c r="A185" s="304" t="s">
        <v>120</v>
      </c>
      <c r="B185" s="61" t="s">
        <v>122</v>
      </c>
      <c r="C185" s="220">
        <v>40886</v>
      </c>
      <c r="D185" s="64" t="s">
        <v>121</v>
      </c>
      <c r="E185" s="258">
        <v>82</v>
      </c>
      <c r="F185" s="271">
        <v>9</v>
      </c>
      <c r="G185" s="725">
        <v>942</v>
      </c>
      <c r="H185" s="726">
        <v>146</v>
      </c>
      <c r="I185" s="362">
        <v>647111.9</v>
      </c>
      <c r="J185" s="360">
        <v>74704</v>
      </c>
      <c r="K185" s="218">
        <v>40942</v>
      </c>
    </row>
    <row r="186" spans="1:11" ht="15.75">
      <c r="A186" s="302" t="s">
        <v>73</v>
      </c>
      <c r="B186" s="63" t="s">
        <v>87</v>
      </c>
      <c r="C186" s="220">
        <v>40858</v>
      </c>
      <c r="D186" s="64" t="s">
        <v>68</v>
      </c>
      <c r="E186" s="254">
        <v>32</v>
      </c>
      <c r="F186" s="294">
        <v>9</v>
      </c>
      <c r="G186" s="714">
        <v>937</v>
      </c>
      <c r="H186" s="715">
        <v>165</v>
      </c>
      <c r="I186" s="458">
        <f>119417+74006.5+30939.5+15734+17682+7740+3814.5+5519+937</f>
        <v>275789.5</v>
      </c>
      <c r="J186" s="459">
        <f>12383+8559+4204+1986+2778+1301+707+782+165</f>
        <v>32865</v>
      </c>
      <c r="K186" s="218">
        <v>40914</v>
      </c>
    </row>
    <row r="187" spans="1:11" ht="15.75">
      <c r="A187" s="306" t="s">
        <v>110</v>
      </c>
      <c r="B187" s="61" t="s">
        <v>113</v>
      </c>
      <c r="C187" s="406">
        <v>40879</v>
      </c>
      <c r="D187" s="64" t="s">
        <v>53</v>
      </c>
      <c r="E187" s="258">
        <v>135</v>
      </c>
      <c r="F187" s="275">
        <v>11</v>
      </c>
      <c r="G187" s="723">
        <v>838</v>
      </c>
      <c r="H187" s="724">
        <v>131</v>
      </c>
      <c r="I187" s="261">
        <f>1709882.25+1194489.75+708906.5+376327+70+197271.5+73341.5+70692.5+50480.5+9953.5+3058+838</f>
        <v>4395311</v>
      </c>
      <c r="J187" s="262">
        <f>195314+135261+80447+45395+10+25625+10302+10950+7727+1402+435+131</f>
        <v>512999</v>
      </c>
      <c r="K187" s="218">
        <v>40949</v>
      </c>
    </row>
    <row r="188" spans="1:11" ht="15.75">
      <c r="A188" s="306" t="s">
        <v>71</v>
      </c>
      <c r="B188" s="61" t="s">
        <v>82</v>
      </c>
      <c r="C188" s="221">
        <v>40858</v>
      </c>
      <c r="D188" s="64" t="s">
        <v>53</v>
      </c>
      <c r="E188" s="258">
        <v>130</v>
      </c>
      <c r="F188" s="275">
        <v>12</v>
      </c>
      <c r="G188" s="723">
        <v>772</v>
      </c>
      <c r="H188" s="724">
        <v>67</v>
      </c>
      <c r="I188" s="261">
        <f>665902+436506+215139.5+18371+13790+6539+18719+8754+1085+753+5914+772</f>
        <v>1392244.5</v>
      </c>
      <c r="J188" s="262">
        <f>66262+44749+24699+2311+1764+1135+3015+1547+179+111+595+67</f>
        <v>146434</v>
      </c>
      <c r="K188" s="265">
        <v>40935</v>
      </c>
    </row>
    <row r="189" spans="1:11" ht="15.75">
      <c r="A189" s="299" t="s">
        <v>74</v>
      </c>
      <c r="B189" s="67" t="s">
        <v>80</v>
      </c>
      <c r="C189" s="220">
        <v>40851</v>
      </c>
      <c r="D189" s="64" t="s">
        <v>53</v>
      </c>
      <c r="E189" s="266">
        <v>247</v>
      </c>
      <c r="F189" s="275">
        <v>11</v>
      </c>
      <c r="G189" s="723">
        <v>754</v>
      </c>
      <c r="H189" s="724">
        <v>104</v>
      </c>
      <c r="I189" s="261">
        <f>2260223+2366876.75+3859638+3137342+1906742.5+252.25+1189485.5+474275+250512+184428+13126+754</f>
        <v>15643655</v>
      </c>
      <c r="J189" s="262">
        <f>286038+329194+554088+452220+278080+42+178270+68355+40409+33224+1975+104</f>
        <v>2221999</v>
      </c>
      <c r="K189" s="218">
        <v>40921</v>
      </c>
    </row>
    <row r="190" spans="1:11" ht="15.75">
      <c r="A190" s="306" t="s">
        <v>71</v>
      </c>
      <c r="B190" s="61" t="s">
        <v>82</v>
      </c>
      <c r="C190" s="221">
        <v>40858</v>
      </c>
      <c r="D190" s="64" t="s">
        <v>53</v>
      </c>
      <c r="E190" s="258">
        <v>130</v>
      </c>
      <c r="F190" s="275">
        <v>1</v>
      </c>
      <c r="G190" s="723">
        <v>753</v>
      </c>
      <c r="H190" s="724">
        <v>111</v>
      </c>
      <c r="I190" s="261">
        <f>665902+436506+215139.5+18371+13790+6539+18719+8754+1085+753</f>
        <v>1385558.5</v>
      </c>
      <c r="J190" s="262">
        <f>66262+44749+24699+2311+1764+1135+3015+1547+179+111</f>
        <v>145772</v>
      </c>
      <c r="K190" s="218">
        <v>40921</v>
      </c>
    </row>
    <row r="191" spans="1:11" ht="15.75">
      <c r="A191" s="302" t="s">
        <v>73</v>
      </c>
      <c r="B191" s="63" t="s">
        <v>87</v>
      </c>
      <c r="C191" s="220">
        <v>40858</v>
      </c>
      <c r="D191" s="64" t="s">
        <v>68</v>
      </c>
      <c r="E191" s="258">
        <v>32</v>
      </c>
      <c r="F191" s="259">
        <v>15</v>
      </c>
      <c r="G191" s="836">
        <v>745</v>
      </c>
      <c r="H191" s="837">
        <v>132</v>
      </c>
      <c r="I191" s="270">
        <f>119417+74006.5+30939.5+15734+17682+7740+3814.5+5519+937+732+479+1782+1188+713+96+745</f>
        <v>281524.5</v>
      </c>
      <c r="J191" s="272">
        <f>12383+8559+4204+1986+2778+1301+707+782+165+115+82+325+238+143+32+132</f>
        <v>33932</v>
      </c>
      <c r="K191" s="218">
        <v>40963</v>
      </c>
    </row>
    <row r="192" spans="1:11" ht="15.75">
      <c r="A192" s="302" t="s">
        <v>73</v>
      </c>
      <c r="B192" s="63" t="s">
        <v>87</v>
      </c>
      <c r="C192" s="220">
        <v>40858</v>
      </c>
      <c r="D192" s="64" t="s">
        <v>68</v>
      </c>
      <c r="E192" s="258">
        <v>32</v>
      </c>
      <c r="F192" s="259">
        <v>10</v>
      </c>
      <c r="G192" s="719">
        <v>732</v>
      </c>
      <c r="H192" s="720">
        <v>115</v>
      </c>
      <c r="I192" s="270">
        <f>119417+74006.5+30939.5+15734+17682+7740+3814.5+5519+937+732</f>
        <v>276521.5</v>
      </c>
      <c r="J192" s="272">
        <f>12383+8559+4204+1986+2778+1301+707+782+165+115</f>
        <v>32980</v>
      </c>
      <c r="K192" s="218">
        <v>40921</v>
      </c>
    </row>
    <row r="193" spans="1:11" ht="15.75">
      <c r="A193" s="302" t="s">
        <v>73</v>
      </c>
      <c r="B193" s="63" t="s">
        <v>87</v>
      </c>
      <c r="C193" s="406">
        <v>40858</v>
      </c>
      <c r="D193" s="64" t="s">
        <v>68</v>
      </c>
      <c r="E193" s="258">
        <v>32</v>
      </c>
      <c r="F193" s="259">
        <v>13</v>
      </c>
      <c r="G193" s="719">
        <v>713</v>
      </c>
      <c r="H193" s="720">
        <v>143</v>
      </c>
      <c r="I193" s="270">
        <f>119417+74006.5+30939.5+15734+17682+7740+3814.5+5519+937+732+479+1782+1188+713</f>
        <v>280683.5</v>
      </c>
      <c r="J193" s="272">
        <f>12383+8559+4204+1986+2778+1301+707+782+165+115+82+325+238+143</f>
        <v>33768</v>
      </c>
      <c r="K193" s="218">
        <v>40949</v>
      </c>
    </row>
    <row r="194" spans="1:11" ht="15.75">
      <c r="A194" s="302" t="s">
        <v>629</v>
      </c>
      <c r="B194" s="63" t="s">
        <v>635</v>
      </c>
      <c r="C194" s="406">
        <v>40620</v>
      </c>
      <c r="D194" s="64" t="s">
        <v>68</v>
      </c>
      <c r="E194" s="258">
        <v>18</v>
      </c>
      <c r="F194" s="408">
        <v>13</v>
      </c>
      <c r="G194" s="719">
        <v>713</v>
      </c>
      <c r="H194" s="720">
        <v>143</v>
      </c>
      <c r="I194" s="270">
        <f>39453.5+44225+30459.5+23462+13989+8982.5+6844+2370+4120+2588+1886+275+713</f>
        <v>179367.5</v>
      </c>
      <c r="J194" s="272">
        <f>5345+6302+4080+3427+1964+1106+1298+366+730+571+456+44+143</f>
        <v>25832</v>
      </c>
      <c r="K194" s="218">
        <v>40949</v>
      </c>
    </row>
    <row r="195" spans="1:11" ht="15.75">
      <c r="A195" s="302" t="s">
        <v>356</v>
      </c>
      <c r="B195" s="63" t="s">
        <v>366</v>
      </c>
      <c r="C195" s="406">
        <v>40795</v>
      </c>
      <c r="D195" s="64" t="s">
        <v>68</v>
      </c>
      <c r="E195" s="258">
        <v>3</v>
      </c>
      <c r="F195" s="259">
        <v>8</v>
      </c>
      <c r="G195" s="719">
        <v>713</v>
      </c>
      <c r="H195" s="720">
        <v>143</v>
      </c>
      <c r="I195" s="270">
        <f>4125+2511+398+1048+854+482+594+1782+713</f>
        <v>12507</v>
      </c>
      <c r="J195" s="272">
        <f>422+287+52+100+134+61+149+446+143</f>
        <v>1794</v>
      </c>
      <c r="K195" s="218">
        <v>40949</v>
      </c>
    </row>
    <row r="196" spans="1:11" ht="15.75">
      <c r="A196" s="299" t="s">
        <v>77</v>
      </c>
      <c r="B196" s="64" t="s">
        <v>188</v>
      </c>
      <c r="C196" s="220">
        <v>40865</v>
      </c>
      <c r="D196" s="64" t="s">
        <v>52</v>
      </c>
      <c r="E196" s="278">
        <v>64</v>
      </c>
      <c r="F196" s="271">
        <v>10</v>
      </c>
      <c r="G196" s="842">
        <v>659</v>
      </c>
      <c r="H196" s="843">
        <v>92</v>
      </c>
      <c r="I196" s="329">
        <f>256046+137037.5+20115+5099+3542+3484.5+1302+1985+195+659</f>
        <v>429465</v>
      </c>
      <c r="J196" s="262">
        <f>25390+13650+2140+705+587+707+246+352+31+92</f>
        <v>43900</v>
      </c>
      <c r="K196" s="218">
        <v>40928</v>
      </c>
    </row>
    <row r="197" spans="1:11" ht="15.75">
      <c r="A197" s="304" t="s">
        <v>591</v>
      </c>
      <c r="B197" s="64" t="s">
        <v>592</v>
      </c>
      <c r="C197" s="221">
        <v>40900</v>
      </c>
      <c r="D197" s="64" t="s">
        <v>537</v>
      </c>
      <c r="E197" s="258">
        <v>1</v>
      </c>
      <c r="F197" s="259">
        <v>3</v>
      </c>
      <c r="G197" s="723">
        <v>633</v>
      </c>
      <c r="H197" s="724">
        <v>211</v>
      </c>
      <c r="I197" s="261">
        <v>4823</v>
      </c>
      <c r="J197" s="262">
        <v>630</v>
      </c>
      <c r="K197" s="218">
        <v>40942</v>
      </c>
    </row>
    <row r="198" spans="1:11" ht="15">
      <c r="A198" s="369" t="s">
        <v>237</v>
      </c>
      <c r="B198" s="64" t="s">
        <v>238</v>
      </c>
      <c r="C198" s="220">
        <v>40613</v>
      </c>
      <c r="D198" s="64" t="s">
        <v>13</v>
      </c>
      <c r="E198" s="258">
        <v>25</v>
      </c>
      <c r="F198" s="259">
        <v>19</v>
      </c>
      <c r="G198" s="834">
        <v>605</v>
      </c>
      <c r="H198" s="835">
        <v>121</v>
      </c>
      <c r="I198" s="363">
        <v>212148.5</v>
      </c>
      <c r="J198" s="364">
        <v>28587</v>
      </c>
      <c r="K198" s="265">
        <v>40935</v>
      </c>
    </row>
    <row r="199" spans="1:11" ht="15.75">
      <c r="A199" s="289" t="s">
        <v>237</v>
      </c>
      <c r="B199" s="64" t="s">
        <v>238</v>
      </c>
      <c r="C199" s="220">
        <v>40613</v>
      </c>
      <c r="D199" s="64" t="s">
        <v>13</v>
      </c>
      <c r="E199" s="303">
        <v>25</v>
      </c>
      <c r="F199" s="259">
        <v>19</v>
      </c>
      <c r="G199" s="723">
        <v>594</v>
      </c>
      <c r="H199" s="724">
        <v>118</v>
      </c>
      <c r="I199" s="261">
        <v>211543.5</v>
      </c>
      <c r="J199" s="262">
        <v>28466</v>
      </c>
      <c r="K199" s="218">
        <v>40907</v>
      </c>
    </row>
    <row r="200" spans="1:11" ht="15.75">
      <c r="A200" s="288" t="s">
        <v>66</v>
      </c>
      <c r="B200" s="66" t="s">
        <v>81</v>
      </c>
      <c r="C200" s="220">
        <v>40844</v>
      </c>
      <c r="D200" s="64" t="s">
        <v>53</v>
      </c>
      <c r="E200" s="257">
        <v>245</v>
      </c>
      <c r="F200" s="300">
        <v>11</v>
      </c>
      <c r="G200" s="830">
        <v>573</v>
      </c>
      <c r="H200" s="824">
        <v>94</v>
      </c>
      <c r="I200" s="500">
        <f>2095427.5+1865707+650031+295029.5+57559.5+69427+8354+22014.5+2923+1680+573</f>
        <v>5068726</v>
      </c>
      <c r="J200" s="498">
        <f>212522+189875+68849+32548+6112+10910+1695+4739+564+262+94</f>
        <v>528170</v>
      </c>
      <c r="K200" s="218">
        <v>40914</v>
      </c>
    </row>
    <row r="201" spans="1:11" ht="15.75">
      <c r="A201" s="306" t="s">
        <v>106</v>
      </c>
      <c r="B201" s="61" t="s">
        <v>114</v>
      </c>
      <c r="C201" s="220">
        <v>40879</v>
      </c>
      <c r="D201" s="64" t="s">
        <v>8</v>
      </c>
      <c r="E201" s="258">
        <v>39</v>
      </c>
      <c r="F201" s="267">
        <v>9</v>
      </c>
      <c r="G201" s="845">
        <v>520</v>
      </c>
      <c r="H201" s="846">
        <v>88</v>
      </c>
      <c r="I201" s="362">
        <v>224035</v>
      </c>
      <c r="J201" s="360">
        <v>25373</v>
      </c>
      <c r="K201" s="265">
        <v>40935</v>
      </c>
    </row>
    <row r="202" spans="1:11" ht="15.75">
      <c r="A202" s="817" t="s">
        <v>347</v>
      </c>
      <c r="B202" s="251" t="s">
        <v>348</v>
      </c>
      <c r="C202" s="414">
        <v>40914</v>
      </c>
      <c r="D202" s="219" t="s">
        <v>12</v>
      </c>
      <c r="E202" s="815">
        <v>204</v>
      </c>
      <c r="F202" s="818">
        <v>9</v>
      </c>
      <c r="G202" s="723">
        <v>494</v>
      </c>
      <c r="H202" s="724">
        <v>74</v>
      </c>
      <c r="I202" s="261">
        <v>5364793</v>
      </c>
      <c r="J202" s="262">
        <v>579462</v>
      </c>
      <c r="K202" s="218">
        <v>40970</v>
      </c>
    </row>
    <row r="203" spans="1:11" ht="15.75">
      <c r="A203" s="302" t="s">
        <v>73</v>
      </c>
      <c r="B203" s="63" t="s">
        <v>87</v>
      </c>
      <c r="C203" s="220">
        <v>40858</v>
      </c>
      <c r="D203" s="64" t="s">
        <v>68</v>
      </c>
      <c r="E203" s="258">
        <v>32</v>
      </c>
      <c r="F203" s="259">
        <v>10</v>
      </c>
      <c r="G203" s="719">
        <v>479</v>
      </c>
      <c r="H203" s="720">
        <v>82</v>
      </c>
      <c r="I203" s="270">
        <f>119417+74006.5+30939.5+15734+17682+7740+3814.5+5519+937+732+479</f>
        <v>277000.5</v>
      </c>
      <c r="J203" s="272">
        <f>12383+8559+4204+1986+2778+1301+707+782+165+115+82</f>
        <v>33062</v>
      </c>
      <c r="K203" s="218">
        <v>40928</v>
      </c>
    </row>
    <row r="204" spans="1:11" ht="15.75">
      <c r="A204" s="304" t="s">
        <v>120</v>
      </c>
      <c r="B204" s="61" t="s">
        <v>122</v>
      </c>
      <c r="C204" s="220">
        <v>40886</v>
      </c>
      <c r="D204" s="64" t="s">
        <v>121</v>
      </c>
      <c r="E204" s="258">
        <v>82</v>
      </c>
      <c r="F204" s="271">
        <v>8</v>
      </c>
      <c r="G204" s="725">
        <v>470</v>
      </c>
      <c r="H204" s="726">
        <v>69</v>
      </c>
      <c r="I204" s="279">
        <v>646169.9</v>
      </c>
      <c r="J204" s="280">
        <v>74558</v>
      </c>
      <c r="K204" s="265">
        <v>40935</v>
      </c>
    </row>
    <row r="205" spans="1:11" ht="15.75">
      <c r="A205" s="302" t="s">
        <v>151</v>
      </c>
      <c r="B205" s="61" t="s">
        <v>218</v>
      </c>
      <c r="C205" s="220">
        <v>40900</v>
      </c>
      <c r="D205" s="64" t="s">
        <v>68</v>
      </c>
      <c r="E205" s="61">
        <v>197</v>
      </c>
      <c r="F205" s="215">
        <v>9</v>
      </c>
      <c r="G205" s="719">
        <v>438</v>
      </c>
      <c r="H205" s="720">
        <v>190</v>
      </c>
      <c r="I205" s="270">
        <f>985836.5+657011.5+454728.5+206461+72029+16105.51+5902+3599+438</f>
        <v>2402111.01</v>
      </c>
      <c r="J205" s="272">
        <f>106718+73176+50608+29114+10776+3413+1375+639+190</f>
        <v>276009</v>
      </c>
      <c r="K205" s="218">
        <v>40970</v>
      </c>
    </row>
    <row r="206" spans="1:11" ht="15.75">
      <c r="A206" s="302" t="s">
        <v>597</v>
      </c>
      <c r="B206" s="63" t="s">
        <v>598</v>
      </c>
      <c r="C206" s="220">
        <v>40662</v>
      </c>
      <c r="D206" s="64" t="s">
        <v>68</v>
      </c>
      <c r="E206" s="258">
        <v>10</v>
      </c>
      <c r="F206" s="259">
        <v>17</v>
      </c>
      <c r="G206" s="719">
        <v>430</v>
      </c>
      <c r="H206" s="720">
        <v>188</v>
      </c>
      <c r="I206" s="270">
        <f>12563.75+2983.5+2680+354+641+412+470+299+1405.5+1335+741+1188+1188+2138.5+2851+594+430</f>
        <v>32274.25</v>
      </c>
      <c r="J206" s="272">
        <f>1693+350+279+68+81+51+66+35+228+169+92+297+297+535+715+149+188</f>
        <v>5293</v>
      </c>
      <c r="K206" s="218">
        <v>40942</v>
      </c>
    </row>
    <row r="207" spans="1:11" ht="15.75">
      <c r="A207" s="306" t="s">
        <v>106</v>
      </c>
      <c r="B207" s="61" t="s">
        <v>114</v>
      </c>
      <c r="C207" s="220">
        <v>40879</v>
      </c>
      <c r="D207" s="64" t="s">
        <v>8</v>
      </c>
      <c r="E207" s="258">
        <v>39</v>
      </c>
      <c r="F207" s="267">
        <v>10</v>
      </c>
      <c r="G207" s="719">
        <v>378</v>
      </c>
      <c r="H207" s="720">
        <v>67</v>
      </c>
      <c r="I207" s="270">
        <v>224413</v>
      </c>
      <c r="J207" s="272">
        <v>25440</v>
      </c>
      <c r="K207" s="218">
        <v>40942</v>
      </c>
    </row>
    <row r="208" spans="1:11" ht="15.75">
      <c r="A208" s="302" t="s">
        <v>353</v>
      </c>
      <c r="B208" s="63" t="s">
        <v>364</v>
      </c>
      <c r="C208" s="220">
        <v>40676</v>
      </c>
      <c r="D208" s="64" t="s">
        <v>68</v>
      </c>
      <c r="E208" s="258">
        <v>11</v>
      </c>
      <c r="F208" s="259">
        <v>20</v>
      </c>
      <c r="G208" s="836">
        <v>357</v>
      </c>
      <c r="H208" s="837">
        <v>158</v>
      </c>
      <c r="I208" s="270">
        <f>19776.5+5289.5+3941.5+4149+6030.5+491+2263+886+669+235+576+182+578+116+1188+1782+1782+1782+1782+3801.5+2138.5+357</f>
        <v>59796</v>
      </c>
      <c r="J208" s="272">
        <f>2214+710+772+646+1024+103+434+139+105+46+100+16+62+13+297+446+446+446+446+950+535+158</f>
        <v>10108</v>
      </c>
      <c r="K208" s="218">
        <v>40963</v>
      </c>
    </row>
    <row r="209" spans="1:11" ht="15.75">
      <c r="A209" s="306" t="s">
        <v>106</v>
      </c>
      <c r="B209" s="61" t="s">
        <v>114</v>
      </c>
      <c r="C209" s="406">
        <v>40879</v>
      </c>
      <c r="D209" s="64" t="s">
        <v>8</v>
      </c>
      <c r="E209" s="258">
        <v>39</v>
      </c>
      <c r="F209" s="267">
        <v>11</v>
      </c>
      <c r="G209" s="719">
        <v>300</v>
      </c>
      <c r="H209" s="720">
        <v>53</v>
      </c>
      <c r="I209" s="270">
        <v>224713</v>
      </c>
      <c r="J209" s="272">
        <v>25493</v>
      </c>
      <c r="K209" s="218">
        <v>40949</v>
      </c>
    </row>
    <row r="210" spans="1:11" ht="15.75">
      <c r="A210" s="302" t="s">
        <v>115</v>
      </c>
      <c r="B210" s="61" t="s">
        <v>116</v>
      </c>
      <c r="C210" s="220">
        <v>40886</v>
      </c>
      <c r="D210" s="64" t="s">
        <v>12</v>
      </c>
      <c r="E210" s="258">
        <v>161</v>
      </c>
      <c r="F210" s="259">
        <v>8</v>
      </c>
      <c r="G210" s="723">
        <v>198</v>
      </c>
      <c r="H210" s="724">
        <v>27</v>
      </c>
      <c r="I210" s="261">
        <v>879817</v>
      </c>
      <c r="J210" s="262">
        <v>107311</v>
      </c>
      <c r="K210" s="265">
        <v>40935</v>
      </c>
    </row>
    <row r="211" spans="1:11" ht="15.75">
      <c r="A211" s="299" t="s">
        <v>77</v>
      </c>
      <c r="B211" s="64" t="s">
        <v>188</v>
      </c>
      <c r="C211" s="220">
        <v>40865</v>
      </c>
      <c r="D211" s="64" t="s">
        <v>52</v>
      </c>
      <c r="E211" s="278">
        <v>64</v>
      </c>
      <c r="F211" s="271">
        <v>9</v>
      </c>
      <c r="G211" s="849">
        <v>195</v>
      </c>
      <c r="H211" s="850">
        <v>31</v>
      </c>
      <c r="I211" s="273">
        <f>256046+137037.5+20115+5099+3542+3484.5+1302+1985+195</f>
        <v>428806</v>
      </c>
      <c r="J211" s="262">
        <f>25390+13650+2140+705+587+707+246+352+31</f>
        <v>43808</v>
      </c>
      <c r="K211" s="218">
        <v>40921</v>
      </c>
    </row>
    <row r="212" spans="1:11" ht="15.75">
      <c r="A212" s="299" t="s">
        <v>74</v>
      </c>
      <c r="B212" s="67" t="s">
        <v>80</v>
      </c>
      <c r="C212" s="220">
        <v>40851</v>
      </c>
      <c r="D212" s="64" t="s">
        <v>53</v>
      </c>
      <c r="E212" s="266">
        <v>247</v>
      </c>
      <c r="F212" s="275">
        <v>13</v>
      </c>
      <c r="G212" s="723">
        <v>188</v>
      </c>
      <c r="H212" s="724">
        <v>22</v>
      </c>
      <c r="I212" s="261">
        <f>2260223+2366876.75+3859638+3137342+1906742.5+252.25+1189485.5+474275+250512+184428+13126+754+5006+188</f>
        <v>15648849</v>
      </c>
      <c r="J212" s="262">
        <f>286038+329194+554088+452220+278080+42+178270+68355+40409+33224+1975+104+988+22</f>
        <v>2223009</v>
      </c>
      <c r="K212" s="265">
        <v>40935</v>
      </c>
    </row>
    <row r="213" spans="1:11" ht="15.75">
      <c r="A213" s="299" t="s">
        <v>601</v>
      </c>
      <c r="B213" s="462" t="s">
        <v>588</v>
      </c>
      <c r="C213" s="220">
        <v>40942</v>
      </c>
      <c r="D213" s="64" t="s">
        <v>53</v>
      </c>
      <c r="E213" s="274">
        <v>95</v>
      </c>
      <c r="F213" s="275">
        <v>6</v>
      </c>
      <c r="G213" s="723">
        <v>180</v>
      </c>
      <c r="H213" s="724">
        <v>22</v>
      </c>
      <c r="I213" s="276">
        <f>166893.1+124753.91+25288.04+4237+1396+180</f>
        <v>322748.05</v>
      </c>
      <c r="J213" s="277">
        <f>18839+14893+3105+518+139+22</f>
        <v>37516</v>
      </c>
      <c r="K213" s="716">
        <v>40977</v>
      </c>
    </row>
    <row r="214" spans="1:11" ht="15.75">
      <c r="A214" s="288" t="s">
        <v>337</v>
      </c>
      <c r="B214" s="66" t="s">
        <v>339</v>
      </c>
      <c r="C214" s="220">
        <v>40914</v>
      </c>
      <c r="D214" s="64" t="s">
        <v>53</v>
      </c>
      <c r="E214" s="274">
        <v>97</v>
      </c>
      <c r="F214" s="275">
        <v>7</v>
      </c>
      <c r="G214" s="723">
        <v>114</v>
      </c>
      <c r="H214" s="724">
        <v>19</v>
      </c>
      <c r="I214" s="261">
        <f>216520+198358.5+149589.5+18051.79+5443+2220+114</f>
        <v>590296.79</v>
      </c>
      <c r="J214" s="262">
        <f>26831+25025+19383+2440+733+337+19</f>
        <v>74768</v>
      </c>
      <c r="K214" s="218">
        <v>40956</v>
      </c>
    </row>
    <row r="215" spans="1:11" ht="15.75">
      <c r="A215" s="302" t="s">
        <v>73</v>
      </c>
      <c r="B215" s="63" t="s">
        <v>87</v>
      </c>
      <c r="C215" s="220">
        <v>40858</v>
      </c>
      <c r="D215" s="64" t="s">
        <v>68</v>
      </c>
      <c r="E215" s="258">
        <v>32</v>
      </c>
      <c r="F215" s="259">
        <v>15</v>
      </c>
      <c r="G215" s="719">
        <v>96</v>
      </c>
      <c r="H215" s="720">
        <v>32</v>
      </c>
      <c r="I215" s="270">
        <f>119417+74006.5+30939.5+15734+17682+7740+3814.5+5519+937+732+479+1782+1188+713+96</f>
        <v>280779.5</v>
      </c>
      <c r="J215" s="272">
        <f>12383+8559+4204+1986+2778+1301+707+782+165+115+82+325+238+143+32</f>
        <v>33800</v>
      </c>
      <c r="K215" s="218">
        <v>40956</v>
      </c>
    </row>
    <row r="216" spans="1:11" ht="15.75">
      <c r="A216" s="306" t="s">
        <v>110</v>
      </c>
      <c r="B216" s="61" t="s">
        <v>113</v>
      </c>
      <c r="C216" s="220">
        <v>40879</v>
      </c>
      <c r="D216" s="64" t="s">
        <v>53</v>
      </c>
      <c r="E216" s="542">
        <v>135</v>
      </c>
      <c r="F216" s="433">
        <v>14</v>
      </c>
      <c r="G216" s="723">
        <v>74</v>
      </c>
      <c r="H216" s="724">
        <v>10</v>
      </c>
      <c r="I216" s="261">
        <f>1709882.25+1194489.75+708906.5+376327+70+197271.5+73341.5+70692.5+50480.5+9953.5+3058+838+28+63+74</f>
        <v>4395476</v>
      </c>
      <c r="J216" s="262">
        <f>195314+135261+80447+45395+10+25625+10302+10950+7727+1402+435+131+4+9+10</f>
        <v>513022</v>
      </c>
      <c r="K216" s="218">
        <v>40970</v>
      </c>
    </row>
    <row r="217" spans="1:11" ht="15.75">
      <c r="A217" s="306" t="s">
        <v>110</v>
      </c>
      <c r="B217" s="61" t="s">
        <v>113</v>
      </c>
      <c r="C217" s="220">
        <v>40879</v>
      </c>
      <c r="D217" s="64" t="s">
        <v>53</v>
      </c>
      <c r="E217" s="258">
        <v>135</v>
      </c>
      <c r="F217" s="275">
        <v>13</v>
      </c>
      <c r="G217" s="719">
        <v>63</v>
      </c>
      <c r="H217" s="720">
        <v>9</v>
      </c>
      <c r="I217" s="270">
        <f>1709882.25+1194489.75+708906.5+376327+70+197271.5+73341.5+70692.5+50480.5+9953.5+3058+838+28+63</f>
        <v>4395402</v>
      </c>
      <c r="J217" s="272">
        <f>195314+135261+80447+45395+10+25625+10302+10950+7727+1402+435+131+4+9</f>
        <v>513012</v>
      </c>
      <c r="K217" s="218">
        <v>40963</v>
      </c>
    </row>
    <row r="218" spans="1:11" ht="15.75">
      <c r="A218" s="306" t="s">
        <v>110</v>
      </c>
      <c r="B218" s="61" t="s">
        <v>113</v>
      </c>
      <c r="C218" s="220">
        <v>40879</v>
      </c>
      <c r="D218" s="64" t="s">
        <v>53</v>
      </c>
      <c r="E218" s="258">
        <v>135</v>
      </c>
      <c r="F218" s="275">
        <v>12</v>
      </c>
      <c r="G218" s="723">
        <v>28</v>
      </c>
      <c r="H218" s="724">
        <v>4</v>
      </c>
      <c r="I218" s="261">
        <f>1709882.25+1194489.75+708906.5+376327+70+197271.5+73341.5+70692.5+50480.5+9953.5+3058+838+28</f>
        <v>4395339</v>
      </c>
      <c r="J218" s="262">
        <f>195314+135261+80447+45395+10+25625+10302+10950+7727+1402+435+131+4</f>
        <v>513003</v>
      </c>
      <c r="K218" s="218">
        <v>40956</v>
      </c>
    </row>
  </sheetData>
  <sheetProtection/>
  <mergeCells count="1">
    <mergeCell ref="A1:K1"/>
  </mergeCells>
  <printOptions/>
  <pageMargins left="0.7" right="0.7" top="0.75" bottom="0.75" header="0.3" footer="0.3"/>
  <pageSetup horizontalDpi="600" verticalDpi="600" orientation="portrait" paperSize="9" r:id="rId1"/>
  <ignoredErrors>
    <ignoredError sqref="I4:J35 G44:H59 I44:J59 I43:J43 I60:J61 I65:J82 I83:J105 I108:J139 I143:J167 I168:J193 I194:J2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2012-03-16T20:21:43Z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